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ASSET\INVENTORY\"/>
    </mc:Choice>
  </mc:AlternateContent>
  <bookViews>
    <workbookView xWindow="0" yWindow="0" windowWidth="20490" windowHeight="7755" activeTab="2"/>
  </bookViews>
  <sheets>
    <sheet name="Sheet1" sheetId="1" r:id="rId1"/>
    <sheet name="Form Inventory" sheetId="3" r:id="rId2"/>
    <sheet name="NEW CODE" sheetId="4" r:id="rId3"/>
    <sheet name="Sheet2" sheetId="5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'NEW CODE'!$B$3:$P$428</definedName>
    <definedName name="_xlnm.Print_Titles" localSheetId="2">'NEW CODE'!$5:$6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3" i="4" l="1"/>
  <c r="H569" i="4" l="1"/>
  <c r="H620" i="4" l="1"/>
  <c r="H619" i="4"/>
  <c r="H618" i="4"/>
  <c r="H617" i="4"/>
  <c r="H616" i="4"/>
  <c r="H615" i="4"/>
  <c r="H552" i="4"/>
  <c r="H551" i="4"/>
  <c r="H550" i="4"/>
  <c r="H549" i="4"/>
  <c r="H548" i="4"/>
  <c r="H547" i="4"/>
  <c r="M1250" i="4" l="1"/>
  <c r="M410" i="4" l="1"/>
  <c r="M400" i="4"/>
  <c r="M401" i="4"/>
  <c r="H340" i="4"/>
  <c r="H306" i="4"/>
  <c r="H305" i="4"/>
  <c r="H304" i="4"/>
  <c r="H303" i="4"/>
  <c r="H302" i="4"/>
  <c r="H301" i="4"/>
  <c r="H288" i="4"/>
  <c r="H287" i="4"/>
  <c r="H286" i="4"/>
  <c r="H285" i="4"/>
  <c r="H284" i="4"/>
  <c r="H283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99" i="4"/>
  <c r="H98" i="4"/>
  <c r="H97" i="4"/>
  <c r="H96" i="4"/>
  <c r="H95" i="4"/>
  <c r="H94" i="4"/>
  <c r="H93" i="4"/>
  <c r="H92" i="4"/>
  <c r="H403" i="4"/>
  <c r="H402" i="4"/>
  <c r="H400" i="4"/>
  <c r="H401" i="4"/>
  <c r="H392" i="4"/>
  <c r="H391" i="4"/>
  <c r="H384" i="4"/>
  <c r="H383" i="4"/>
  <c r="H380" i="4"/>
  <c r="H379" i="4"/>
  <c r="H378" i="4"/>
  <c r="H377" i="4"/>
  <c r="H376" i="4"/>
  <c r="H375" i="4"/>
  <c r="H372" i="4"/>
  <c r="H369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48" i="4"/>
  <c r="H347" i="4"/>
  <c r="H346" i="4"/>
  <c r="H345" i="4"/>
  <c r="H344" i="4"/>
  <c r="H343" i="4"/>
  <c r="H335" i="4"/>
  <c r="H334" i="4"/>
  <c r="H333" i="4"/>
  <c r="H332" i="4"/>
  <c r="H331" i="4"/>
  <c r="H330" i="4"/>
  <c r="H178" i="4"/>
  <c r="H422" i="4"/>
  <c r="H421" i="4"/>
  <c r="H420" i="4"/>
  <c r="H419" i="4"/>
  <c r="H418" i="4"/>
  <c r="H406" i="4"/>
  <c r="H404" i="4"/>
  <c r="H405" i="4"/>
  <c r="H426" i="4"/>
  <c r="H317" i="4"/>
  <c r="H316" i="4"/>
  <c r="H315" i="4"/>
  <c r="H311" i="4"/>
  <c r="H329" i="4"/>
  <c r="H328" i="4"/>
  <c r="H327" i="4"/>
  <c r="H326" i="4"/>
  <c r="H325" i="4"/>
  <c r="H324" i="4"/>
  <c r="H323" i="4"/>
  <c r="H322" i="4"/>
  <c r="H321" i="4"/>
  <c r="H30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174" i="4" l="1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46" i="4"/>
  <c r="H59" i="4"/>
  <c r="H45" i="4"/>
  <c r="H44" i="4"/>
  <c r="H13" i="4"/>
  <c r="H63" i="4"/>
  <c r="H30" i="4"/>
  <c r="H29" i="4"/>
  <c r="H58" i="4"/>
  <c r="H57" i="4"/>
  <c r="H62" i="4"/>
  <c r="H61" i="4"/>
  <c r="H16" i="4"/>
  <c r="H15" i="4"/>
  <c r="H14" i="4"/>
  <c r="H12" i="4"/>
  <c r="H11" i="4"/>
  <c r="H10" i="4"/>
  <c r="H9" i="4"/>
  <c r="H66" i="4"/>
  <c r="H65" i="4"/>
  <c r="H64" i="4"/>
  <c r="H28" i="4"/>
  <c r="H27" i="4"/>
  <c r="H26" i="4"/>
  <c r="H25" i="4"/>
  <c r="H1261" i="4" l="1"/>
  <c r="H1258" i="4"/>
  <c r="H1249" i="4"/>
  <c r="H1250" i="4"/>
  <c r="H1251" i="4"/>
  <c r="H1252" i="4"/>
  <c r="H1248" i="4"/>
  <c r="H1242" i="4"/>
  <c r="H1243" i="4"/>
  <c r="H1241" i="4"/>
  <c r="H1234" i="4"/>
  <c r="H1230" i="4"/>
  <c r="H1214" i="4"/>
  <c r="H1213" i="4"/>
  <c r="H1212" i="4"/>
  <c r="H1209" i="4"/>
  <c r="H1210" i="4"/>
  <c r="H1208" i="4"/>
  <c r="H1205" i="4"/>
  <c r="H1204" i="4"/>
  <c r="H1203" i="4"/>
  <c r="H1201" i="4"/>
  <c r="H1202" i="4"/>
  <c r="H1200" i="4"/>
  <c r="H1197" i="4"/>
  <c r="H1272" i="4"/>
  <c r="H1271" i="4"/>
  <c r="H1269" i="4"/>
  <c r="H1266" i="4"/>
  <c r="H1267" i="4"/>
  <c r="H1268" i="4"/>
  <c r="H1265" i="4"/>
  <c r="H1264" i="4"/>
  <c r="H1263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8" i="4"/>
  <c r="H1199" i="4"/>
  <c r="H1206" i="4"/>
  <c r="H1207" i="4"/>
  <c r="H1211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1" i="4"/>
  <c r="H1232" i="4"/>
  <c r="H1233" i="4"/>
  <c r="H1235" i="4"/>
  <c r="H1236" i="4"/>
  <c r="H1237" i="4"/>
  <c r="H1238" i="4"/>
  <c r="H1239" i="4"/>
  <c r="H1240" i="4"/>
  <c r="H1244" i="4"/>
  <c r="H1245" i="4"/>
  <c r="H1246" i="4"/>
  <c r="H1247" i="4"/>
  <c r="H1253" i="4"/>
  <c r="H1254" i="4"/>
  <c r="H1255" i="4"/>
  <c r="H1256" i="4"/>
  <c r="H1257" i="4"/>
  <c r="H1259" i="4"/>
  <c r="H1260" i="4"/>
  <c r="H1262" i="4"/>
  <c r="H1270" i="4"/>
  <c r="H1273" i="4"/>
  <c r="H1151" i="4"/>
  <c r="H927" i="4"/>
  <c r="H926" i="4"/>
  <c r="H925" i="4"/>
  <c r="H928" i="4"/>
  <c r="H885" i="4"/>
  <c r="H884" i="4"/>
  <c r="H886" i="4"/>
  <c r="H767" i="4" l="1"/>
  <c r="H766" i="4"/>
  <c r="H765" i="4"/>
  <c r="H707" i="4" l="1"/>
  <c r="H697" i="4"/>
  <c r="H696" i="4"/>
  <c r="H695" i="4"/>
  <c r="H694" i="4"/>
  <c r="H693" i="4"/>
  <c r="H692" i="4"/>
  <c r="H691" i="4"/>
  <c r="H640" i="4"/>
  <c r="H637" i="4"/>
  <c r="H1148" i="4"/>
  <c r="H995" i="4"/>
  <c r="H924" i="4"/>
  <c r="H920" i="4"/>
  <c r="H919" i="4"/>
  <c r="H929" i="4"/>
  <c r="H883" i="4"/>
  <c r="H799" i="4"/>
  <c r="H800" i="4"/>
  <c r="H798" i="4"/>
  <c r="H671" i="4"/>
  <c r="H621" i="4"/>
  <c r="H504" i="4"/>
  <c r="H503" i="4"/>
  <c r="H502" i="4"/>
  <c r="H501" i="4"/>
  <c r="H500" i="4"/>
  <c r="H499" i="4"/>
  <c r="H498" i="4"/>
  <c r="H427" i="4"/>
  <c r="H425" i="4"/>
  <c r="H424" i="4"/>
  <c r="H423" i="4"/>
  <c r="H417" i="4"/>
  <c r="H416" i="4"/>
  <c r="H415" i="4"/>
  <c r="H408" i="4"/>
  <c r="H409" i="4"/>
  <c r="H410" i="4"/>
  <c r="H411" i="4"/>
  <c r="H412" i="4"/>
  <c r="H413" i="4"/>
  <c r="H414" i="4"/>
  <c r="H407" i="4"/>
  <c r="H393" i="4"/>
  <c r="H394" i="4"/>
  <c r="H395" i="4"/>
  <c r="H396" i="4"/>
  <c r="H397" i="4"/>
  <c r="H398" i="4"/>
  <c r="H399" i="4"/>
  <c r="H390" i="4"/>
  <c r="H389" i="4"/>
  <c r="H388" i="4"/>
  <c r="H387" i="4"/>
  <c r="H386" i="4"/>
  <c r="H385" i="4"/>
  <c r="H382" i="4"/>
  <c r="H381" i="4"/>
  <c r="H374" i="4"/>
  <c r="H371" i="4"/>
  <c r="H368" i="4"/>
  <c r="H367" i="4"/>
  <c r="H370" i="4"/>
  <c r="H373" i="4"/>
  <c r="H366" i="4"/>
  <c r="H353" i="4"/>
  <c r="H352" i="4"/>
  <c r="H351" i="4"/>
  <c r="H350" i="4"/>
  <c r="H349" i="4"/>
  <c r="H342" i="4"/>
  <c r="H341" i="4"/>
  <c r="H339" i="4"/>
  <c r="H338" i="4"/>
  <c r="H337" i="4"/>
  <c r="H319" i="4"/>
  <c r="H320" i="4"/>
  <c r="H336" i="4"/>
  <c r="H318" i="4"/>
  <c r="H314" i="4"/>
  <c r="H313" i="4"/>
  <c r="H312" i="4"/>
  <c r="H310" i="4"/>
  <c r="H309" i="4"/>
  <c r="H308" i="4"/>
  <c r="H300" i="4"/>
  <c r="H299" i="4"/>
  <c r="H293" i="4"/>
  <c r="H294" i="4"/>
  <c r="H295" i="4"/>
  <c r="H296" i="4"/>
  <c r="H297" i="4"/>
  <c r="H298" i="4"/>
  <c r="H292" i="4"/>
  <c r="H291" i="4"/>
  <c r="H290" i="4"/>
  <c r="H289" i="4"/>
  <c r="H238" i="4"/>
  <c r="H239" i="4"/>
  <c r="H282" i="4"/>
  <c r="H23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1" i="4"/>
  <c r="H182" i="4"/>
  <c r="H180" i="4"/>
  <c r="H179" i="4"/>
  <c r="H176" i="4"/>
  <c r="H177" i="4"/>
  <c r="H175" i="4"/>
  <c r="H128" i="4"/>
  <c r="H127" i="4"/>
  <c r="H126" i="4"/>
  <c r="H125" i="4"/>
  <c r="H124" i="4"/>
  <c r="H172" i="4"/>
  <c r="H173" i="4"/>
  <c r="H123" i="4"/>
  <c r="H109" i="4"/>
  <c r="H108" i="4"/>
  <c r="H107" i="4"/>
  <c r="H106" i="4"/>
  <c r="H105" i="4"/>
  <c r="H104" i="4"/>
  <c r="H103" i="4"/>
  <c r="H102" i="4"/>
  <c r="H101" i="4"/>
  <c r="H100" i="4"/>
  <c r="H91" i="4"/>
  <c r="H90" i="4"/>
  <c r="H89" i="4"/>
  <c r="H88" i="4"/>
  <c r="H87" i="4"/>
  <c r="H86" i="4"/>
  <c r="H85" i="4"/>
  <c r="H83" i="4"/>
  <c r="H84" i="4"/>
  <c r="H82" i="4"/>
  <c r="H78" i="4"/>
  <c r="H79" i="4"/>
  <c r="H80" i="4"/>
  <c r="H81" i="4"/>
  <c r="H77" i="4"/>
  <c r="H76" i="4"/>
  <c r="H74" i="4"/>
  <c r="H73" i="4"/>
  <c r="H72" i="4"/>
  <c r="H71" i="4"/>
  <c r="H70" i="4"/>
  <c r="H69" i="4"/>
  <c r="H68" i="4"/>
  <c r="H75" i="4"/>
  <c r="H67" i="4"/>
  <c r="H60" i="4"/>
  <c r="H56" i="4"/>
  <c r="H32" i="4"/>
  <c r="H33" i="4"/>
  <c r="H34" i="4"/>
  <c r="H35" i="4"/>
  <c r="H36" i="4"/>
  <c r="H37" i="4"/>
  <c r="H38" i="4"/>
  <c r="H39" i="4"/>
  <c r="H40" i="4"/>
  <c r="H41" i="4"/>
  <c r="H42" i="4"/>
  <c r="H43" i="4"/>
  <c r="H47" i="4"/>
  <c r="H48" i="4"/>
  <c r="H49" i="4"/>
  <c r="H50" i="4"/>
  <c r="H51" i="4"/>
  <c r="H52" i="4"/>
  <c r="H53" i="4"/>
  <c r="H54" i="4"/>
  <c r="H55" i="4"/>
  <c r="H31" i="4"/>
  <c r="H24" i="4"/>
  <c r="H23" i="4"/>
  <c r="H22" i="4"/>
  <c r="H21" i="4"/>
  <c r="H8" i="4"/>
  <c r="H17" i="4"/>
  <c r="H18" i="4"/>
  <c r="H19" i="4"/>
  <c r="H20" i="4"/>
  <c r="H7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0" i="4"/>
  <c r="H1129" i="4"/>
  <c r="H1128" i="4"/>
  <c r="H1127" i="4"/>
  <c r="H1126" i="4"/>
  <c r="H1125" i="4"/>
  <c r="H1124" i="4"/>
  <c r="H1131" i="4"/>
  <c r="H1121" i="4"/>
  <c r="H1122" i="4"/>
  <c r="H1123" i="4"/>
  <c r="H1120" i="4"/>
  <c r="H1117" i="4"/>
  <c r="H1116" i="4"/>
  <c r="H1110" i="4"/>
  <c r="H1109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68" i="4"/>
  <c r="H1067" i="4"/>
  <c r="H1066" i="4"/>
  <c r="H1065" i="4"/>
  <c r="H1064" i="4"/>
  <c r="H1053" i="4"/>
  <c r="H1052" i="4"/>
  <c r="H1048" i="4"/>
  <c r="H1047" i="4"/>
  <c r="H1046" i="4"/>
  <c r="H1045" i="4"/>
  <c r="H1044" i="4"/>
  <c r="H1043" i="4"/>
  <c r="H1042" i="4"/>
  <c r="H1040" i="4"/>
  <c r="H1039" i="4"/>
  <c r="H1038" i="4"/>
  <c r="H1019" i="4"/>
  <c r="H1018" i="4"/>
  <c r="H1017" i="4"/>
  <c r="H1016" i="4"/>
  <c r="H1015" i="4"/>
  <c r="H1014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3" i="4"/>
  <c r="H1012" i="4"/>
  <c r="H1011" i="4"/>
  <c r="H1008" i="4"/>
  <c r="H1005" i="4"/>
  <c r="H1004" i="4"/>
  <c r="H1003" i="4"/>
  <c r="H1002" i="4"/>
  <c r="H1001" i="4"/>
  <c r="H1000" i="4"/>
  <c r="H999" i="4"/>
  <c r="H998" i="4"/>
  <c r="H997" i="4"/>
  <c r="H996" i="4"/>
  <c r="H994" i="4"/>
  <c r="H985" i="4"/>
  <c r="H984" i="4"/>
  <c r="H983" i="4"/>
  <c r="H982" i="4"/>
  <c r="H981" i="4"/>
  <c r="H980" i="4"/>
  <c r="H979" i="4"/>
  <c r="H978" i="4"/>
  <c r="H977" i="4"/>
  <c r="H930" i="4"/>
  <c r="H932" i="4"/>
  <c r="H931" i="4"/>
  <c r="H921" i="4"/>
  <c r="H922" i="4"/>
  <c r="H923" i="4"/>
  <c r="H917" i="4"/>
  <c r="H916" i="4"/>
  <c r="H908" i="4"/>
  <c r="H905" i="4"/>
  <c r="H906" i="4"/>
  <c r="H907" i="4"/>
  <c r="H904" i="4"/>
  <c r="H903" i="4"/>
  <c r="H902" i="4"/>
  <c r="H901" i="4"/>
  <c r="H900" i="4"/>
  <c r="H899" i="4"/>
  <c r="H898" i="4"/>
  <c r="H875" i="4"/>
  <c r="H872" i="4"/>
  <c r="H871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4" i="4"/>
  <c r="H826" i="4"/>
  <c r="H825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792" i="4"/>
  <c r="H791" i="4"/>
  <c r="H790" i="4"/>
  <c r="H773" i="4"/>
  <c r="H748" i="4"/>
  <c r="H747" i="4"/>
  <c r="H742" i="4"/>
  <c r="H741" i="4"/>
  <c r="H739" i="4"/>
  <c r="H737" i="4"/>
  <c r="H736" i="4"/>
  <c r="H735" i="4"/>
  <c r="H734" i="4"/>
  <c r="H733" i="4"/>
  <c r="H731" i="4"/>
  <c r="H730" i="4"/>
  <c r="H728" i="4"/>
  <c r="H727" i="4"/>
  <c r="H726" i="4"/>
  <c r="H725" i="4"/>
  <c r="H724" i="4"/>
  <c r="H718" i="4"/>
  <c r="H717" i="4"/>
  <c r="H716" i="4"/>
  <c r="H715" i="4"/>
  <c r="H714" i="4"/>
  <c r="H713" i="4"/>
  <c r="H712" i="4"/>
  <c r="H711" i="4"/>
  <c r="H710" i="4"/>
  <c r="H709" i="4"/>
  <c r="H706" i="4"/>
  <c r="H705" i="4"/>
  <c r="H704" i="4"/>
  <c r="H703" i="4"/>
  <c r="H702" i="4"/>
  <c r="H690" i="4"/>
  <c r="H689" i="4"/>
  <c r="H688" i="4"/>
  <c r="H687" i="4"/>
  <c r="H686" i="4"/>
  <c r="H685" i="4"/>
  <c r="H684" i="4"/>
  <c r="H683" i="4"/>
  <c r="H682" i="4"/>
  <c r="H681" i="4"/>
  <c r="H679" i="4"/>
  <c r="H678" i="4"/>
  <c r="H680" i="4"/>
  <c r="H677" i="4"/>
  <c r="H676" i="4"/>
  <c r="H675" i="4"/>
  <c r="H669" i="4"/>
  <c r="H668" i="4"/>
  <c r="H667" i="4"/>
  <c r="H666" i="4"/>
  <c r="H665" i="4"/>
  <c r="H664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5" i="4"/>
  <c r="H646" i="4"/>
  <c r="H644" i="4"/>
  <c r="H643" i="4"/>
  <c r="H639" i="4"/>
  <c r="H638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594" i="4"/>
  <c r="H593" i="4"/>
  <c r="H592" i="4"/>
  <c r="H591" i="4"/>
  <c r="H590" i="4"/>
  <c r="H589" i="4"/>
  <c r="H588" i="4"/>
  <c r="H587" i="4"/>
  <c r="H586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8" i="4"/>
  <c r="H567" i="4"/>
  <c r="H566" i="4"/>
  <c r="H562" i="4"/>
  <c r="H561" i="4"/>
  <c r="H560" i="4"/>
  <c r="H559" i="4"/>
  <c r="H558" i="4"/>
  <c r="H557" i="4"/>
  <c r="H556" i="4"/>
  <c r="H555" i="4"/>
  <c r="H554" i="4"/>
  <c r="H553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0" i="4"/>
  <c r="H469" i="4"/>
  <c r="H444" i="4"/>
  <c r="H443" i="4"/>
  <c r="H442" i="4"/>
  <c r="H441" i="4"/>
  <c r="H435" i="4"/>
  <c r="H434" i="4"/>
  <c r="H433" i="4"/>
  <c r="H432" i="4"/>
  <c r="H431" i="4"/>
  <c r="M1194" i="4"/>
  <c r="M1200" i="4"/>
  <c r="M1201" i="4"/>
  <c r="M1202" i="4"/>
  <c r="M1203" i="4"/>
  <c r="M1205" i="4"/>
  <c r="M1206" i="4"/>
  <c r="M1207" i="4"/>
  <c r="M1208" i="4"/>
  <c r="M1209" i="4"/>
  <c r="M1210" i="4"/>
  <c r="M1211" i="4"/>
  <c r="M1212" i="4"/>
  <c r="M1213" i="4"/>
  <c r="M1215" i="4"/>
  <c r="M1216" i="4"/>
  <c r="M1219" i="4"/>
  <c r="M1221" i="4"/>
  <c r="M1222" i="4"/>
  <c r="M1223" i="4"/>
  <c r="M1224" i="4"/>
  <c r="M1225" i="4"/>
  <c r="M1226" i="4"/>
  <c r="M1227" i="4"/>
  <c r="M1228" i="4"/>
  <c r="M1229" i="4"/>
  <c r="M1230" i="4"/>
  <c r="M1233" i="4"/>
  <c r="M1234" i="4"/>
  <c r="M1235" i="4"/>
  <c r="M1236" i="4"/>
  <c r="M1237" i="4"/>
  <c r="M1238" i="4"/>
  <c r="M1240" i="4"/>
  <c r="M1241" i="4"/>
  <c r="M1243" i="4"/>
  <c r="M1244" i="4"/>
  <c r="M1245" i="4"/>
  <c r="M1247" i="4"/>
  <c r="M1249" i="4"/>
  <c r="M1251" i="4"/>
  <c r="M1252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193" i="4"/>
  <c r="H1010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86" i="4"/>
  <c r="H987" i="4"/>
  <c r="H988" i="4"/>
  <c r="H989" i="4"/>
  <c r="H990" i="4"/>
  <c r="H991" i="4"/>
  <c r="H992" i="4"/>
  <c r="H993" i="4"/>
  <c r="H1006" i="4"/>
  <c r="H1007" i="4"/>
  <c r="H1009" i="4"/>
  <c r="H1041" i="4"/>
  <c r="H1049" i="4"/>
  <c r="H1050" i="4"/>
  <c r="H1051" i="4"/>
  <c r="H1054" i="4"/>
  <c r="H1055" i="4"/>
  <c r="H1056" i="4"/>
  <c r="H1057" i="4"/>
  <c r="H1058" i="4"/>
  <c r="H1059" i="4"/>
  <c r="H1060" i="4"/>
  <c r="H1061" i="4"/>
  <c r="H1062" i="4"/>
  <c r="H1063" i="4"/>
  <c r="H1069" i="4"/>
  <c r="H1070" i="4"/>
  <c r="H1071" i="4"/>
  <c r="H1100" i="4"/>
  <c r="H1101" i="4"/>
  <c r="H1102" i="4"/>
  <c r="H1103" i="4"/>
  <c r="H1104" i="4"/>
  <c r="H1105" i="4"/>
  <c r="H1106" i="4"/>
  <c r="H1107" i="4"/>
  <c r="H1108" i="4"/>
  <c r="H1111" i="4"/>
  <c r="H1112" i="4"/>
  <c r="H1113" i="4"/>
  <c r="H1114" i="4"/>
  <c r="H1115" i="4"/>
  <c r="H1118" i="4"/>
  <c r="H1119" i="4"/>
  <c r="H1149" i="4"/>
  <c r="H935" i="4"/>
  <c r="H746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8" i="4"/>
  <c r="H769" i="4"/>
  <c r="H770" i="4"/>
  <c r="H771" i="4"/>
  <c r="H772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3" i="4"/>
  <c r="H794" i="4"/>
  <c r="H795" i="4"/>
  <c r="H796" i="4"/>
  <c r="H797" i="4"/>
  <c r="H827" i="4"/>
  <c r="H863" i="4"/>
  <c r="H864" i="4"/>
  <c r="H865" i="4"/>
  <c r="H866" i="4"/>
  <c r="H867" i="4"/>
  <c r="H868" i="4"/>
  <c r="H869" i="4"/>
  <c r="H870" i="4"/>
  <c r="H873" i="4"/>
  <c r="H874" i="4"/>
  <c r="H876" i="4"/>
  <c r="H877" i="4"/>
  <c r="H878" i="4"/>
  <c r="H879" i="4"/>
  <c r="H880" i="4"/>
  <c r="H881" i="4"/>
  <c r="H882" i="4"/>
  <c r="H887" i="4"/>
  <c r="H888" i="4"/>
  <c r="H889" i="4"/>
  <c r="H890" i="4"/>
  <c r="H891" i="4"/>
  <c r="H892" i="4"/>
  <c r="H893" i="4"/>
  <c r="H894" i="4"/>
  <c r="H895" i="4"/>
  <c r="H896" i="4"/>
  <c r="H897" i="4"/>
  <c r="H909" i="4"/>
  <c r="H910" i="4"/>
  <c r="H911" i="4"/>
  <c r="H912" i="4"/>
  <c r="H913" i="4"/>
  <c r="H914" i="4"/>
  <c r="H915" i="4"/>
  <c r="H918" i="4"/>
  <c r="H745" i="4"/>
  <c r="H430" i="4"/>
  <c r="H436" i="4"/>
  <c r="H437" i="4"/>
  <c r="H438" i="4"/>
  <c r="H439" i="4"/>
  <c r="H440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71" i="4"/>
  <c r="H472" i="4"/>
  <c r="H473" i="4"/>
  <c r="H474" i="4"/>
  <c r="H475" i="4"/>
  <c r="H476" i="4"/>
  <c r="H477" i="4"/>
  <c r="H478" i="4"/>
  <c r="H493" i="4"/>
  <c r="H494" i="4"/>
  <c r="H495" i="4"/>
  <c r="H496" i="4"/>
  <c r="H497" i="4"/>
  <c r="H563" i="4"/>
  <c r="H564" i="4"/>
  <c r="H565" i="4"/>
  <c r="H635" i="4"/>
  <c r="H636" i="4"/>
  <c r="H641" i="4"/>
  <c r="H642" i="4"/>
  <c r="H647" i="4"/>
  <c r="H648" i="4"/>
  <c r="H661" i="4"/>
  <c r="H662" i="4"/>
  <c r="H663" i="4"/>
  <c r="H670" i="4"/>
  <c r="H672" i="4"/>
  <c r="H673" i="4"/>
  <c r="H674" i="4"/>
  <c r="H698" i="4"/>
  <c r="H699" i="4"/>
  <c r="H700" i="4"/>
  <c r="H701" i="4"/>
  <c r="H708" i="4"/>
  <c r="H719" i="4"/>
  <c r="H720" i="4"/>
  <c r="H721" i="4"/>
  <c r="H722" i="4"/>
  <c r="H723" i="4"/>
  <c r="H729" i="4"/>
  <c r="H732" i="4"/>
  <c r="H738" i="4"/>
  <c r="H740" i="4"/>
  <c r="H743" i="4"/>
  <c r="H429" i="4"/>
  <c r="M1119" i="4" l="1"/>
  <c r="M405" i="4" l="1"/>
  <c r="M407" i="4"/>
  <c r="M412" i="4"/>
  <c r="M409" i="4"/>
  <c r="M423" i="4"/>
  <c r="M413" i="4"/>
  <c r="M399" i="4"/>
  <c r="M397" i="4"/>
  <c r="M388" i="4"/>
  <c r="M381" i="4"/>
  <c r="M895" i="4"/>
  <c r="M342" i="4"/>
  <c r="M298" i="4"/>
  <c r="M290" i="4"/>
  <c r="M289" i="4"/>
  <c r="M239" i="4"/>
  <c r="M238" i="4"/>
  <c r="M237" i="4"/>
  <c r="M179" i="4"/>
  <c r="M176" i="4"/>
  <c r="M175" i="4"/>
  <c r="M173" i="4"/>
  <c r="M84" i="4"/>
  <c r="M83" i="4"/>
  <c r="M82" i="4"/>
  <c r="M75" i="4"/>
  <c r="M67" i="4"/>
  <c r="M1149" i="4" l="1"/>
  <c r="M1147" i="4"/>
  <c r="M1140" i="4"/>
  <c r="M1132" i="4"/>
  <c r="M1131" i="4"/>
  <c r="M1129" i="4"/>
  <c r="M1124" i="4"/>
  <c r="M1118" i="4"/>
  <c r="M1116" i="4"/>
  <c r="M1114" i="4"/>
  <c r="M1097" i="4"/>
  <c r="M1093" i="4"/>
  <c r="M1090" i="4"/>
  <c r="M1075" i="4"/>
  <c r="M1067" i="4"/>
  <c r="M1064" i="4"/>
  <c r="M1063" i="4"/>
  <c r="M1062" i="4"/>
  <c r="M1061" i="4"/>
  <c r="M1060" i="4"/>
  <c r="M1059" i="4"/>
  <c r="M1058" i="4"/>
  <c r="M1056" i="4"/>
  <c r="M1057" i="4"/>
  <c r="M1055" i="4"/>
  <c r="M1054" i="4"/>
  <c r="M1052" i="4"/>
  <c r="M1051" i="4"/>
  <c r="M1050" i="4"/>
  <c r="M1047" i="4"/>
  <c r="M1044" i="4"/>
  <c r="M1042" i="4"/>
  <c r="M1041" i="4"/>
  <c r="M1040" i="4"/>
  <c r="M1039" i="4"/>
  <c r="M1038" i="4"/>
  <c r="M1020" i="4"/>
  <c r="M1014" i="4"/>
  <c r="M1011" i="4"/>
  <c r="M1009" i="4"/>
  <c r="M1008" i="4"/>
  <c r="M1007" i="4"/>
  <c r="M1006" i="4"/>
  <c r="M1005" i="4"/>
  <c r="M1000" i="4"/>
  <c r="M996" i="4"/>
  <c r="M994" i="4"/>
  <c r="M993" i="4"/>
  <c r="M992" i="4"/>
  <c r="M991" i="4"/>
  <c r="M990" i="4"/>
  <c r="M989" i="4"/>
  <c r="M987" i="4"/>
  <c r="M986" i="4"/>
  <c r="M978" i="4"/>
  <c r="M977" i="4"/>
  <c r="M988" i="4"/>
  <c r="M924" i="4" l="1"/>
  <c r="M923" i="4"/>
  <c r="M912" i="4"/>
  <c r="M896" i="4"/>
  <c r="M894" i="4"/>
  <c r="M890" i="4"/>
  <c r="M889" i="4"/>
  <c r="M887" i="4"/>
  <c r="M881" i="4"/>
  <c r="M877" i="4"/>
  <c r="M876" i="4"/>
  <c r="M874" i="4"/>
  <c r="M871" i="4"/>
  <c r="M870" i="4"/>
  <c r="M869" i="4"/>
  <c r="M868" i="4"/>
  <c r="M867" i="4"/>
  <c r="M866" i="4"/>
  <c r="M865" i="4"/>
  <c r="M864" i="4"/>
  <c r="M850" i="4"/>
  <c r="M842" i="4"/>
  <c r="M830" i="4"/>
  <c r="M823" i="4"/>
  <c r="M553" i="4"/>
  <c r="M812" i="4" l="1"/>
  <c r="M803" i="4"/>
  <c r="M800" i="4"/>
  <c r="M797" i="4"/>
  <c r="M794" i="4"/>
  <c r="M789" i="4"/>
  <c r="M738" i="4" l="1"/>
  <c r="M733" i="4"/>
  <c r="M731" i="4"/>
  <c r="M730" i="4"/>
  <c r="M724" i="4"/>
  <c r="K14" i="5"/>
  <c r="L14" i="5"/>
  <c r="M14" i="5"/>
  <c r="J14" i="5"/>
  <c r="N14" i="5" s="1"/>
  <c r="M683" i="4"/>
  <c r="M674" i="4"/>
  <c r="M673" i="4"/>
  <c r="M664" i="4"/>
  <c r="M658" i="4"/>
  <c r="M654" i="4"/>
  <c r="M649" i="4"/>
  <c r="M648" i="4"/>
  <c r="M645" i="4"/>
  <c r="M643" i="4"/>
  <c r="M642" i="4"/>
  <c r="M638" i="4"/>
  <c r="M629" i="4"/>
  <c r="M625" i="4"/>
  <c r="M622" i="4"/>
  <c r="M621" i="4"/>
  <c r="M559" i="4"/>
  <c r="M505" i="4"/>
  <c r="M497" i="4"/>
  <c r="M496" i="4"/>
  <c r="M495" i="4"/>
  <c r="M739" i="4"/>
  <c r="M494" i="4"/>
  <c r="M493" i="4"/>
  <c r="M485" i="4"/>
  <c r="M479" i="4"/>
  <c r="M500" i="4"/>
  <c r="M499" i="4"/>
  <c r="M498" i="4"/>
  <c r="M503" i="4"/>
  <c r="E37" i="5" l="1"/>
  <c r="M795" i="4" l="1"/>
  <c r="M796" i="4"/>
  <c r="M793" i="4"/>
  <c r="M824" i="4"/>
  <c r="M825" i="4"/>
  <c r="M828" i="4"/>
  <c r="M846" i="4"/>
  <c r="M843" i="4"/>
  <c r="M799" i="4"/>
  <c r="M798" i="4"/>
  <c r="M790" i="4"/>
  <c r="M801" i="4"/>
</calcChain>
</file>

<file path=xl/sharedStrings.xml><?xml version="1.0" encoding="utf-8"?>
<sst xmlns="http://schemas.openxmlformats.org/spreadsheetml/2006/main" count="6551" uniqueCount="473">
  <si>
    <t>No</t>
  </si>
  <si>
    <t>Nama Barang</t>
  </si>
  <si>
    <t>jumlah</t>
  </si>
  <si>
    <t>satuan</t>
  </si>
  <si>
    <t>kondisi</t>
  </si>
  <si>
    <t xml:space="preserve">baik </t>
  </si>
  <si>
    <t>rusak</t>
  </si>
  <si>
    <t>kode barang</t>
  </si>
  <si>
    <t>A</t>
  </si>
  <si>
    <t>B</t>
  </si>
  <si>
    <t>C</t>
  </si>
  <si>
    <t>nama ruang</t>
  </si>
  <si>
    <t>lokasi</t>
  </si>
  <si>
    <t>nama gedung</t>
  </si>
  <si>
    <t>tangal inventory</t>
  </si>
  <si>
    <t xml:space="preserve"> </t>
  </si>
  <si>
    <t>FIXED</t>
  </si>
  <si>
    <t>FURNITURE</t>
  </si>
  <si>
    <t>ASET MONITORING</t>
  </si>
  <si>
    <t>DIBUAT OLEH</t>
  </si>
  <si>
    <t>…………………….</t>
  </si>
  <si>
    <t>DIPERIKSA OLEH</t>
  </si>
  <si>
    <t>…………………………………………</t>
  </si>
  <si>
    <t xml:space="preserve">AC </t>
  </si>
  <si>
    <t>penerangan</t>
  </si>
  <si>
    <t>meja kerja</t>
  </si>
  <si>
    <t>1 biro</t>
  </si>
  <si>
    <t>1/2 biro</t>
  </si>
  <si>
    <t>credenza</t>
  </si>
  <si>
    <t>meja rapat</t>
  </si>
  <si>
    <t>persegi besar</t>
  </si>
  <si>
    <t>persegi kecil</t>
  </si>
  <si>
    <t xml:space="preserve">bulat </t>
  </si>
  <si>
    <t>others</t>
  </si>
  <si>
    <t>kursi kerja</t>
  </si>
  <si>
    <t>direksi</t>
  </si>
  <si>
    <t>staff</t>
  </si>
  <si>
    <t>hadap</t>
  </si>
  <si>
    <t>kursi lain</t>
  </si>
  <si>
    <t>stacking chair</t>
  </si>
  <si>
    <t>kursi kayu</t>
  </si>
  <si>
    <t>sofa</t>
  </si>
  <si>
    <t>single seater</t>
  </si>
  <si>
    <t>double seater</t>
  </si>
  <si>
    <t>triple seater</t>
  </si>
  <si>
    <t>sofabed</t>
  </si>
  <si>
    <t>decorative</t>
  </si>
  <si>
    <t>painting frame besar</t>
  </si>
  <si>
    <t>painting frame kecil</t>
  </si>
  <si>
    <t>planter box</t>
  </si>
  <si>
    <t>lemari</t>
  </si>
  <si>
    <t>filling cabinet 4</t>
  </si>
  <si>
    <t>filling cabinet 2</t>
  </si>
  <si>
    <t>filling cabinet 3</t>
  </si>
  <si>
    <t>filling shelving 2 pintu</t>
  </si>
  <si>
    <t>filling shelving 1 pintu</t>
  </si>
  <si>
    <t>EQUIPMENTS ( non IT )</t>
  </si>
  <si>
    <t>TV</t>
  </si>
  <si>
    <t>rak tv / braket</t>
  </si>
  <si>
    <t>humidity</t>
  </si>
  <si>
    <t>sound system</t>
  </si>
  <si>
    <t>HLP-GUDANG</t>
  </si>
  <si>
    <t>HALIM</t>
  </si>
  <si>
    <t>Satuan</t>
  </si>
  <si>
    <t>Kelengkapan Dokumen</t>
  </si>
  <si>
    <t>Keadaan Barang</t>
  </si>
  <si>
    <t>Keterangan</t>
  </si>
  <si>
    <t>Tanggal Inventory</t>
  </si>
  <si>
    <t>Tahun Pembelian / Pembuatan</t>
  </si>
  <si>
    <t>BUKU INDUK INVENTORY ALAT GUDANG HLP</t>
  </si>
  <si>
    <t>Meja Kerja</t>
  </si>
  <si>
    <t>Nama Asset</t>
  </si>
  <si>
    <t>Jenis Asset</t>
  </si>
  <si>
    <t>Unit</t>
  </si>
  <si>
    <t>Pcs</t>
  </si>
  <si>
    <t>Set</t>
  </si>
  <si>
    <t>Double</t>
  </si>
  <si>
    <t>Single</t>
  </si>
  <si>
    <t>Penerangan</t>
  </si>
  <si>
    <t xml:space="preserve">Saklar </t>
  </si>
  <si>
    <t>Stop kontak</t>
  </si>
  <si>
    <t>Humidity</t>
  </si>
  <si>
    <t>Rak tv / braket</t>
  </si>
  <si>
    <t>Kursi Plastik</t>
  </si>
  <si>
    <t>(Merk, warna, ukuran)</t>
  </si>
  <si>
    <t>Smal Flower Pot</t>
  </si>
  <si>
    <t>Planter Box</t>
  </si>
  <si>
    <t>Besar</t>
  </si>
  <si>
    <t>Kecil</t>
  </si>
  <si>
    <t>Pot</t>
  </si>
  <si>
    <t>Others</t>
  </si>
  <si>
    <t>Hexagonal</t>
  </si>
  <si>
    <t>Triangle</t>
  </si>
  <si>
    <t>Dispenser</t>
  </si>
  <si>
    <t>Coffee Maker</t>
  </si>
  <si>
    <t>Microwave</t>
  </si>
  <si>
    <t>Daikin</t>
  </si>
  <si>
    <t>Sharp</t>
  </si>
  <si>
    <t>Panasonic</t>
  </si>
  <si>
    <t>Lokasi</t>
  </si>
  <si>
    <t>Tangal Inventory</t>
  </si>
  <si>
    <t>Bulb</t>
  </si>
  <si>
    <t>Vertical Blind</t>
  </si>
  <si>
    <t>Rak Besi Ambalan 5</t>
  </si>
  <si>
    <t>Meja Rapat</t>
  </si>
  <si>
    <t>Kursi Kerja</t>
  </si>
  <si>
    <t>Kursi Lain</t>
  </si>
  <si>
    <t>Sofa</t>
  </si>
  <si>
    <t>Lemari</t>
  </si>
  <si>
    <t>Decorative</t>
  </si>
  <si>
    <t xml:space="preserve">Painting frame </t>
  </si>
  <si>
    <t>Standing Lamp</t>
  </si>
  <si>
    <t>Direksi</t>
  </si>
  <si>
    <t>Staff</t>
  </si>
  <si>
    <t>Persegi besar</t>
  </si>
  <si>
    <t>Persegi kecil</t>
  </si>
  <si>
    <t xml:space="preserve">Bulat </t>
  </si>
  <si>
    <t>Hadap</t>
  </si>
  <si>
    <t>Stacking chair</t>
  </si>
  <si>
    <t>Kursi kayu</t>
  </si>
  <si>
    <t>Jam Dinding</t>
  </si>
  <si>
    <t>Whiteboard</t>
  </si>
  <si>
    <t>Other</t>
  </si>
  <si>
    <t>Refrigerator</t>
  </si>
  <si>
    <t>Pot Besar</t>
  </si>
  <si>
    <t>Remote AC</t>
  </si>
  <si>
    <t>Nama Gedung</t>
  </si>
  <si>
    <t>Nama Ruang</t>
  </si>
  <si>
    <t>AC</t>
  </si>
  <si>
    <t>1 PK</t>
  </si>
  <si>
    <t>1,5 PK</t>
  </si>
  <si>
    <t>2 PK</t>
  </si>
  <si>
    <t>5 PK</t>
  </si>
  <si>
    <t>SHARP</t>
  </si>
  <si>
    <t>PANASONIC</t>
  </si>
  <si>
    <t>GREE</t>
  </si>
  <si>
    <t>SANYO</t>
  </si>
  <si>
    <t>DAIKIN</t>
  </si>
  <si>
    <t>SMALL</t>
  </si>
  <si>
    <t>LARGE</t>
  </si>
  <si>
    <t>NEON</t>
  </si>
  <si>
    <t>BULB</t>
  </si>
  <si>
    <t>SINGLE</t>
  </si>
  <si>
    <t>DOUBLE</t>
  </si>
  <si>
    <t>KRISS</t>
  </si>
  <si>
    <t>JAM</t>
  </si>
  <si>
    <t>MEJA</t>
  </si>
  <si>
    <t>KERJA</t>
  </si>
  <si>
    <t>BULAT</t>
  </si>
  <si>
    <t>CREDENZA</t>
  </si>
  <si>
    <t>KURSI</t>
  </si>
  <si>
    <t>DIREKSI</t>
  </si>
  <si>
    <t>STAFF</t>
  </si>
  <si>
    <t>HADAP</t>
  </si>
  <si>
    <t>NON KERJA</t>
  </si>
  <si>
    <t>PLASTIK</t>
  </si>
  <si>
    <t>LIPAT</t>
  </si>
  <si>
    <t>STACKING</t>
  </si>
  <si>
    <t>SOFA</t>
  </si>
  <si>
    <t>LOVESEAT</t>
  </si>
  <si>
    <t>THREE SEATET</t>
  </si>
  <si>
    <t>2 DRAWER</t>
  </si>
  <si>
    <t>BESI</t>
  </si>
  <si>
    <t xml:space="preserve">FILLING KABINET </t>
  </si>
  <si>
    <t>3 DRAWER</t>
  </si>
  <si>
    <t>4 DRAWER</t>
  </si>
  <si>
    <t>KAYU</t>
  </si>
  <si>
    <t>FILLING KABINET</t>
  </si>
  <si>
    <t>LEMARI</t>
  </si>
  <si>
    <t>KACA</t>
  </si>
  <si>
    <t>RAK</t>
  </si>
  <si>
    <t>AMBALAN</t>
  </si>
  <si>
    <t>MIKROWAVE</t>
  </si>
  <si>
    <t>TV KAYU</t>
  </si>
  <si>
    <t>RAPAT</t>
  </si>
  <si>
    <t>1 BIRO</t>
  </si>
  <si>
    <t>1/2 BIRO</t>
  </si>
  <si>
    <t>1/2 PK</t>
  </si>
  <si>
    <t>BED</t>
  </si>
  <si>
    <t>CONTAINER</t>
  </si>
  <si>
    <t>WHITEBOARD</t>
  </si>
  <si>
    <t>POT BUNGA</t>
  </si>
  <si>
    <t>TELPON</t>
  </si>
  <si>
    <t>REMOTE</t>
  </si>
  <si>
    <t>50 INCH</t>
  </si>
  <si>
    <t>DISPENSER</t>
  </si>
  <si>
    <t>PUTIH</t>
  </si>
  <si>
    <t>KRISSHOME</t>
  </si>
  <si>
    <t>MICKROWAVE</t>
  </si>
  <si>
    <t>REFRIGERATOR</t>
  </si>
  <si>
    <t>3 PINTU</t>
  </si>
  <si>
    <t>TOSHIBA</t>
  </si>
  <si>
    <t>LAMP</t>
  </si>
  <si>
    <t>READ</t>
  </si>
  <si>
    <t>STANDING</t>
  </si>
  <si>
    <t>BLUELIGHT</t>
  </si>
  <si>
    <t>KRIS</t>
  </si>
  <si>
    <t>DINDING</t>
  </si>
  <si>
    <t>RAK BUNGA</t>
  </si>
  <si>
    <t>WALL</t>
  </si>
  <si>
    <t>Kode Asset</t>
  </si>
  <si>
    <t>Jumlah</t>
  </si>
  <si>
    <t>Kondisi</t>
  </si>
  <si>
    <t xml:space="preserve">Baik </t>
  </si>
  <si>
    <t>Rusak</t>
  </si>
  <si>
    <t>STATION</t>
  </si>
  <si>
    <t>CGK</t>
  </si>
  <si>
    <t>RAA</t>
  </si>
  <si>
    <t>GGD</t>
  </si>
  <si>
    <t>HLP</t>
  </si>
  <si>
    <t>Sanyo</t>
  </si>
  <si>
    <t>Note:</t>
  </si>
  <si>
    <t>*</t>
  </si>
  <si>
    <t>Philips (TL/LED/NEON)</t>
  </si>
  <si>
    <t>(Merk/warna/ukuran)</t>
  </si>
  <si>
    <t>**</t>
  </si>
  <si>
    <t>Mohon diisi pada nama masing-masing barang disetiap kolom.</t>
  </si>
  <si>
    <t>3/4 PK</t>
  </si>
  <si>
    <t>BIG</t>
  </si>
  <si>
    <t>MEDIUM</t>
  </si>
  <si>
    <t>RED</t>
  </si>
  <si>
    <t>SAMSUNG</t>
  </si>
  <si>
    <t>5 STACKING</t>
  </si>
  <si>
    <t>6 STACKING</t>
  </si>
  <si>
    <t>BLIND</t>
  </si>
  <si>
    <t>LAMPU</t>
  </si>
  <si>
    <t>PHILIPS</t>
  </si>
  <si>
    <t>ELECTRIC</t>
  </si>
  <si>
    <t>ELECTRIC SOCKET</t>
  </si>
  <si>
    <t>SOCKET</t>
  </si>
  <si>
    <t>SWITCH</t>
  </si>
  <si>
    <t>TRIANGLE</t>
  </si>
  <si>
    <t>HEXAGONAL</t>
  </si>
  <si>
    <t>RECTANGULAR</t>
  </si>
  <si>
    <t>Proyektor</t>
  </si>
  <si>
    <t>Rectangular</t>
  </si>
  <si>
    <t>Merk AC</t>
  </si>
  <si>
    <t>PK</t>
  </si>
  <si>
    <t>R. Aset</t>
  </si>
  <si>
    <t>R. HRD</t>
  </si>
  <si>
    <t>R. Arfan</t>
  </si>
  <si>
    <t>R. Accounting</t>
  </si>
  <si>
    <t>R. DIR. OPS</t>
  </si>
  <si>
    <t>R. Meeting</t>
  </si>
  <si>
    <t>R. Training</t>
  </si>
  <si>
    <t>R. Batik Atas</t>
  </si>
  <si>
    <t>R. Batik Bawah</t>
  </si>
  <si>
    <t>R. APLOG</t>
  </si>
  <si>
    <t>R. Avsec</t>
  </si>
  <si>
    <t>R. PIC</t>
  </si>
  <si>
    <t>R. Manifest</t>
  </si>
  <si>
    <t>R. Adm. OPS</t>
  </si>
  <si>
    <t>APK</t>
  </si>
  <si>
    <t>5 thn</t>
  </si>
  <si>
    <t>bawah</t>
  </si>
  <si>
    <t>meeting</t>
  </si>
  <si>
    <t>r. kecil atas</t>
  </si>
  <si>
    <t>r. kasir</t>
  </si>
  <si>
    <t>r. control room</t>
  </si>
  <si>
    <t>R-32</t>
  </si>
  <si>
    <t>R-22</t>
  </si>
  <si>
    <t>gree</t>
  </si>
  <si>
    <t>r-22</t>
  </si>
  <si>
    <t>yofa</t>
  </si>
  <si>
    <t>sharp</t>
  </si>
  <si>
    <t>sanyo</t>
  </si>
  <si>
    <t>r-32</t>
  </si>
  <si>
    <t>incoming</t>
  </si>
  <si>
    <t>daikin</t>
  </si>
  <si>
    <t xml:space="preserve">Daikin </t>
  </si>
  <si>
    <t xml:space="preserve">Sharp </t>
  </si>
  <si>
    <t xml:space="preserve">Sanyo </t>
  </si>
  <si>
    <t xml:space="preserve">Samsung </t>
  </si>
  <si>
    <t xml:space="preserve">Panasonic </t>
  </si>
  <si>
    <t xml:space="preserve">Gree </t>
  </si>
  <si>
    <t>1 biro (120cm)</t>
  </si>
  <si>
    <t>Bh</t>
  </si>
  <si>
    <t>1/2 biro (dibawah 120Cm)</t>
  </si>
  <si>
    <t>Credenza (Meja Samping)</t>
  </si>
  <si>
    <t>Kursi lipat</t>
  </si>
  <si>
    <t>filling Kayu 3 Drawer</t>
  </si>
  <si>
    <t>filling Kayu 4 Drawer</t>
  </si>
  <si>
    <t>Lemari Filling pintu Kaca</t>
  </si>
  <si>
    <t>Lemari Filling Full Besi</t>
  </si>
  <si>
    <t>Screen Monitor</t>
  </si>
  <si>
    <t>Lain-Lain</t>
  </si>
  <si>
    <t>Apabila ada nama barang yang belum masuk daftar diatas, agar mengisi secara pada bagian yang kosong dengan lengkap (Merk/Ukuran/Jumlah/deskripsi yg lainnya)</t>
  </si>
  <si>
    <t>Sound system / Camera</t>
  </si>
  <si>
    <t>TOTAL ASET</t>
  </si>
  <si>
    <t>RELAX</t>
  </si>
  <si>
    <t>WOOD</t>
  </si>
  <si>
    <t>SUSUN</t>
  </si>
  <si>
    <t>PANTRY</t>
  </si>
  <si>
    <t>LACI</t>
  </si>
  <si>
    <t>BUFFET TV</t>
  </si>
  <si>
    <t>PAINTING FRAME</t>
  </si>
  <si>
    <t>FRAME</t>
  </si>
  <si>
    <t>VERTCAL</t>
  </si>
  <si>
    <t>DIE CAST AIRPLANE</t>
  </si>
  <si>
    <t>AIRPLANE</t>
  </si>
  <si>
    <t>DECORATION</t>
  </si>
  <si>
    <t>PLAKAT</t>
  </si>
  <si>
    <t>AIRLINE</t>
  </si>
  <si>
    <t>TIRAI SEKAT RUANGAN</t>
  </si>
  <si>
    <t>PEMBATAS</t>
  </si>
  <si>
    <t>POLYTRON</t>
  </si>
  <si>
    <t>HISENSE</t>
  </si>
  <si>
    <t>32 INCH</t>
  </si>
  <si>
    <t>58 INCH</t>
  </si>
  <si>
    <t>BRACKET TV</t>
  </si>
  <si>
    <t>BLACK</t>
  </si>
  <si>
    <t>DOKUMEN</t>
  </si>
  <si>
    <t>HUMIDITY</t>
  </si>
  <si>
    <t>KRISSBOW</t>
  </si>
  <si>
    <t>KRISBOW</t>
  </si>
  <si>
    <t>1 PINTU</t>
  </si>
  <si>
    <t>PUTIH &amp; HITAM</t>
  </si>
  <si>
    <t>SOUND SYSTEM</t>
  </si>
  <si>
    <t>PORTABLE</t>
  </si>
  <si>
    <t>HITAM</t>
  </si>
  <si>
    <t>COFEE MAKER</t>
  </si>
  <si>
    <t>KLAZ</t>
  </si>
  <si>
    <t>HITAM/PUTIH</t>
  </si>
  <si>
    <t>R. Tengah Besar</t>
  </si>
  <si>
    <t>2 PINTU</t>
  </si>
  <si>
    <t>BAIK</t>
  </si>
  <si>
    <t>BUTUH PERBAIKAN</t>
  </si>
  <si>
    <t>Estimasi nilai perolehan (RP)</t>
  </si>
  <si>
    <t>Baik</t>
  </si>
  <si>
    <t>Butuh Perbaikan</t>
  </si>
  <si>
    <t>MIYAKO</t>
  </si>
  <si>
    <t>KECIL</t>
  </si>
  <si>
    <t>SILVER</t>
  </si>
  <si>
    <t>SPESIFIKASI</t>
  </si>
  <si>
    <t>KEPEMILIKAN</t>
  </si>
  <si>
    <t>BDL</t>
  </si>
  <si>
    <t>LJA</t>
  </si>
  <si>
    <t>MIT-E</t>
  </si>
  <si>
    <t>AKARI</t>
  </si>
  <si>
    <t>CHANGHONG</t>
  </si>
  <si>
    <t>REGULAR</t>
  </si>
  <si>
    <t xml:space="preserve"> 50 INCH</t>
  </si>
  <si>
    <t>STERIL BOX</t>
  </si>
  <si>
    <t>RAKIT</t>
  </si>
  <si>
    <t xml:space="preserve">CONTAINER </t>
  </si>
  <si>
    <t>JML</t>
  </si>
  <si>
    <t>THREE SEATER</t>
  </si>
  <si>
    <t>RUANGAN</t>
  </si>
  <si>
    <t>LOKASI</t>
  </si>
  <si>
    <t>RUKO</t>
  </si>
  <si>
    <t>WHITE</t>
  </si>
  <si>
    <t>BLACK/WHITE</t>
  </si>
  <si>
    <t>SEKAT</t>
  </si>
  <si>
    <t xml:space="preserve">TV </t>
  </si>
  <si>
    <t>R. MEETING</t>
  </si>
  <si>
    <t>R. DIRUT</t>
  </si>
  <si>
    <t>R. DIROPS</t>
  </si>
  <si>
    <t>FOYER</t>
  </si>
  <si>
    <t>R. STAFF</t>
  </si>
  <si>
    <t>-</t>
  </si>
  <si>
    <t>R. FOYER</t>
  </si>
  <si>
    <t>ELIS</t>
  </si>
  <si>
    <t>R. MD</t>
  </si>
  <si>
    <t>KODE</t>
  </si>
  <si>
    <t>R. PANTRY</t>
  </si>
  <si>
    <t>R. MEETING KECIL</t>
  </si>
  <si>
    <t>SONY</t>
  </si>
  <si>
    <t>PORTABLE HITAM</t>
  </si>
  <si>
    <t>JABRA</t>
  </si>
  <si>
    <t xml:space="preserve">SHARP </t>
  </si>
  <si>
    <t>CLAIRE</t>
  </si>
  <si>
    <t>ORANGE</t>
  </si>
  <si>
    <t>UMBRA</t>
  </si>
  <si>
    <t>TWILIGHT</t>
  </si>
  <si>
    <t xml:space="preserve">R. MEETING </t>
  </si>
  <si>
    <t>R. ELIS</t>
  </si>
  <si>
    <t>ATAS REFRIGERATOR</t>
  </si>
  <si>
    <t>AMY</t>
  </si>
  <si>
    <t>ANDI</t>
  </si>
  <si>
    <t>ALAT REFLEXY</t>
  </si>
  <si>
    <t>ALAT</t>
  </si>
  <si>
    <t>REFLEXY</t>
  </si>
  <si>
    <t>R. BATIK ATAS</t>
  </si>
  <si>
    <t>R. AVSEC</t>
  </si>
  <si>
    <t>R. ADM OPS</t>
  </si>
  <si>
    <t>R. MANIFEST</t>
  </si>
  <si>
    <t>R. ASET</t>
  </si>
  <si>
    <t>R. TRAINING</t>
  </si>
  <si>
    <t>R. BATIK BAWAH</t>
  </si>
  <si>
    <t>R. ACCOUNTING</t>
  </si>
  <si>
    <t>R. ARFAN</t>
  </si>
  <si>
    <t>R. BESAR TENGAH</t>
  </si>
  <si>
    <t>R. BOY</t>
  </si>
  <si>
    <t>R. DIR. HRD</t>
  </si>
  <si>
    <t>R. IT</t>
  </si>
  <si>
    <t>R. SM</t>
  </si>
  <si>
    <t>R. ACCEPTANCE</t>
  </si>
  <si>
    <t>R. SM HLP</t>
  </si>
  <si>
    <t>R. DIR HRD</t>
  </si>
  <si>
    <t>R. RAPAT</t>
  </si>
  <si>
    <t>CENTURY</t>
  </si>
  <si>
    <t>R. SM APK</t>
  </si>
  <si>
    <t>R. MEETING ATAS</t>
  </si>
  <si>
    <t>R. KERJA ATAS/LORONG</t>
  </si>
  <si>
    <t>R. CONTROL ROOM</t>
  </si>
  <si>
    <t>R. QC</t>
  </si>
  <si>
    <t>R. KASIR</t>
  </si>
  <si>
    <t>R. INCOMING</t>
  </si>
  <si>
    <t>R. WTMD</t>
  </si>
  <si>
    <t>LOCKER</t>
  </si>
  <si>
    <t>9 LACI</t>
  </si>
  <si>
    <t>12 LACI</t>
  </si>
  <si>
    <t>FAN</t>
  </si>
  <si>
    <t>TEMPEL</t>
  </si>
  <si>
    <t>DOCUMENT</t>
  </si>
  <si>
    <t>R. ATM</t>
  </si>
  <si>
    <t>R. PAUL LION</t>
  </si>
  <si>
    <t>R. ASMEN LION</t>
  </si>
  <si>
    <t>R. RAPAT BESAR</t>
  </si>
  <si>
    <t>R. GM CGK</t>
  </si>
  <si>
    <t>R. IMPORT</t>
  </si>
  <si>
    <t>R. EXPORT</t>
  </si>
  <si>
    <t>R. COOL ROOM</t>
  </si>
  <si>
    <t>R. STAFF LT. 2</t>
  </si>
  <si>
    <t>R. FINNANCE</t>
  </si>
  <si>
    <t>R. MIT-E</t>
  </si>
  <si>
    <t>R. RAPAT LION</t>
  </si>
  <si>
    <t>R. ADMIN LION</t>
  </si>
  <si>
    <t>R. PDE</t>
  </si>
  <si>
    <t>R. OPS LION LT. 2</t>
  </si>
  <si>
    <t>R. MUSHOLA</t>
  </si>
  <si>
    <t>R. MEETING BESAR</t>
  </si>
  <si>
    <t>R. BU LIES</t>
  </si>
  <si>
    <t>R. REVENUE</t>
  </si>
  <si>
    <t>R. LO</t>
  </si>
  <si>
    <t>GUDANG D</t>
  </si>
  <si>
    <t>R. MEETING LION</t>
  </si>
  <si>
    <t>R. STAFF LT. 3</t>
  </si>
  <si>
    <t>R. STAFF LT. 4</t>
  </si>
  <si>
    <t>R. RAPAT KECIL</t>
  </si>
  <si>
    <t>R. STAFF LT. 5</t>
  </si>
  <si>
    <t>GUDANG IMPORT</t>
  </si>
  <si>
    <t>G. INCOMING</t>
  </si>
  <si>
    <t>R. KASIR LT. 1</t>
  </si>
  <si>
    <t>R. FOYER LT. 1</t>
  </si>
  <si>
    <t>R. FOYER LT. 2</t>
  </si>
  <si>
    <t>GUDANG INCOMING</t>
  </si>
  <si>
    <t>R. ADMIN LION LT. 2</t>
  </si>
  <si>
    <t>R. AIRLINE LT. 1</t>
  </si>
  <si>
    <t>R. FILE EXPORT</t>
  </si>
  <si>
    <t>R. KASIT LT. 1</t>
  </si>
  <si>
    <t>3 STACKING</t>
  </si>
  <si>
    <t>MESIN UANG</t>
  </si>
  <si>
    <t>MESIN</t>
  </si>
  <si>
    <t>UANG</t>
  </si>
  <si>
    <t>R. FOYER LT. 3</t>
  </si>
  <si>
    <t>R. FOYER LT. 4</t>
  </si>
  <si>
    <t>R. DIRUT/R. RAPAT KECIL</t>
  </si>
  <si>
    <t>SANKEN</t>
  </si>
  <si>
    <t>DENPOO</t>
  </si>
  <si>
    <t>DOSTE GUSTO</t>
  </si>
  <si>
    <t>RECEPTIONIS</t>
  </si>
  <si>
    <t>RAILING</t>
  </si>
  <si>
    <t>R. KADE</t>
  </si>
  <si>
    <t>PENYIMPANAN</t>
  </si>
  <si>
    <t>KARGO/BARANG</t>
  </si>
  <si>
    <t>32 inch</t>
  </si>
  <si>
    <t>R. DIREKSI</t>
  </si>
  <si>
    <t>R. TAMU</t>
  </si>
  <si>
    <t>HLP-R. HRD</t>
  </si>
  <si>
    <t>R. GUDANG LT.1</t>
  </si>
  <si>
    <t>MILIK SPADA</t>
  </si>
  <si>
    <t>R. GUDANG LT.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</si>
</sst>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64" formatCode="_(* #,##0.00_);_(* \(#,##0.00\);_(* &quot;-&quot;??_);_(@_)"/>
    <numFmt numFmtId="165" formatCode="[$-F800]dddd\,\ mmmm\ dd\,\ yyyy"/>
    <numFmt numFmtId="166" formatCode="_(* #,##0.000_);_(* \(#,##0.000\);_(* &quot;-&quot;??_);_(@_)"/>
    <numFmt numFmtId="167" formatCode="_(* #,##0_);_(* \(#,##0\);_(* &quot;-&quot;??_);_(@_)"/>
    <numFmt numFmtId="168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440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center" vertical="center"/>
    </xf>
    <xf numFmtId="165" fontId="0" fillId="0" borderId="27" xfId="0" applyNumberFormat="1" applyBorder="1" applyAlignment="1">
      <alignment horizontal="left"/>
    </xf>
    <xf numFmtId="0" fontId="1" fillId="0" borderId="0" xfId="0" applyFont="1"/>
    <xf numFmtId="166" fontId="0" fillId="0" borderId="0" xfId="1" applyNumberFormat="1" applyFont="1"/>
    <xf numFmtId="166" fontId="0" fillId="0" borderId="19" xfId="1" applyNumberFormat="1" applyFont="1" applyBorder="1"/>
    <xf numFmtId="166" fontId="0" fillId="0" borderId="37" xfId="1" applyNumberFormat="1" applyFont="1" applyBorder="1"/>
    <xf numFmtId="166" fontId="1" fillId="0" borderId="7" xfId="1" applyNumberFormat="1" applyFont="1" applyBorder="1" applyAlignment="1">
      <alignment horizontal="left" vertical="center"/>
    </xf>
    <xf numFmtId="166" fontId="1" fillId="0" borderId="12" xfId="1" applyNumberFormat="1" applyFont="1" applyBorder="1" applyAlignment="1">
      <alignment horizontal="left" vertical="center"/>
    </xf>
    <xf numFmtId="166" fontId="0" fillId="0" borderId="12" xfId="1" applyNumberFormat="1" applyFont="1" applyBorder="1"/>
    <xf numFmtId="166" fontId="1" fillId="0" borderId="32" xfId="1" applyNumberFormat="1" applyFont="1" applyBorder="1" applyAlignment="1">
      <alignment horizontal="left" vertical="center"/>
    </xf>
    <xf numFmtId="166" fontId="1" fillId="0" borderId="19" xfId="1" applyNumberFormat="1" applyFont="1" applyBorder="1" applyAlignment="1">
      <alignment horizontal="left" vertical="center"/>
    </xf>
    <xf numFmtId="166" fontId="0" fillId="0" borderId="32" xfId="1" applyNumberFormat="1" applyFont="1" applyBorder="1"/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6" fontId="0" fillId="2" borderId="29" xfId="1" applyNumberFormat="1" applyFont="1" applyFill="1" applyBorder="1"/>
    <xf numFmtId="1" fontId="0" fillId="0" borderId="0" xfId="1" applyNumberFormat="1" applyFont="1"/>
    <xf numFmtId="1" fontId="1" fillId="0" borderId="21" xfId="1" applyNumberFormat="1" applyFont="1" applyBorder="1" applyAlignment="1">
      <alignment horizontal="left" vertical="center"/>
    </xf>
    <xf numFmtId="1" fontId="1" fillId="0" borderId="13" xfId="1" applyNumberFormat="1" applyFont="1" applyBorder="1" applyAlignment="1">
      <alignment horizontal="left" vertical="center"/>
    </xf>
    <xf numFmtId="1" fontId="0" fillId="0" borderId="13" xfId="1" applyNumberFormat="1" applyFont="1" applyBorder="1"/>
    <xf numFmtId="1" fontId="1" fillId="0" borderId="40" xfId="1" applyNumberFormat="1" applyFont="1" applyBorder="1" applyAlignment="1">
      <alignment horizontal="left" vertical="center"/>
    </xf>
    <xf numFmtId="1" fontId="0" fillId="0" borderId="38" xfId="1" applyNumberFormat="1" applyFont="1" applyBorder="1"/>
    <xf numFmtId="1" fontId="0" fillId="2" borderId="29" xfId="1" applyNumberFormat="1" applyFont="1" applyFill="1" applyBorder="1"/>
    <xf numFmtId="167" fontId="0" fillId="0" borderId="0" xfId="1" applyNumberFormat="1" applyFont="1"/>
    <xf numFmtId="167" fontId="1" fillId="0" borderId="12" xfId="1" applyNumberFormat="1" applyFont="1" applyBorder="1" applyAlignment="1">
      <alignment horizontal="left" vertical="center"/>
    </xf>
    <xf numFmtId="167" fontId="0" fillId="0" borderId="12" xfId="1" applyNumberFormat="1" applyFont="1" applyBorder="1"/>
    <xf numFmtId="167" fontId="1" fillId="0" borderId="32" xfId="1" applyNumberFormat="1" applyFont="1" applyBorder="1" applyAlignment="1">
      <alignment horizontal="left" vertical="center"/>
    </xf>
    <xf numFmtId="167" fontId="1" fillId="0" borderId="19" xfId="1" applyNumberFormat="1" applyFont="1" applyBorder="1" applyAlignment="1">
      <alignment horizontal="left" vertical="center"/>
    </xf>
    <xf numFmtId="167" fontId="0" fillId="0" borderId="19" xfId="1" applyNumberFormat="1" applyFont="1" applyBorder="1"/>
    <xf numFmtId="167" fontId="0" fillId="0" borderId="37" xfId="1" applyNumberFormat="1" applyFont="1" applyBorder="1"/>
    <xf numFmtId="167" fontId="0" fillId="2" borderId="29" xfId="1" applyNumberFormat="1" applyFont="1" applyFill="1" applyBorder="1"/>
    <xf numFmtId="166" fontId="1" fillId="0" borderId="43" xfId="1" applyNumberFormat="1" applyFont="1" applyBorder="1" applyAlignment="1">
      <alignment horizontal="left" vertical="center"/>
    </xf>
    <xf numFmtId="167" fontId="1" fillId="0" borderId="7" xfId="1" applyNumberFormat="1" applyFont="1" applyBorder="1" applyAlignment="1">
      <alignment horizontal="left" vertical="center"/>
    </xf>
    <xf numFmtId="0" fontId="0" fillId="2" borderId="39" xfId="0" applyFill="1" applyBorder="1" applyAlignment="1">
      <alignment horizontal="center" vertical="center"/>
    </xf>
    <xf numFmtId="168" fontId="2" fillId="0" borderId="7" xfId="1" applyNumberFormat="1" applyFont="1" applyFill="1" applyBorder="1" applyAlignment="1">
      <alignment horizontal="right" vertical="center"/>
    </xf>
    <xf numFmtId="168" fontId="2" fillId="0" borderId="12" xfId="1" applyNumberFormat="1" applyFont="1" applyFill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3" fillId="0" borderId="12" xfId="0" applyFont="1" applyBorder="1"/>
    <xf numFmtId="0" fontId="1" fillId="0" borderId="11" xfId="0" applyFont="1" applyBorder="1"/>
    <xf numFmtId="0" fontId="1" fillId="0" borderId="9" xfId="0" applyFont="1" applyBorder="1"/>
    <xf numFmtId="0" fontId="0" fillId="0" borderId="30" xfId="0" applyBorder="1"/>
    <xf numFmtId="0" fontId="1" fillId="5" borderId="21" xfId="0" applyFont="1" applyFill="1" applyBorder="1"/>
    <xf numFmtId="0" fontId="0" fillId="2" borderId="6" xfId="0" applyFill="1" applyBorder="1" applyAlignment="1">
      <alignment horizontal="center" vertical="center"/>
    </xf>
    <xf numFmtId="167" fontId="1" fillId="0" borderId="37" xfId="1" applyNumberFormat="1" applyFont="1" applyBorder="1" applyAlignment="1">
      <alignment horizontal="left" vertical="center"/>
    </xf>
    <xf numFmtId="0" fontId="0" fillId="0" borderId="32" xfId="0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1" applyNumberFormat="1" applyFont="1"/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46" xfId="0" applyFont="1" applyFill="1" applyBorder="1" applyAlignment="1">
      <alignment horizontal="left"/>
    </xf>
    <xf numFmtId="0" fontId="1" fillId="4" borderId="47" xfId="0" applyFont="1" applyFill="1" applyBorder="1" applyAlignment="1">
      <alignment horizontal="left"/>
    </xf>
    <xf numFmtId="0" fontId="0" fillId="0" borderId="0" xfId="0" applyFont="1" applyBorder="1"/>
    <xf numFmtId="0" fontId="0" fillId="0" borderId="7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32" xfId="0" applyFont="1" applyBorder="1" applyAlignment="1">
      <alignment horizontal="center" vertical="top"/>
    </xf>
    <xf numFmtId="0" fontId="0" fillId="0" borderId="46" xfId="0" applyFont="1" applyFill="1" applyBorder="1" applyAlignment="1">
      <alignment horizontal="left"/>
    </xf>
    <xf numFmtId="0" fontId="0" fillId="4" borderId="12" xfId="0" applyFill="1" applyBorder="1"/>
    <xf numFmtId="0" fontId="0" fillId="4" borderId="12" xfId="0" applyFill="1" applyBorder="1" applyAlignment="1">
      <alignment horizontal="center"/>
    </xf>
    <xf numFmtId="0" fontId="0" fillId="4" borderId="2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0" fontId="0" fillId="4" borderId="21" xfId="0" applyFill="1" applyBorder="1"/>
    <xf numFmtId="0" fontId="0" fillId="0" borderId="0" xfId="0" applyAlignment="1">
      <alignment vertical="top"/>
    </xf>
    <xf numFmtId="0" fontId="0" fillId="6" borderId="32" xfId="0" applyFont="1" applyFill="1" applyBorder="1"/>
    <xf numFmtId="0" fontId="0" fillId="6" borderId="12" xfId="0" applyFont="1" applyFill="1" applyBorder="1"/>
    <xf numFmtId="0" fontId="1" fillId="6" borderId="51" xfId="0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6" fontId="2" fillId="0" borderId="7" xfId="1" applyNumberFormat="1" applyFont="1" applyBorder="1" applyAlignment="1">
      <alignment horizontal="center" vertical="center"/>
    </xf>
    <xf numFmtId="166" fontId="2" fillId="0" borderId="12" xfId="1" applyNumberFormat="1" applyFont="1" applyBorder="1" applyAlignment="1">
      <alignment horizontal="center" vertical="center"/>
    </xf>
    <xf numFmtId="166" fontId="0" fillId="0" borderId="12" xfId="1" applyNumberFormat="1" applyFont="1" applyBorder="1" applyAlignment="1">
      <alignment horizontal="center"/>
    </xf>
    <xf numFmtId="166" fontId="2" fillId="0" borderId="32" xfId="1" applyNumberFormat="1" applyFont="1" applyBorder="1" applyAlignment="1">
      <alignment horizontal="center" vertical="center"/>
    </xf>
    <xf numFmtId="166" fontId="2" fillId="0" borderId="19" xfId="1" applyNumberFormat="1" applyFont="1" applyBorder="1" applyAlignment="1">
      <alignment horizontal="center" vertical="center"/>
    </xf>
    <xf numFmtId="166" fontId="0" fillId="0" borderId="19" xfId="1" applyNumberFormat="1" applyFont="1" applyBorder="1" applyAlignment="1">
      <alignment horizontal="center"/>
    </xf>
    <xf numFmtId="166" fontId="0" fillId="0" borderId="37" xfId="1" applyNumberFormat="1" applyFont="1" applyBorder="1" applyAlignment="1">
      <alignment horizontal="center"/>
    </xf>
    <xf numFmtId="166" fontId="0" fillId="2" borderId="29" xfId="1" applyNumberFormat="1" applyFont="1" applyFill="1" applyBorder="1" applyAlignment="1">
      <alignment horizontal="center"/>
    </xf>
    <xf numFmtId="0" fontId="0" fillId="0" borderId="54" xfId="0" applyBorder="1"/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0" xfId="0" applyFill="1" applyBorder="1"/>
    <xf numFmtId="0" fontId="0" fillId="4" borderId="54" xfId="0" applyFill="1" applyBorder="1"/>
    <xf numFmtId="0" fontId="0" fillId="4" borderId="59" xfId="0" applyFill="1" applyBorder="1"/>
    <xf numFmtId="0" fontId="0" fillId="7" borderId="54" xfId="0" applyFill="1" applyBorder="1"/>
    <xf numFmtId="0" fontId="0" fillId="7" borderId="59" xfId="0" applyFill="1" applyBorder="1"/>
    <xf numFmtId="0" fontId="0" fillId="7" borderId="61" xfId="0" applyFill="1" applyBorder="1"/>
    <xf numFmtId="0" fontId="0" fillId="7" borderId="62" xfId="0" applyFill="1" applyBorder="1"/>
    <xf numFmtId="0" fontId="0" fillId="6" borderId="54" xfId="0" applyFill="1" applyBorder="1"/>
    <xf numFmtId="0" fontId="0" fillId="6" borderId="59" xfId="0" applyFill="1" applyBorder="1"/>
    <xf numFmtId="0" fontId="0" fillId="10" borderId="54" xfId="0" applyFill="1" applyBorder="1"/>
    <xf numFmtId="0" fontId="0" fillId="10" borderId="59" xfId="0" applyFill="1" applyBorder="1"/>
    <xf numFmtId="0" fontId="0" fillId="9" borderId="54" xfId="0" applyFill="1" applyBorder="1"/>
    <xf numFmtId="0" fontId="0" fillId="9" borderId="59" xfId="0" applyFill="1" applyBorder="1"/>
    <xf numFmtId="0" fontId="0" fillId="8" borderId="54" xfId="0" applyFill="1" applyBorder="1"/>
    <xf numFmtId="0" fontId="0" fillId="8" borderId="59" xfId="0" applyFill="1" applyBorder="1"/>
    <xf numFmtId="0" fontId="0" fillId="11" borderId="54" xfId="0" applyFill="1" applyBorder="1"/>
    <xf numFmtId="0" fontId="0" fillId="11" borderId="59" xfId="0" applyFill="1" applyBorder="1"/>
    <xf numFmtId="0" fontId="0" fillId="12" borderId="54" xfId="0" applyFill="1" applyBorder="1"/>
    <xf numFmtId="0" fontId="0" fillId="12" borderId="59" xfId="0" applyFill="1" applyBorder="1"/>
    <xf numFmtId="0" fontId="0" fillId="0" borderId="59" xfId="0" applyBorder="1" applyAlignment="1">
      <alignment wrapText="1"/>
    </xf>
    <xf numFmtId="0" fontId="1" fillId="4" borderId="18" xfId="0" applyFont="1" applyFill="1" applyBorder="1" applyAlignment="1"/>
    <xf numFmtId="0" fontId="1" fillId="4" borderId="47" xfId="0" applyFont="1" applyFill="1" applyBorder="1" applyAlignment="1"/>
    <xf numFmtId="0" fontId="1" fillId="4" borderId="12" xfId="0" applyFont="1" applyFill="1" applyBorder="1"/>
    <xf numFmtId="0" fontId="3" fillId="4" borderId="12" xfId="0" applyFont="1" applyFill="1" applyBorder="1"/>
    <xf numFmtId="0" fontId="0" fillId="0" borderId="20" xfId="0" applyBorder="1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49" xfId="0" applyFill="1" applyBorder="1" applyAlignment="1">
      <alignment horizontal="left"/>
    </xf>
    <xf numFmtId="0" fontId="0" fillId="6" borderId="7" xfId="0" applyFill="1" applyBorder="1" applyAlignment="1">
      <alignment horizontal="right" vertical="center"/>
    </xf>
    <xf numFmtId="0" fontId="0" fillId="6" borderId="7" xfId="0" quotePrefix="1" applyFill="1" applyBorder="1" applyAlignment="1">
      <alignment horizontal="left" vertical="center"/>
    </xf>
    <xf numFmtId="0" fontId="0" fillId="6" borderId="12" xfId="0" applyFill="1" applyBorder="1" applyAlignment="1">
      <alignment horizontal="right" vertical="center"/>
    </xf>
    <xf numFmtId="0" fontId="0" fillId="6" borderId="12" xfId="0" quotePrefix="1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6" borderId="32" xfId="0" quotePrefix="1" applyFill="1" applyBorder="1" applyAlignment="1">
      <alignment horizontal="left" vertical="center"/>
    </xf>
    <xf numFmtId="0" fontId="0" fillId="6" borderId="12" xfId="0" applyFill="1" applyBorder="1" applyAlignment="1">
      <alignment horizontal="right"/>
    </xf>
    <xf numFmtId="0" fontId="0" fillId="6" borderId="12" xfId="0" applyFill="1" applyBorder="1" applyAlignment="1">
      <alignment horizontal="left"/>
    </xf>
    <xf numFmtId="0" fontId="0" fillId="6" borderId="32" xfId="0" applyFill="1" applyBorder="1" applyAlignment="1">
      <alignment horizontal="right"/>
    </xf>
    <xf numFmtId="0" fontId="0" fillId="6" borderId="32" xfId="0" applyFill="1" applyBorder="1" applyAlignment="1">
      <alignment horizontal="left"/>
    </xf>
    <xf numFmtId="0" fontId="0" fillId="6" borderId="32" xfId="0" applyFill="1" applyBorder="1" applyAlignment="1">
      <alignment horizontal="left" vertical="center"/>
    </xf>
    <xf numFmtId="0" fontId="0" fillId="6" borderId="32" xfId="0" applyFill="1" applyBorder="1" applyAlignment="1">
      <alignment horizontal="right" vertical="center"/>
    </xf>
    <xf numFmtId="0" fontId="0" fillId="6" borderId="30" xfId="0" applyFill="1" applyBorder="1" applyAlignment="1">
      <alignment horizontal="right" vertical="center"/>
    </xf>
    <xf numFmtId="0" fontId="0" fillId="11" borderId="32" xfId="0" applyFont="1" applyFill="1" applyBorder="1"/>
    <xf numFmtId="0" fontId="0" fillId="11" borderId="12" xfId="0" applyFill="1" applyBorder="1" applyAlignment="1">
      <alignment horizontal="right" vertical="center"/>
    </xf>
    <xf numFmtId="0" fontId="0" fillId="11" borderId="12" xfId="0" quotePrefix="1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0" xfId="0" applyFill="1" applyBorder="1" applyAlignment="1">
      <alignment horizontal="left" vertical="center"/>
    </xf>
    <xf numFmtId="0" fontId="0" fillId="11" borderId="32" xfId="0" quotePrefix="1" applyFill="1" applyBorder="1" applyAlignment="1">
      <alignment horizontal="left" vertical="center"/>
    </xf>
    <xf numFmtId="0" fontId="0" fillId="11" borderId="12" xfId="0" applyFill="1" applyBorder="1" applyAlignment="1">
      <alignment horizontal="right"/>
    </xf>
    <xf numFmtId="0" fontId="0" fillId="11" borderId="12" xfId="0" applyFill="1" applyBorder="1" applyAlignment="1">
      <alignment horizontal="left"/>
    </xf>
    <xf numFmtId="0" fontId="0" fillId="11" borderId="32" xfId="0" applyFill="1" applyBorder="1" applyAlignment="1">
      <alignment horizontal="left"/>
    </xf>
    <xf numFmtId="0" fontId="0" fillId="11" borderId="32" xfId="0" applyFill="1" applyBorder="1" applyAlignment="1">
      <alignment horizontal="left" vertical="center"/>
    </xf>
    <xf numFmtId="0" fontId="0" fillId="11" borderId="32" xfId="0" applyFill="1" applyBorder="1" applyAlignment="1">
      <alignment horizontal="right" vertical="center"/>
    </xf>
    <xf numFmtId="0" fontId="0" fillId="11" borderId="30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2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30" xfId="0" applyFill="1" applyBorder="1" applyAlignment="1">
      <alignment horizontal="left" vertical="center"/>
    </xf>
    <xf numFmtId="0" fontId="0" fillId="3" borderId="32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right"/>
    </xf>
    <xf numFmtId="0" fontId="0" fillId="3" borderId="12" xfId="0" applyFill="1" applyBorder="1" applyAlignment="1">
      <alignment horizontal="left"/>
    </xf>
    <xf numFmtId="0" fontId="0" fillId="3" borderId="32" xfId="0" applyFill="1" applyBorder="1" applyAlignment="1">
      <alignment horizontal="right"/>
    </xf>
    <xf numFmtId="0" fontId="0" fillId="3" borderId="32" xfId="0" applyFill="1" applyBorder="1" applyAlignment="1">
      <alignment horizontal="left"/>
    </xf>
    <xf numFmtId="0" fontId="0" fillId="3" borderId="32" xfId="0" applyFill="1" applyBorder="1" applyAlignment="1">
      <alignment horizontal="left" vertical="center"/>
    </xf>
    <xf numFmtId="0" fontId="0" fillId="3" borderId="32" xfId="0" applyFill="1" applyBorder="1" applyAlignment="1">
      <alignment horizontal="right" vertical="center"/>
    </xf>
    <xf numFmtId="0" fontId="0" fillId="3" borderId="30" xfId="0" applyFill="1" applyBorder="1" applyAlignment="1">
      <alignment horizontal="right" vertical="center"/>
    </xf>
    <xf numFmtId="0" fontId="0" fillId="3" borderId="12" xfId="0" applyFont="1" applyFill="1" applyBorder="1"/>
    <xf numFmtId="0" fontId="0" fillId="13" borderId="7" xfId="0" applyFill="1" applyBorder="1" applyAlignment="1">
      <alignment horizontal="right" vertical="center"/>
    </xf>
    <xf numFmtId="0" fontId="0" fillId="13" borderId="7" xfId="0" quotePrefix="1" applyFill="1" applyBorder="1" applyAlignment="1">
      <alignment horizontal="left" vertical="center"/>
    </xf>
    <xf numFmtId="0" fontId="0" fillId="13" borderId="12" xfId="0" applyFill="1" applyBorder="1" applyAlignment="1">
      <alignment horizontal="right" vertical="center"/>
    </xf>
    <xf numFmtId="0" fontId="0" fillId="13" borderId="12" xfId="0" quotePrefix="1" applyFill="1" applyBorder="1" applyAlignment="1">
      <alignment horizontal="left" vertical="center"/>
    </xf>
    <xf numFmtId="0" fontId="0" fillId="13" borderId="12" xfId="0" applyFill="1" applyBorder="1" applyAlignment="1">
      <alignment horizontal="left" vertical="center"/>
    </xf>
    <xf numFmtId="0" fontId="0" fillId="13" borderId="30" xfId="0" applyFill="1" applyBorder="1" applyAlignment="1">
      <alignment horizontal="left" vertical="center"/>
    </xf>
    <xf numFmtId="0" fontId="0" fillId="13" borderId="32" xfId="0" quotePrefix="1" applyFill="1" applyBorder="1" applyAlignment="1">
      <alignment horizontal="left" vertical="center"/>
    </xf>
    <xf numFmtId="0" fontId="0" fillId="13" borderId="12" xfId="0" applyFill="1" applyBorder="1" applyAlignment="1">
      <alignment horizontal="right"/>
    </xf>
    <xf numFmtId="0" fontId="0" fillId="13" borderId="12" xfId="0" applyFill="1" applyBorder="1" applyAlignment="1">
      <alignment horizontal="left"/>
    </xf>
    <xf numFmtId="0" fontId="0" fillId="13" borderId="32" xfId="0" applyFill="1" applyBorder="1" applyAlignment="1">
      <alignment horizontal="right"/>
    </xf>
    <xf numFmtId="0" fontId="0" fillId="13" borderId="32" xfId="0" applyFill="1" applyBorder="1" applyAlignment="1">
      <alignment horizontal="left"/>
    </xf>
    <xf numFmtId="0" fontId="0" fillId="13" borderId="32" xfId="0" applyFill="1" applyBorder="1" applyAlignment="1">
      <alignment horizontal="left" vertical="center"/>
    </xf>
    <xf numFmtId="0" fontId="0" fillId="13" borderId="32" xfId="0" applyFill="1" applyBorder="1" applyAlignment="1">
      <alignment horizontal="right" vertical="center"/>
    </xf>
    <xf numFmtId="0" fontId="0" fillId="13" borderId="30" xfId="0" applyFill="1" applyBorder="1" applyAlignment="1">
      <alignment horizontal="right" vertical="center"/>
    </xf>
    <xf numFmtId="0" fontId="0" fillId="13" borderId="12" xfId="0" applyFont="1" applyFill="1" applyBorder="1"/>
    <xf numFmtId="0" fontId="0" fillId="0" borderId="7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32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7" borderId="54" xfId="0" applyFill="1" applyBorder="1" applyAlignment="1">
      <alignment wrapText="1"/>
    </xf>
    <xf numFmtId="0" fontId="6" fillId="0" borderId="12" xfId="0" applyFont="1" applyBorder="1" applyAlignment="1">
      <alignment horizontal="left" vertical="top"/>
    </xf>
    <xf numFmtId="0" fontId="6" fillId="6" borderId="32" xfId="0" applyFont="1" applyFill="1" applyBorder="1"/>
    <xf numFmtId="0" fontId="6" fillId="6" borderId="12" xfId="0" applyFont="1" applyFill="1" applyBorder="1" applyAlignment="1">
      <alignment horizontal="right" vertical="center"/>
    </xf>
    <xf numFmtId="0" fontId="6" fillId="6" borderId="12" xfId="0" applyFont="1" applyFill="1" applyBorder="1" applyAlignment="1">
      <alignment horizontal="left" vertical="center"/>
    </xf>
    <xf numFmtId="0" fontId="6" fillId="13" borderId="12" xfId="0" applyFont="1" applyFill="1" applyBorder="1" applyAlignment="1">
      <alignment horizontal="right" vertical="center"/>
    </xf>
    <xf numFmtId="0" fontId="6" fillId="13" borderId="12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right" vertical="center"/>
    </xf>
    <xf numFmtId="0" fontId="6" fillId="3" borderId="12" xfId="0" applyFont="1" applyFill="1" applyBorder="1" applyAlignment="1">
      <alignment horizontal="left" vertical="center"/>
    </xf>
    <xf numFmtId="0" fontId="6" fillId="11" borderId="32" xfId="0" applyFont="1" applyFill="1" applyBorder="1"/>
    <xf numFmtId="0" fontId="6" fillId="11" borderId="12" xfId="0" applyFont="1" applyFill="1" applyBorder="1" applyAlignment="1">
      <alignment horizontal="right" vertical="center"/>
    </xf>
    <xf numFmtId="0" fontId="6" fillId="11" borderId="12" xfId="0" applyFont="1" applyFill="1" applyBorder="1" applyAlignment="1">
      <alignment horizontal="left" vertical="center"/>
    </xf>
    <xf numFmtId="166" fontId="6" fillId="0" borderId="19" xfId="1" applyNumberFormat="1" applyFont="1" applyBorder="1"/>
    <xf numFmtId="166" fontId="6" fillId="0" borderId="12" xfId="1" applyNumberFormat="1" applyFont="1" applyBorder="1"/>
    <xf numFmtId="1" fontId="6" fillId="0" borderId="13" xfId="1" applyNumberFormat="1" applyFont="1" applyBorder="1"/>
    <xf numFmtId="0" fontId="6" fillId="0" borderId="0" xfId="0" applyFont="1"/>
    <xf numFmtId="0" fontId="7" fillId="0" borderId="0" xfId="0" applyFont="1"/>
    <xf numFmtId="0" fontId="1" fillId="8" borderId="45" xfId="0" applyFont="1" applyFill="1" applyBorder="1" applyAlignment="1">
      <alignment horizontal="center" vertical="center" wrapText="1"/>
    </xf>
    <xf numFmtId="41" fontId="0" fillId="0" borderId="0" xfId="2" applyFont="1" applyAlignment="1">
      <alignment horizontal="center" vertical="center"/>
    </xf>
    <xf numFmtId="41" fontId="0" fillId="2" borderId="39" xfId="2" applyFont="1" applyFill="1" applyBorder="1" applyAlignment="1">
      <alignment horizontal="center" vertical="center"/>
    </xf>
    <xf numFmtId="41" fontId="1" fillId="0" borderId="7" xfId="2" applyFont="1" applyFill="1" applyBorder="1" applyAlignment="1">
      <alignment horizontal="center" vertical="center"/>
    </xf>
    <xf numFmtId="41" fontId="1" fillId="0" borderId="12" xfId="2" applyFont="1" applyFill="1" applyBorder="1" applyAlignment="1">
      <alignment horizontal="center" vertical="center"/>
    </xf>
    <xf numFmtId="41" fontId="1" fillId="0" borderId="32" xfId="2" applyFont="1" applyFill="1" applyBorder="1" applyAlignment="1">
      <alignment horizontal="center" vertical="center"/>
    </xf>
    <xf numFmtId="41" fontId="7" fillId="0" borderId="12" xfId="2" applyFont="1" applyFill="1" applyBorder="1" applyAlignment="1">
      <alignment horizontal="center" vertical="center"/>
    </xf>
    <xf numFmtId="41" fontId="0" fillId="2" borderId="29" xfId="2" applyFont="1" applyFill="1" applyBorder="1" applyAlignment="1">
      <alignment horizontal="center" vertical="center"/>
    </xf>
    <xf numFmtId="41" fontId="0" fillId="3" borderId="30" xfId="2" applyFont="1" applyFill="1" applyBorder="1" applyAlignment="1">
      <alignment horizontal="center" vertical="center"/>
    </xf>
    <xf numFmtId="41" fontId="0" fillId="13" borderId="30" xfId="2" applyFont="1" applyFill="1" applyBorder="1" applyAlignment="1">
      <alignment horizontal="center" vertical="center"/>
    </xf>
    <xf numFmtId="41" fontId="0" fillId="13" borderId="12" xfId="2" applyFont="1" applyFill="1" applyBorder="1" applyAlignment="1">
      <alignment horizontal="center" vertical="center"/>
    </xf>
    <xf numFmtId="41" fontId="0" fillId="0" borderId="0" xfId="2" applyFont="1" applyBorder="1"/>
    <xf numFmtId="41" fontId="0" fillId="0" borderId="0" xfId="2" applyFont="1" applyAlignment="1">
      <alignment horizontal="left" vertical="center"/>
    </xf>
    <xf numFmtId="41" fontId="1" fillId="6" borderId="52" xfId="2" applyFont="1" applyFill="1" applyBorder="1" applyAlignment="1">
      <alignment horizontal="center" vertical="center" wrapText="1"/>
    </xf>
    <xf numFmtId="41" fontId="0" fillId="6" borderId="32" xfId="2" applyFont="1" applyFill="1" applyBorder="1"/>
    <xf numFmtId="41" fontId="6" fillId="6" borderId="32" xfId="2" applyFont="1" applyFill="1" applyBorder="1"/>
    <xf numFmtId="0" fontId="6" fillId="0" borderId="32" xfId="0" applyFont="1" applyBorder="1" applyAlignment="1">
      <alignment horizontal="left" vertical="top"/>
    </xf>
    <xf numFmtId="0" fontId="0" fillId="2" borderId="42" xfId="0" applyFill="1" applyBorder="1" applyAlignment="1">
      <alignment horizontal="center" vertical="center"/>
    </xf>
    <xf numFmtId="166" fontId="1" fillId="8" borderId="71" xfId="1" applyNumberFormat="1" applyFont="1" applyFill="1" applyBorder="1" applyAlignment="1">
      <alignment horizontal="center" vertical="center" wrapText="1"/>
    </xf>
    <xf numFmtId="166" fontId="1" fillId="8" borderId="2" xfId="1" applyNumberFormat="1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top"/>
    </xf>
    <xf numFmtId="0" fontId="1" fillId="6" borderId="7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" fillId="0" borderId="34" xfId="0" applyFont="1" applyFill="1" applyBorder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1" fillId="4" borderId="5" xfId="0" applyFont="1" applyFill="1" applyBorder="1" applyAlignment="1">
      <alignment horizontal="center" vertical="top"/>
    </xf>
    <xf numFmtId="0" fontId="0" fillId="4" borderId="6" xfId="0" applyFont="1" applyFill="1" applyBorder="1" applyAlignment="1">
      <alignment horizontal="center" vertical="top"/>
    </xf>
    <xf numFmtId="0" fontId="0" fillId="4" borderId="6" xfId="0" applyFont="1" applyFill="1" applyBorder="1" applyAlignment="1">
      <alignment horizontal="left" vertical="top"/>
    </xf>
    <xf numFmtId="0" fontId="0" fillId="4" borderId="49" xfId="0" applyFill="1" applyBorder="1" applyAlignment="1">
      <alignment horizontal="center" vertical="center"/>
    </xf>
    <xf numFmtId="0" fontId="0" fillId="4" borderId="6" xfId="0" applyFont="1" applyFill="1" applyBorder="1"/>
    <xf numFmtId="0" fontId="0" fillId="4" borderId="6" xfId="0" applyFill="1" applyBorder="1" applyAlignment="1">
      <alignment horizontal="right"/>
    </xf>
    <xf numFmtId="0" fontId="0" fillId="4" borderId="6" xfId="0" applyFill="1" applyBorder="1" applyAlignment="1">
      <alignment horizontal="left"/>
    </xf>
    <xf numFmtId="0" fontId="0" fillId="6" borderId="7" xfId="0" applyFont="1" applyFill="1" applyBorder="1"/>
    <xf numFmtId="0" fontId="0" fillId="0" borderId="48" xfId="0" applyBorder="1" applyAlignment="1">
      <alignment horizontal="center" vertical="center"/>
    </xf>
    <xf numFmtId="0" fontId="0" fillId="13" borderId="7" xfId="0" applyFont="1" applyFill="1" applyBorder="1"/>
    <xf numFmtId="0" fontId="0" fillId="0" borderId="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" borderId="7" xfId="0" applyFont="1" applyFill="1" applyBorder="1"/>
    <xf numFmtId="0" fontId="0" fillId="0" borderId="31" xfId="0" applyFont="1" applyBorder="1" applyAlignment="1">
      <alignment horizontal="center" vertical="top"/>
    </xf>
    <xf numFmtId="0" fontId="0" fillId="3" borderId="30" xfId="0" applyFill="1" applyBorder="1" applyAlignment="1">
      <alignment horizontal="right"/>
    </xf>
    <xf numFmtId="0" fontId="0" fillId="3" borderId="30" xfId="0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top"/>
    </xf>
    <xf numFmtId="0" fontId="0" fillId="4" borderId="8" xfId="0" applyFont="1" applyFill="1" applyBorder="1" applyAlignment="1">
      <alignment horizontal="center" vertical="top"/>
    </xf>
    <xf numFmtId="0" fontId="0" fillId="4" borderId="8" xfId="0" applyFont="1" applyFill="1" applyBorder="1" applyAlignment="1">
      <alignment horizontal="left" vertical="top"/>
    </xf>
    <xf numFmtId="0" fontId="0" fillId="4" borderId="29" xfId="0" applyFill="1" applyBorder="1" applyAlignment="1">
      <alignment horizontal="center" vertical="center"/>
    </xf>
    <xf numFmtId="0" fontId="0" fillId="4" borderId="8" xfId="0" applyFont="1" applyFill="1" applyBorder="1"/>
    <xf numFmtId="0" fontId="0" fillId="4" borderId="8" xfId="0" applyFill="1" applyBorder="1" applyAlignment="1">
      <alignment horizontal="right"/>
    </xf>
    <xf numFmtId="0" fontId="0" fillId="4" borderId="8" xfId="0" applyFill="1" applyBorder="1" applyAlignment="1">
      <alignment horizontal="left"/>
    </xf>
    <xf numFmtId="41" fontId="0" fillId="4" borderId="8" xfId="2" applyFont="1" applyFill="1" applyBorder="1" applyAlignment="1">
      <alignment horizontal="center" vertical="center"/>
    </xf>
    <xf numFmtId="41" fontId="0" fillId="13" borderId="37" xfId="2" applyFont="1" applyFill="1" applyBorder="1" applyAlignment="1">
      <alignment horizontal="center" vertical="center"/>
    </xf>
    <xf numFmtId="41" fontId="0" fillId="3" borderId="37" xfId="2" applyFont="1" applyFill="1" applyBorder="1" applyAlignment="1">
      <alignment horizontal="center" vertical="center"/>
    </xf>
    <xf numFmtId="41" fontId="0" fillId="4" borderId="20" xfId="2" applyFont="1" applyFill="1" applyBorder="1" applyAlignment="1">
      <alignment horizontal="center" vertical="center"/>
    </xf>
    <xf numFmtId="41" fontId="0" fillId="11" borderId="37" xfId="2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41" fontId="0" fillId="0" borderId="7" xfId="2" applyFont="1" applyBorder="1" applyAlignment="1">
      <alignment horizontal="center" vertical="center"/>
    </xf>
    <xf numFmtId="166" fontId="0" fillId="0" borderId="7" xfId="1" applyNumberFormat="1" applyFont="1" applyBorder="1"/>
    <xf numFmtId="166" fontId="0" fillId="0" borderId="7" xfId="1" applyNumberFormat="1" applyFont="1" applyBorder="1" applyAlignment="1">
      <alignment horizontal="center"/>
    </xf>
    <xf numFmtId="167" fontId="0" fillId="0" borderId="7" xfId="1" applyNumberFormat="1" applyFont="1" applyBorder="1"/>
    <xf numFmtId="166" fontId="0" fillId="0" borderId="10" xfId="1" applyNumberFormat="1" applyFont="1" applyBorder="1"/>
    <xf numFmtId="41" fontId="0" fillId="0" borderId="12" xfId="2" applyFont="1" applyBorder="1" applyAlignment="1">
      <alignment horizontal="center" vertical="center"/>
    </xf>
    <xf numFmtId="166" fontId="0" fillId="0" borderId="13" xfId="1" applyNumberFormat="1" applyFont="1" applyBorder="1"/>
    <xf numFmtId="0" fontId="0" fillId="0" borderId="32" xfId="0" applyBorder="1" applyAlignment="1">
      <alignment horizontal="center" vertical="center"/>
    </xf>
    <xf numFmtId="41" fontId="0" fillId="0" borderId="32" xfId="2" applyFont="1" applyBorder="1" applyAlignment="1">
      <alignment horizontal="center" vertical="center"/>
    </xf>
    <xf numFmtId="166" fontId="0" fillId="0" borderId="32" xfId="1" applyNumberFormat="1" applyFont="1" applyBorder="1" applyAlignment="1">
      <alignment horizontal="center"/>
    </xf>
    <xf numFmtId="167" fontId="0" fillId="0" borderId="32" xfId="1" applyNumberFormat="1" applyFont="1" applyBorder="1"/>
    <xf numFmtId="166" fontId="0" fillId="4" borderId="8" xfId="1" applyNumberFormat="1" applyFont="1" applyFill="1" applyBorder="1"/>
    <xf numFmtId="166" fontId="0" fillId="4" borderId="8" xfId="1" applyNumberFormat="1" applyFont="1" applyFill="1" applyBorder="1" applyAlignment="1">
      <alignment horizontal="center"/>
    </xf>
    <xf numFmtId="167" fontId="0" fillId="4" borderId="8" xfId="1" applyNumberFormat="1" applyFont="1" applyFill="1" applyBorder="1"/>
    <xf numFmtId="1" fontId="0" fillId="4" borderId="15" xfId="1" applyNumberFormat="1" applyFont="1" applyFill="1" applyBorder="1"/>
    <xf numFmtId="0" fontId="0" fillId="4" borderId="8" xfId="0" applyFill="1" applyBorder="1" applyAlignment="1">
      <alignment horizontal="center" vertical="center"/>
    </xf>
    <xf numFmtId="166" fontId="0" fillId="4" borderId="15" xfId="1" applyNumberFormat="1" applyFont="1" applyFill="1" applyBorder="1"/>
    <xf numFmtId="41" fontId="0" fillId="6" borderId="30" xfId="2" applyFont="1" applyFill="1" applyBorder="1" applyAlignment="1">
      <alignment horizontal="center" vertical="center"/>
    </xf>
    <xf numFmtId="166" fontId="0" fillId="0" borderId="43" xfId="1" applyNumberFormat="1" applyFont="1" applyBorder="1"/>
    <xf numFmtId="1" fontId="0" fillId="0" borderId="40" xfId="1" applyNumberFormat="1" applyFont="1" applyBorder="1"/>
    <xf numFmtId="0" fontId="6" fillId="0" borderId="1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6" fillId="13" borderId="32" xfId="0" quotePrefix="1" applyFont="1" applyFill="1" applyBorder="1" applyAlignment="1">
      <alignment horizontal="left" vertical="center"/>
    </xf>
    <xf numFmtId="41" fontId="6" fillId="13" borderId="37" xfId="2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right"/>
    </xf>
    <xf numFmtId="0" fontId="6" fillId="13" borderId="12" xfId="0" applyFont="1" applyFill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41" fontId="0" fillId="3" borderId="32" xfId="2" applyFont="1" applyFill="1" applyBorder="1" applyAlignment="1">
      <alignment horizontal="center" vertical="center"/>
    </xf>
    <xf numFmtId="0" fontId="6" fillId="3" borderId="12" xfId="0" applyFont="1" applyFill="1" applyBorder="1"/>
    <xf numFmtId="0" fontId="6" fillId="3" borderId="32" xfId="0" quotePrefix="1" applyFont="1" applyFill="1" applyBorder="1" applyAlignment="1">
      <alignment horizontal="left" vertical="center"/>
    </xf>
    <xf numFmtId="41" fontId="6" fillId="3" borderId="37" xfId="2" applyFont="1" applyFill="1" applyBorder="1" applyAlignment="1">
      <alignment horizontal="center" vertical="center"/>
    </xf>
    <xf numFmtId="41" fontId="6" fillId="0" borderId="12" xfId="2" applyFont="1" applyBorder="1" applyAlignment="1">
      <alignment horizontal="center" vertical="center"/>
    </xf>
    <xf numFmtId="166" fontId="6" fillId="0" borderId="12" xfId="1" applyNumberFormat="1" applyFont="1" applyBorder="1" applyAlignment="1">
      <alignment horizontal="center"/>
    </xf>
    <xf numFmtId="167" fontId="6" fillId="0" borderId="12" xfId="1" applyNumberFormat="1" applyFont="1" applyBorder="1"/>
    <xf numFmtId="0" fontId="6" fillId="3" borderId="12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11" borderId="32" xfId="0" quotePrefix="1" applyFont="1" applyFill="1" applyBorder="1" applyAlignment="1">
      <alignment horizontal="left" vertical="center"/>
    </xf>
    <xf numFmtId="41" fontId="6" fillId="11" borderId="37" xfId="2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right"/>
    </xf>
    <xf numFmtId="0" fontId="6" fillId="11" borderId="12" xfId="0" applyFont="1" applyFill="1" applyBorder="1" applyAlignment="1">
      <alignment horizontal="left"/>
    </xf>
    <xf numFmtId="1" fontId="0" fillId="0" borderId="10" xfId="1" applyNumberFormat="1" applyFont="1" applyBorder="1"/>
    <xf numFmtId="41" fontId="0" fillId="4" borderId="29" xfId="2" applyFont="1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9" xfId="0" applyFill="1" applyBorder="1" applyAlignment="1">
      <alignment horizontal="left"/>
    </xf>
    <xf numFmtId="0" fontId="6" fillId="6" borderId="32" xfId="0" quotePrefix="1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right"/>
    </xf>
    <xf numFmtId="0" fontId="6" fillId="6" borderId="12" xfId="0" applyFont="1" applyFill="1" applyBorder="1" applyAlignment="1">
      <alignment horizontal="left"/>
    </xf>
    <xf numFmtId="0" fontId="6" fillId="0" borderId="32" xfId="0" applyFont="1" applyBorder="1" applyAlignment="1">
      <alignment horizontal="left" vertical="center"/>
    </xf>
    <xf numFmtId="0" fontId="0" fillId="14" borderId="32" xfId="0" applyFont="1" applyFill="1" applyBorder="1"/>
    <xf numFmtId="0" fontId="0" fillId="14" borderId="32" xfId="0" applyFill="1" applyBorder="1" applyAlignment="1">
      <alignment horizontal="right" vertical="center"/>
    </xf>
    <xf numFmtId="0" fontId="0" fillId="14" borderId="32" xfId="0" quotePrefix="1" applyFill="1" applyBorder="1" applyAlignment="1">
      <alignment horizontal="left" vertical="center"/>
    </xf>
    <xf numFmtId="41" fontId="0" fillId="14" borderId="37" xfId="2" applyFont="1" applyFill="1" applyBorder="1" applyAlignment="1">
      <alignment horizontal="center" vertical="center"/>
    </xf>
    <xf numFmtId="0" fontId="0" fillId="14" borderId="12" xfId="0" applyFill="1" applyBorder="1" applyAlignment="1">
      <alignment horizontal="right" vertical="center"/>
    </xf>
    <xf numFmtId="0" fontId="0" fillId="14" borderId="12" xfId="0" quotePrefix="1" applyFill="1" applyBorder="1" applyAlignment="1">
      <alignment horizontal="left" vertical="center"/>
    </xf>
    <xf numFmtId="0" fontId="0" fillId="14" borderId="12" xfId="0" applyFill="1" applyBorder="1" applyAlignment="1">
      <alignment horizontal="left" vertical="center"/>
    </xf>
    <xf numFmtId="0" fontId="0" fillId="14" borderId="32" xfId="0" applyFill="1" applyBorder="1" applyAlignment="1">
      <alignment horizontal="left" vertical="center"/>
    </xf>
    <xf numFmtId="0" fontId="0" fillId="14" borderId="30" xfId="0" applyFill="1" applyBorder="1" applyAlignment="1">
      <alignment horizontal="left" vertical="center"/>
    </xf>
    <xf numFmtId="0" fontId="6" fillId="14" borderId="12" xfId="0" applyFont="1" applyFill="1" applyBorder="1" applyAlignment="1">
      <alignment horizontal="right" vertical="center"/>
    </xf>
    <xf numFmtId="0" fontId="6" fillId="14" borderId="12" xfId="0" applyFont="1" applyFill="1" applyBorder="1" applyAlignment="1">
      <alignment horizontal="left" vertical="center"/>
    </xf>
    <xf numFmtId="41" fontId="6" fillId="14" borderId="37" xfId="2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right"/>
    </xf>
    <xf numFmtId="0" fontId="6" fillId="14" borderId="12" xfId="0" applyFont="1" applyFill="1" applyBorder="1" applyAlignment="1">
      <alignment horizontal="left"/>
    </xf>
    <xf numFmtId="0" fontId="0" fillId="14" borderId="12" xfId="0" applyFill="1" applyBorder="1" applyAlignment="1">
      <alignment horizontal="right"/>
    </xf>
    <xf numFmtId="0" fontId="0" fillId="14" borderId="32" xfId="0" applyFill="1" applyBorder="1" applyAlignment="1">
      <alignment horizontal="left"/>
    </xf>
    <xf numFmtId="0" fontId="0" fillId="14" borderId="30" xfId="0" applyFill="1" applyBorder="1" applyAlignment="1">
      <alignment horizontal="right" vertical="center"/>
    </xf>
    <xf numFmtId="0" fontId="0" fillId="14" borderId="12" xfId="0" applyFill="1" applyBorder="1" applyAlignment="1">
      <alignment horizontal="left"/>
    </xf>
    <xf numFmtId="0" fontId="0" fillId="11" borderId="32" xfId="0" applyFill="1" applyBorder="1" applyAlignment="1">
      <alignment horizontal="center"/>
    </xf>
    <xf numFmtId="0" fontId="0" fillId="11" borderId="3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32" xfId="0" quotePrefix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0" fillId="3" borderId="32" xfId="0" quotePrefix="1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/>
    </xf>
    <xf numFmtId="0" fontId="0" fillId="13" borderId="12" xfId="0" applyFill="1" applyBorder="1" applyAlignment="1">
      <alignment horizontal="center" vertical="center"/>
    </xf>
    <xf numFmtId="0" fontId="0" fillId="13" borderId="32" xfId="0" quotePrefix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41" fontId="0" fillId="6" borderId="31" xfId="2" applyFont="1" applyFill="1" applyBorder="1"/>
    <xf numFmtId="0" fontId="0" fillId="6" borderId="32" xfId="0" quotePrefix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12" xfId="0" quotePrefix="1" applyFill="1" applyBorder="1" applyAlignment="1">
      <alignment horizontal="center" vertical="center"/>
    </xf>
    <xf numFmtId="0" fontId="0" fillId="14" borderId="32" xfId="0" quotePrefix="1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166" fontId="0" fillId="0" borderId="13" xfId="1" applyNumberFormat="1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top"/>
    </xf>
    <xf numFmtId="0" fontId="1" fillId="4" borderId="19" xfId="0" applyFont="1" applyFill="1" applyBorder="1" applyAlignment="1">
      <alignment horizontal="left"/>
    </xf>
    <xf numFmtId="0" fontId="1" fillId="4" borderId="46" xfId="0" applyFont="1" applyFill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69" xfId="0" applyBorder="1" applyAlignment="1">
      <alignment horizontal="left" vertical="top"/>
    </xf>
    <xf numFmtId="0" fontId="0" fillId="0" borderId="19" xfId="0" applyFont="1" applyFill="1" applyBorder="1" applyAlignment="1">
      <alignment horizontal="left"/>
    </xf>
    <xf numFmtId="0" fontId="0" fillId="0" borderId="46" xfId="0" applyFont="1" applyFill="1" applyBorder="1" applyAlignment="1">
      <alignment horizontal="left"/>
    </xf>
    <xf numFmtId="41" fontId="0" fillId="13" borderId="31" xfId="2" applyFont="1" applyFill="1" applyBorder="1" applyAlignment="1">
      <alignment horizontal="center" vertical="center"/>
    </xf>
    <xf numFmtId="41" fontId="0" fillId="13" borderId="32" xfId="2" applyFont="1" applyFill="1" applyBorder="1" applyAlignment="1">
      <alignment horizontal="center" vertical="center"/>
    </xf>
    <xf numFmtId="41" fontId="0" fillId="13" borderId="30" xfId="2" applyFont="1" applyFill="1" applyBorder="1" applyAlignment="1">
      <alignment horizontal="center" vertical="center"/>
    </xf>
    <xf numFmtId="41" fontId="0" fillId="6" borderId="30" xfId="2" applyFont="1" applyFill="1" applyBorder="1" applyAlignment="1">
      <alignment horizontal="center" vertical="center"/>
    </xf>
    <xf numFmtId="41" fontId="0" fillId="6" borderId="31" xfId="2" applyFont="1" applyFill="1" applyBorder="1" applyAlignment="1">
      <alignment horizontal="center" vertical="center"/>
    </xf>
    <xf numFmtId="41" fontId="0" fillId="6" borderId="32" xfId="2" applyFont="1" applyFill="1" applyBorder="1" applyAlignment="1">
      <alignment horizontal="center" vertical="center"/>
    </xf>
    <xf numFmtId="41" fontId="0" fillId="6" borderId="30" xfId="2" applyFont="1" applyFill="1" applyBorder="1" applyAlignment="1">
      <alignment horizontal="left" vertical="center"/>
    </xf>
    <xf numFmtId="41" fontId="0" fillId="6" borderId="31" xfId="2" applyFont="1" applyFill="1" applyBorder="1" applyAlignment="1">
      <alignment horizontal="left" vertical="center"/>
    </xf>
    <xf numFmtId="41" fontId="0" fillId="6" borderId="32" xfId="2" applyFont="1" applyFill="1" applyBorder="1" applyAlignment="1">
      <alignment horizontal="left" vertical="center"/>
    </xf>
    <xf numFmtId="41" fontId="0" fillId="6" borderId="30" xfId="2" applyFont="1" applyFill="1" applyBorder="1" applyAlignment="1">
      <alignment vertical="center"/>
    </xf>
    <xf numFmtId="41" fontId="0" fillId="6" borderId="31" xfId="2" applyFont="1" applyFill="1" applyBorder="1" applyAlignment="1">
      <alignment vertical="center"/>
    </xf>
    <xf numFmtId="41" fontId="0" fillId="6" borderId="32" xfId="2" applyFont="1" applyFill="1" applyBorder="1" applyAlignment="1">
      <alignment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 wrapText="1"/>
    </xf>
    <xf numFmtId="0" fontId="1" fillId="8" borderId="70" xfId="0" applyFont="1" applyFill="1" applyBorder="1" applyAlignment="1">
      <alignment horizontal="center" vertical="center" wrapText="1"/>
    </xf>
    <xf numFmtId="0" fontId="1" fillId="8" borderId="5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top"/>
    </xf>
    <xf numFmtId="0" fontId="1" fillId="0" borderId="34" xfId="0" applyFont="1" applyFill="1" applyBorder="1" applyAlignment="1">
      <alignment horizontal="center" vertical="top"/>
    </xf>
    <xf numFmtId="0" fontId="1" fillId="0" borderId="35" xfId="0" applyFont="1" applyFill="1" applyBorder="1" applyAlignment="1">
      <alignment horizontal="center" vertical="top"/>
    </xf>
    <xf numFmtId="0" fontId="1" fillId="6" borderId="52" xfId="0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1" fontId="1" fillId="8" borderId="44" xfId="1" applyNumberFormat="1" applyFont="1" applyFill="1" applyBorder="1" applyAlignment="1">
      <alignment horizontal="center" vertical="center" wrapText="1"/>
    </xf>
    <xf numFmtId="1" fontId="1" fillId="8" borderId="45" xfId="1" applyNumberFormat="1" applyFont="1" applyFill="1" applyBorder="1" applyAlignment="1">
      <alignment horizontal="center" vertical="center" wrapText="1"/>
    </xf>
    <xf numFmtId="1" fontId="1" fillId="8" borderId="1" xfId="1" applyNumberFormat="1" applyFont="1" applyFill="1" applyBorder="1" applyAlignment="1">
      <alignment horizontal="center" vertical="center" wrapText="1"/>
    </xf>
    <xf numFmtId="1" fontId="1" fillId="8" borderId="2" xfId="1" applyNumberFormat="1" applyFont="1" applyFill="1" applyBorder="1" applyAlignment="1">
      <alignment horizontal="center" vertical="center" wrapText="1"/>
    </xf>
    <xf numFmtId="0" fontId="1" fillId="8" borderId="50" xfId="0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6" fontId="1" fillId="8" borderId="50" xfId="1" applyNumberFormat="1" applyFont="1" applyFill="1" applyBorder="1" applyAlignment="1">
      <alignment horizontal="center" vertical="center" wrapText="1"/>
    </xf>
    <xf numFmtId="166" fontId="1" fillId="8" borderId="1" xfId="1" applyNumberFormat="1" applyFont="1" applyFill="1" applyBorder="1" applyAlignment="1">
      <alignment horizontal="center" vertical="center" wrapText="1"/>
    </xf>
    <xf numFmtId="166" fontId="1" fillId="8" borderId="48" xfId="1" applyNumberFormat="1" applyFont="1" applyFill="1" applyBorder="1" applyAlignment="1">
      <alignment horizontal="center" vertical="center" wrapText="1"/>
    </xf>
    <xf numFmtId="166" fontId="1" fillId="8" borderId="49" xfId="1" applyNumberFormat="1" applyFont="1" applyFill="1" applyBorder="1" applyAlignment="1">
      <alignment horizontal="center" vertical="center" wrapText="1"/>
    </xf>
    <xf numFmtId="41" fontId="1" fillId="8" borderId="44" xfId="2" applyFont="1" applyFill="1" applyBorder="1" applyAlignment="1">
      <alignment horizontal="center" vertical="center" wrapText="1"/>
    </xf>
    <xf numFmtId="41" fontId="1" fillId="8" borderId="45" xfId="2" applyFont="1" applyFill="1" applyBorder="1" applyAlignment="1">
      <alignment horizontal="center" vertical="center" wrapText="1"/>
    </xf>
    <xf numFmtId="166" fontId="1" fillId="8" borderId="44" xfId="1" applyNumberFormat="1" applyFont="1" applyFill="1" applyBorder="1" applyAlignment="1">
      <alignment horizontal="center" vertical="center"/>
    </xf>
    <xf numFmtId="166" fontId="1" fillId="8" borderId="45" xfId="1" applyNumberFormat="1" applyFont="1" applyFill="1" applyBorder="1" applyAlignment="1">
      <alignment horizontal="center" vertical="center"/>
    </xf>
    <xf numFmtId="167" fontId="1" fillId="8" borderId="16" xfId="1" applyNumberFormat="1" applyFont="1" applyFill="1" applyBorder="1" applyAlignment="1">
      <alignment horizontal="center" vertical="center" wrapText="1"/>
    </xf>
    <xf numFmtId="167" fontId="1" fillId="8" borderId="17" xfId="1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33" xfId="0" applyFont="1" applyFill="1" applyBorder="1" applyAlignment="1">
      <alignment horizontal="center" vertical="top"/>
    </xf>
    <xf numFmtId="41" fontId="0" fillId="3" borderId="30" xfId="2" applyFont="1" applyFill="1" applyBorder="1" applyAlignment="1">
      <alignment horizontal="center" vertical="center"/>
    </xf>
    <xf numFmtId="41" fontId="0" fillId="3" borderId="31" xfId="2" applyFont="1" applyFill="1" applyBorder="1" applyAlignment="1">
      <alignment horizontal="center" vertical="center"/>
    </xf>
    <xf numFmtId="41" fontId="0" fillId="3" borderId="32" xfId="2" applyFont="1" applyFill="1" applyBorder="1" applyAlignment="1">
      <alignment horizontal="center" vertical="center"/>
    </xf>
    <xf numFmtId="41" fontId="0" fillId="11" borderId="30" xfId="2" applyFont="1" applyFill="1" applyBorder="1" applyAlignment="1">
      <alignment horizontal="center" vertical="center"/>
    </xf>
    <xf numFmtId="41" fontId="0" fillId="11" borderId="31" xfId="2" applyFont="1" applyFill="1" applyBorder="1" applyAlignment="1">
      <alignment horizontal="center" vertical="center"/>
    </xf>
    <xf numFmtId="41" fontId="0" fillId="11" borderId="32" xfId="2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colors>
    <mruColors>
      <color rgb="FF99FF99"/>
      <color rgb="FFFFCCFF"/>
      <color rgb="FFFFFF66"/>
      <color rgb="FF66FFFF"/>
      <color rgb="FFFF9933"/>
      <color rgb="FFFF99FF"/>
      <color rgb="FF66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Aset%20CG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%20ASSET%20GUDANG%20HLP%20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IS%20ASET%20RA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%20G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 LIES"/>
      <sheetName val="R. RAPAT BESAR"/>
      <sheetName val="R. RAPAT KECIL &amp; R. DIRUT"/>
      <sheetName val="R. TENGAH STAFF"/>
      <sheetName val="FINNANCE"/>
      <sheetName val="REVENUE"/>
      <sheetName val="HRD"/>
      <sheetName val="SM"/>
      <sheetName val="R. KEPALA RT"/>
      <sheetName val="TOTAL R. ATAS"/>
    </sheetNames>
    <sheetDataSet>
      <sheetData sheetId="0" refreshError="1"/>
      <sheetData sheetId="1" refreshError="1"/>
      <sheetData sheetId="2" refreshError="1"/>
      <sheetData sheetId="3" refreshError="1">
        <row r="74">
          <cell r="F74">
            <v>2</v>
          </cell>
        </row>
      </sheetData>
      <sheetData sheetId="4" refreshError="1"/>
      <sheetData sheetId="5" refreshError="1"/>
      <sheetData sheetId="6" refreshError="1">
        <row r="53">
          <cell r="F53">
            <v>0</v>
          </cell>
        </row>
      </sheetData>
      <sheetData sheetId="7" refreshError="1"/>
      <sheetData sheetId="8" refreshError="1"/>
      <sheetData sheetId="9" refreshError="1">
        <row r="19">
          <cell r="F19">
            <v>9</v>
          </cell>
        </row>
        <row r="29">
          <cell r="F29">
            <v>2</v>
          </cell>
        </row>
        <row r="30">
          <cell r="F30">
            <v>0</v>
          </cell>
        </row>
        <row r="31">
          <cell r="F31">
            <v>0</v>
          </cell>
        </row>
        <row r="33">
          <cell r="F33">
            <v>2</v>
          </cell>
        </row>
        <row r="35">
          <cell r="F35">
            <v>1</v>
          </cell>
        </row>
        <row r="38">
          <cell r="F38">
            <v>0</v>
          </cell>
        </row>
        <row r="39">
          <cell r="F39">
            <v>1</v>
          </cell>
        </row>
        <row r="40">
          <cell r="F40">
            <v>1</v>
          </cell>
        </row>
        <row r="41">
          <cell r="F41">
            <v>2</v>
          </cell>
        </row>
        <row r="48">
          <cell r="F4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3">
          <cell r="F63">
            <v>0</v>
          </cell>
        </row>
        <row r="64">
          <cell r="F64">
            <v>2</v>
          </cell>
        </row>
        <row r="65">
          <cell r="F65">
            <v>8</v>
          </cell>
        </row>
        <row r="66">
          <cell r="F66">
            <v>2</v>
          </cell>
        </row>
        <row r="71">
          <cell r="F71">
            <v>0</v>
          </cell>
        </row>
        <row r="73">
          <cell r="F73">
            <v>1</v>
          </cell>
        </row>
        <row r="75">
          <cell r="F7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 Aset"/>
      <sheetName val="R. DIR HRD"/>
      <sheetName val="R. ARFAN"/>
      <sheetName val="R. MEETING"/>
      <sheetName val="R. ACC"/>
      <sheetName val="R. TRAINING"/>
      <sheetName val="R. IT"/>
      <sheetName val="Sheet1"/>
      <sheetName val="R. SM. HLP"/>
      <sheetName val="R. BESAR"/>
      <sheetName val="R. HRD"/>
      <sheetName val="R. BOY"/>
      <sheetName val="BATIK ATAS"/>
      <sheetName val="R. AVSEC"/>
      <sheetName val="R. PIC"/>
      <sheetName val="R. ACCEPTANCE"/>
      <sheetName val="R. ADM OPS"/>
      <sheetName val="R. MANIFEST"/>
      <sheetName val="BATIK BAWAH"/>
      <sheetName val="R. APLOG"/>
      <sheetName val="Total Item Gudang HL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8">
          <cell r="F18">
            <v>61</v>
          </cell>
        </row>
        <row r="19">
          <cell r="F19">
            <v>12</v>
          </cell>
        </row>
        <row r="20">
          <cell r="F20">
            <v>2</v>
          </cell>
        </row>
        <row r="21">
          <cell r="F21">
            <v>38</v>
          </cell>
        </row>
        <row r="22">
          <cell r="F22">
            <v>1</v>
          </cell>
        </row>
        <row r="23">
          <cell r="F23">
            <v>1</v>
          </cell>
        </row>
        <row r="25">
          <cell r="F25">
            <v>5</v>
          </cell>
        </row>
        <row r="27">
          <cell r="F27">
            <v>6</v>
          </cell>
        </row>
        <row r="28">
          <cell r="F28">
            <v>4</v>
          </cell>
        </row>
        <row r="34">
          <cell r="F34">
            <v>0</v>
          </cell>
        </row>
        <row r="35">
          <cell r="F35">
            <v>6</v>
          </cell>
        </row>
        <row r="36">
          <cell r="F36">
            <v>4</v>
          </cell>
        </row>
        <row r="38">
          <cell r="F38">
            <v>3</v>
          </cell>
        </row>
        <row r="40">
          <cell r="F40">
            <v>2</v>
          </cell>
        </row>
        <row r="44">
          <cell r="F44">
            <v>0</v>
          </cell>
        </row>
        <row r="45">
          <cell r="F45">
            <v>2</v>
          </cell>
        </row>
        <row r="46">
          <cell r="F46">
            <v>2</v>
          </cell>
        </row>
        <row r="47">
          <cell r="F47">
            <v>0</v>
          </cell>
        </row>
        <row r="48">
          <cell r="F48">
            <v>5</v>
          </cell>
        </row>
        <row r="49">
          <cell r="F49">
            <v>6</v>
          </cell>
        </row>
        <row r="50">
          <cell r="F50">
            <v>4</v>
          </cell>
        </row>
        <row r="51">
          <cell r="F51">
            <v>3</v>
          </cell>
        </row>
        <row r="52">
          <cell r="F52">
            <v>1</v>
          </cell>
        </row>
        <row r="57">
          <cell r="F57">
            <v>3</v>
          </cell>
        </row>
        <row r="58">
          <cell r="F58">
            <v>1</v>
          </cell>
        </row>
        <row r="59">
          <cell r="F59">
            <v>1</v>
          </cell>
        </row>
        <row r="60">
          <cell r="F60">
            <v>9</v>
          </cell>
        </row>
        <row r="62">
          <cell r="F62">
            <v>8</v>
          </cell>
        </row>
        <row r="63">
          <cell r="F63">
            <v>6</v>
          </cell>
        </row>
        <row r="67">
          <cell r="F67">
            <v>1</v>
          </cell>
        </row>
        <row r="69">
          <cell r="F69">
            <v>1</v>
          </cell>
        </row>
        <row r="70">
          <cell r="F70">
            <v>5</v>
          </cell>
        </row>
        <row r="71">
          <cell r="F71">
            <v>1</v>
          </cell>
        </row>
        <row r="72">
          <cell r="F72">
            <v>1</v>
          </cell>
        </row>
        <row r="73">
          <cell r="F73">
            <v>1</v>
          </cell>
        </row>
        <row r="77">
          <cell r="F77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 STAFF"/>
      <sheetName val="R. YOFA"/>
      <sheetName val="R. MEETING ATAS"/>
      <sheetName val=" R. KERJA ATAS DAN LORONG"/>
      <sheetName val="R. CONTROL ROOM"/>
      <sheetName val="R. WTMD"/>
      <sheetName val="R. ACCEPTANCE"/>
      <sheetName val="R. QC"/>
      <sheetName val="R. KASIR"/>
      <sheetName val="R. INCOMING"/>
      <sheetName val="TOTAL ASET AP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F18">
            <v>32</v>
          </cell>
        </row>
        <row r="19">
          <cell r="F19">
            <v>7</v>
          </cell>
        </row>
        <row r="20">
          <cell r="F20">
            <v>5</v>
          </cell>
        </row>
        <row r="21">
          <cell r="F21">
            <v>20</v>
          </cell>
        </row>
        <row r="22">
          <cell r="F22">
            <v>0</v>
          </cell>
        </row>
        <row r="25">
          <cell r="F25">
            <v>9</v>
          </cell>
        </row>
        <row r="26">
          <cell r="F26">
            <v>11</v>
          </cell>
        </row>
        <row r="27">
          <cell r="F27">
            <v>0</v>
          </cell>
        </row>
        <row r="28">
          <cell r="F28">
            <v>1</v>
          </cell>
        </row>
        <row r="29">
          <cell r="F29">
            <v>0</v>
          </cell>
        </row>
        <row r="32">
          <cell r="F32">
            <v>2</v>
          </cell>
        </row>
        <row r="33">
          <cell r="F33">
            <v>12</v>
          </cell>
        </row>
        <row r="34">
          <cell r="F34">
            <v>0</v>
          </cell>
        </row>
        <row r="35">
          <cell r="F35">
            <v>13</v>
          </cell>
        </row>
        <row r="36">
          <cell r="F36">
            <v>1</v>
          </cell>
        </row>
        <row r="37">
          <cell r="F37">
            <v>4</v>
          </cell>
        </row>
        <row r="38">
          <cell r="F38">
            <v>3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2</v>
          </cell>
        </row>
        <row r="47">
          <cell r="F47">
            <v>0</v>
          </cell>
        </row>
        <row r="49">
          <cell r="F49">
            <v>0</v>
          </cell>
        </row>
        <row r="50">
          <cell r="F50">
            <v>1</v>
          </cell>
        </row>
        <row r="51">
          <cell r="F51">
            <v>1</v>
          </cell>
        </row>
        <row r="52">
          <cell r="F52">
            <v>0</v>
          </cell>
        </row>
        <row r="57">
          <cell r="F57">
            <v>0</v>
          </cell>
        </row>
        <row r="58">
          <cell r="F58">
            <v>1</v>
          </cell>
        </row>
        <row r="59">
          <cell r="F59">
            <v>0</v>
          </cell>
        </row>
        <row r="60">
          <cell r="F60">
            <v>1</v>
          </cell>
        </row>
        <row r="61">
          <cell r="F61">
            <v>1</v>
          </cell>
        </row>
        <row r="64">
          <cell r="F64">
            <v>3</v>
          </cell>
        </row>
        <row r="65">
          <cell r="F65">
            <v>0</v>
          </cell>
        </row>
        <row r="68">
          <cell r="F68">
            <v>1</v>
          </cell>
        </row>
        <row r="69">
          <cell r="F69">
            <v>1</v>
          </cell>
        </row>
        <row r="70">
          <cell r="F70">
            <v>0</v>
          </cell>
        </row>
        <row r="71">
          <cell r="F71">
            <v>1</v>
          </cell>
        </row>
        <row r="81">
          <cell r="F81">
            <v>2</v>
          </cell>
        </row>
        <row r="82">
          <cell r="F8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ASET"/>
    </sheetNames>
    <sheetDataSet>
      <sheetData sheetId="0">
        <row r="18">
          <cell r="F18">
            <v>13</v>
          </cell>
        </row>
        <row r="19">
          <cell r="F19">
            <v>0</v>
          </cell>
        </row>
        <row r="20">
          <cell r="F20">
            <v>8</v>
          </cell>
        </row>
        <row r="21">
          <cell r="F21">
            <v>16</v>
          </cell>
        </row>
        <row r="22">
          <cell r="F22">
            <v>8</v>
          </cell>
        </row>
        <row r="23">
          <cell r="F23">
            <v>8</v>
          </cell>
        </row>
        <row r="24">
          <cell r="F24">
            <v>1</v>
          </cell>
        </row>
        <row r="26">
          <cell r="F26">
            <v>4</v>
          </cell>
        </row>
        <row r="27">
          <cell r="F27">
            <v>5</v>
          </cell>
        </row>
        <row r="28">
          <cell r="F28">
            <v>0</v>
          </cell>
        </row>
        <row r="29">
          <cell r="F29">
            <v>1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2</v>
          </cell>
        </row>
        <row r="33">
          <cell r="F33">
            <v>3</v>
          </cell>
        </row>
        <row r="34">
          <cell r="F34">
            <v>6</v>
          </cell>
        </row>
        <row r="35">
          <cell r="F35">
            <v>18</v>
          </cell>
        </row>
        <row r="36">
          <cell r="F36">
            <v>1</v>
          </cell>
        </row>
        <row r="37">
          <cell r="F37">
            <v>0</v>
          </cell>
        </row>
        <row r="38">
          <cell r="F38">
            <v>1</v>
          </cell>
        </row>
        <row r="39">
          <cell r="F39">
            <v>2</v>
          </cell>
        </row>
        <row r="41">
          <cell r="F41">
            <v>3</v>
          </cell>
        </row>
        <row r="42">
          <cell r="F42">
            <v>2</v>
          </cell>
        </row>
        <row r="47">
          <cell r="F47">
            <v>2</v>
          </cell>
        </row>
        <row r="48">
          <cell r="F48">
            <v>1</v>
          </cell>
        </row>
        <row r="49">
          <cell r="F49">
            <v>1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1</v>
          </cell>
        </row>
        <row r="54">
          <cell r="F54">
            <v>0</v>
          </cell>
        </row>
        <row r="55">
          <cell r="F55">
            <v>1</v>
          </cell>
        </row>
        <row r="56">
          <cell r="F56">
            <v>1</v>
          </cell>
        </row>
        <row r="59">
          <cell r="F59">
            <v>4</v>
          </cell>
        </row>
        <row r="60">
          <cell r="F60">
            <v>3</v>
          </cell>
        </row>
        <row r="61">
          <cell r="F61">
            <v>0</v>
          </cell>
        </row>
        <row r="62">
          <cell r="F62">
            <v>1</v>
          </cell>
        </row>
        <row r="63">
          <cell r="F63">
            <v>1</v>
          </cell>
        </row>
        <row r="64">
          <cell r="F64">
            <v>15</v>
          </cell>
        </row>
        <row r="65">
          <cell r="F65">
            <v>3</v>
          </cell>
        </row>
        <row r="66">
          <cell r="F66">
            <v>8</v>
          </cell>
        </row>
        <row r="67">
          <cell r="F67">
            <v>0</v>
          </cell>
        </row>
        <row r="68">
          <cell r="F68">
            <v>7</v>
          </cell>
        </row>
        <row r="69">
          <cell r="F69">
            <v>1</v>
          </cell>
        </row>
        <row r="70">
          <cell r="F70">
            <v>1</v>
          </cell>
        </row>
        <row r="72">
          <cell r="F72">
            <v>3</v>
          </cell>
        </row>
        <row r="78">
          <cell r="F78">
            <v>2</v>
          </cell>
        </row>
        <row r="79">
          <cell r="F79">
            <v>5</v>
          </cell>
        </row>
        <row r="80">
          <cell r="F80">
            <v>2</v>
          </cell>
        </row>
        <row r="81">
          <cell r="F81">
            <v>1</v>
          </cell>
        </row>
        <row r="82">
          <cell r="F82">
            <v>2</v>
          </cell>
        </row>
        <row r="83">
          <cell r="F83">
            <v>1</v>
          </cell>
        </row>
        <row r="86">
          <cell r="F86">
            <v>2</v>
          </cell>
        </row>
        <row r="94">
          <cell r="F9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63"/>
  <sheetViews>
    <sheetView workbookViewId="0">
      <selection activeCell="D24" sqref="D24"/>
    </sheetView>
  </sheetViews>
  <sheetFormatPr defaultRowHeight="15" customHeight="1" x14ac:dyDescent="0.25"/>
  <cols>
    <col min="2" max="2" width="3.85546875" customWidth="1"/>
    <col min="3" max="4" width="27.7109375" customWidth="1"/>
    <col min="5" max="6" width="0" hidden="1" customWidth="1"/>
    <col min="7" max="8" width="6.140625" hidden="1" customWidth="1"/>
    <col min="9" max="16" width="3.85546875" customWidth="1"/>
    <col min="17" max="17" width="28.28515625" customWidth="1"/>
  </cols>
  <sheetData>
    <row r="1" spans="1:18" ht="15" customHeight="1" thickBot="1" x14ac:dyDescent="0.3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</row>
    <row r="2" spans="1:18" ht="15" customHeight="1" x14ac:dyDescent="0.25">
      <c r="B2" s="27"/>
      <c r="C2" s="14" t="s">
        <v>18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8" ht="15" customHeight="1" x14ac:dyDescent="0.25">
      <c r="B3" s="29"/>
      <c r="C3" s="15" t="s">
        <v>13</v>
      </c>
      <c r="D3" s="30" t="s">
        <v>61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5"/>
    </row>
    <row r="4" spans="1:18" ht="15" customHeight="1" x14ac:dyDescent="0.25">
      <c r="B4" s="29"/>
      <c r="C4" s="15" t="s">
        <v>11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15"/>
    </row>
    <row r="5" spans="1:18" ht="15" customHeight="1" x14ac:dyDescent="0.25">
      <c r="B5" s="29"/>
      <c r="C5" s="15" t="s">
        <v>12</v>
      </c>
      <c r="D5" s="30" t="s">
        <v>62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15"/>
    </row>
    <row r="6" spans="1:18" ht="15" customHeight="1" x14ac:dyDescent="0.25">
      <c r="B6" s="29"/>
      <c r="C6" s="15" t="s">
        <v>14</v>
      </c>
      <c r="D6" s="34">
        <v>44412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15"/>
    </row>
    <row r="7" spans="1:18" ht="15" customHeight="1" thickBot="1" x14ac:dyDescent="0.3">
      <c r="B7" s="31"/>
      <c r="C7" s="16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16"/>
    </row>
    <row r="8" spans="1:18" ht="15" customHeight="1" thickBot="1" x14ac:dyDescent="0.3"/>
    <row r="9" spans="1:18" s="1" customFormat="1" ht="15" customHeight="1" x14ac:dyDescent="0.25">
      <c r="B9" s="17" t="s">
        <v>0</v>
      </c>
      <c r="C9" s="18" t="s">
        <v>1</v>
      </c>
      <c r="D9" s="18"/>
      <c r="E9" s="18" t="s">
        <v>2</v>
      </c>
      <c r="F9" s="18" t="s">
        <v>3</v>
      </c>
      <c r="G9" s="369" t="s">
        <v>4</v>
      </c>
      <c r="H9" s="370"/>
      <c r="I9" s="366" t="s">
        <v>7</v>
      </c>
      <c r="J9" s="367"/>
      <c r="K9" s="367"/>
      <c r="L9" s="367"/>
      <c r="M9" s="367"/>
      <c r="N9" s="367"/>
      <c r="O9" s="367"/>
      <c r="P9" s="368"/>
      <c r="Q9" s="19"/>
    </row>
    <row r="10" spans="1:18" s="1" customFormat="1" ht="15" customHeight="1" thickBot="1" x14ac:dyDescent="0.3">
      <c r="B10" s="20"/>
      <c r="C10" s="21"/>
      <c r="D10" s="21"/>
      <c r="E10" s="21"/>
      <c r="F10" s="21"/>
      <c r="G10" s="21" t="s">
        <v>5</v>
      </c>
      <c r="H10" s="22" t="s">
        <v>6</v>
      </c>
      <c r="I10" s="23">
        <v>1</v>
      </c>
      <c r="J10" s="24">
        <v>2</v>
      </c>
      <c r="K10" s="24">
        <v>3</v>
      </c>
      <c r="L10" s="24">
        <v>4</v>
      </c>
      <c r="M10" s="24">
        <v>5</v>
      </c>
      <c r="N10" s="24">
        <v>6</v>
      </c>
      <c r="O10" s="24">
        <v>7</v>
      </c>
      <c r="P10" s="25">
        <v>8</v>
      </c>
      <c r="Q10" s="26"/>
    </row>
    <row r="11" spans="1:18" ht="15" customHeight="1" x14ac:dyDescent="0.25">
      <c r="B11" s="3" t="s">
        <v>8</v>
      </c>
      <c r="C11" s="4" t="s">
        <v>16</v>
      </c>
      <c r="D11" s="4"/>
      <c r="E11" s="4"/>
      <c r="F11" s="4"/>
      <c r="G11" s="4"/>
      <c r="H11" s="11"/>
      <c r="I11" s="3"/>
      <c r="J11" s="4"/>
      <c r="K11" s="4"/>
      <c r="L11" s="4"/>
      <c r="M11" s="4"/>
      <c r="N11" s="4"/>
      <c r="O11" s="4"/>
      <c r="P11" s="5"/>
      <c r="Q11" s="14"/>
    </row>
    <row r="12" spans="1:18" ht="15" customHeight="1" x14ac:dyDescent="0.25">
      <c r="B12" s="6" t="s">
        <v>15</v>
      </c>
      <c r="C12" s="7" t="s">
        <v>23</v>
      </c>
      <c r="D12" s="7"/>
      <c r="E12" s="7"/>
      <c r="F12" s="7"/>
      <c r="G12" s="7"/>
      <c r="H12" s="12"/>
      <c r="I12" s="6"/>
      <c r="J12" s="7"/>
      <c r="K12" s="7"/>
      <c r="L12" s="7"/>
      <c r="M12" s="7"/>
      <c r="N12" s="7"/>
      <c r="O12" s="7"/>
      <c r="P12" s="8"/>
      <c r="Q12" s="15"/>
    </row>
    <row r="13" spans="1:18" ht="15" customHeight="1" x14ac:dyDescent="0.25">
      <c r="B13" s="6"/>
      <c r="C13" s="7" t="s">
        <v>80</v>
      </c>
      <c r="D13" s="7"/>
      <c r="E13" s="7"/>
      <c r="F13" s="7"/>
      <c r="G13" s="7"/>
      <c r="H13" s="12"/>
      <c r="I13" s="6"/>
      <c r="J13" s="7"/>
      <c r="K13" s="7"/>
      <c r="L13" s="7"/>
      <c r="M13" s="7"/>
      <c r="N13" s="7"/>
      <c r="O13" s="7"/>
      <c r="P13" s="8"/>
      <c r="Q13" s="15"/>
    </row>
    <row r="14" spans="1:18" ht="15" customHeight="1" x14ac:dyDescent="0.25">
      <c r="B14" s="6"/>
      <c r="C14" s="372" t="s">
        <v>79</v>
      </c>
      <c r="D14" s="7" t="s">
        <v>76</v>
      </c>
      <c r="E14" s="7"/>
      <c r="F14" s="7"/>
      <c r="G14" s="7"/>
      <c r="H14" s="12"/>
      <c r="I14" s="6"/>
      <c r="J14" s="7"/>
      <c r="K14" s="7"/>
      <c r="L14" s="7"/>
      <c r="M14" s="7"/>
      <c r="N14" s="7"/>
      <c r="O14" s="7"/>
      <c r="P14" s="8"/>
      <c r="Q14" s="15"/>
    </row>
    <row r="15" spans="1:18" ht="15" customHeight="1" x14ac:dyDescent="0.25">
      <c r="B15" s="6"/>
      <c r="C15" s="373"/>
      <c r="D15" s="7" t="s">
        <v>77</v>
      </c>
      <c r="E15" s="7"/>
      <c r="F15" s="7"/>
      <c r="G15" s="7"/>
      <c r="H15" s="12"/>
      <c r="I15" s="6"/>
      <c r="J15" s="7"/>
      <c r="K15" s="7"/>
      <c r="L15" s="7"/>
      <c r="M15" s="7"/>
      <c r="N15" s="7"/>
      <c r="O15" s="7"/>
      <c r="P15" s="8"/>
      <c r="Q15" s="15"/>
    </row>
    <row r="16" spans="1:18" ht="15" customHeight="1" x14ac:dyDescent="0.25">
      <c r="B16" s="6"/>
      <c r="C16" s="7" t="s">
        <v>24</v>
      </c>
      <c r="D16" s="7"/>
      <c r="E16" s="7"/>
      <c r="F16" s="7"/>
      <c r="G16" s="7"/>
      <c r="H16" s="12"/>
      <c r="I16" s="6"/>
      <c r="J16" s="7"/>
      <c r="K16" s="7"/>
      <c r="L16" s="7"/>
      <c r="M16" s="7"/>
      <c r="N16" s="7"/>
      <c r="O16" s="7"/>
      <c r="P16" s="8"/>
      <c r="Q16" s="15"/>
    </row>
    <row r="17" spans="2:17" ht="15" customHeight="1" x14ac:dyDescent="0.25">
      <c r="B17" s="6"/>
      <c r="C17" s="7" t="s">
        <v>15</v>
      </c>
      <c r="D17" s="7"/>
      <c r="E17" s="7"/>
      <c r="F17" s="7"/>
      <c r="G17" s="7"/>
      <c r="H17" s="12"/>
      <c r="I17" s="6"/>
      <c r="J17" s="7"/>
      <c r="K17" s="7"/>
      <c r="L17" s="7"/>
      <c r="M17" s="7"/>
      <c r="N17" s="7"/>
      <c r="O17" s="7"/>
      <c r="P17" s="8"/>
      <c r="Q17" s="15"/>
    </row>
    <row r="18" spans="2:17" ht="15" customHeight="1" x14ac:dyDescent="0.25">
      <c r="B18" s="6"/>
      <c r="C18" s="7"/>
      <c r="D18" s="7"/>
      <c r="E18" s="7"/>
      <c r="F18" s="7"/>
      <c r="G18" s="7"/>
      <c r="H18" s="12"/>
      <c r="I18" s="6"/>
      <c r="J18" s="7"/>
      <c r="K18" s="7"/>
      <c r="L18" s="7"/>
      <c r="M18" s="7"/>
      <c r="N18" s="7"/>
      <c r="O18" s="7"/>
      <c r="P18" s="8"/>
      <c r="Q18" s="15"/>
    </row>
    <row r="19" spans="2:17" ht="15" customHeight="1" x14ac:dyDescent="0.25">
      <c r="B19" s="6" t="s">
        <v>9</v>
      </c>
      <c r="C19" s="7" t="s">
        <v>17</v>
      </c>
      <c r="D19" s="7"/>
      <c r="E19" s="7"/>
      <c r="F19" s="7"/>
      <c r="G19" s="7"/>
      <c r="H19" s="12"/>
      <c r="I19" s="6"/>
      <c r="J19" s="7"/>
      <c r="K19" s="7"/>
      <c r="L19" s="7"/>
      <c r="M19" s="7"/>
      <c r="N19" s="7"/>
      <c r="O19" s="7"/>
      <c r="P19" s="8"/>
      <c r="Q19" s="15"/>
    </row>
    <row r="20" spans="2:17" ht="15" customHeight="1" x14ac:dyDescent="0.25">
      <c r="B20" s="6"/>
      <c r="C20" s="7" t="s">
        <v>25</v>
      </c>
      <c r="D20" s="7" t="s">
        <v>26</v>
      </c>
      <c r="E20" s="7"/>
      <c r="F20" s="7"/>
      <c r="G20" s="7"/>
      <c r="H20" s="12"/>
      <c r="I20" s="6"/>
      <c r="J20" s="7"/>
      <c r="K20" s="7"/>
      <c r="L20" s="7"/>
      <c r="M20" s="7"/>
      <c r="N20" s="7"/>
      <c r="O20" s="7"/>
      <c r="P20" s="8"/>
      <c r="Q20" s="15"/>
    </row>
    <row r="21" spans="2:17" ht="15" customHeight="1" x14ac:dyDescent="0.25">
      <c r="B21" s="6"/>
      <c r="C21" s="7"/>
      <c r="D21" s="7" t="s">
        <v>27</v>
      </c>
      <c r="E21" s="7"/>
      <c r="F21" s="7"/>
      <c r="G21" s="7"/>
      <c r="H21" s="12"/>
      <c r="I21" s="6"/>
      <c r="J21" s="7"/>
      <c r="K21" s="7"/>
      <c r="L21" s="7"/>
      <c r="M21" s="7"/>
      <c r="N21" s="7"/>
      <c r="O21" s="7"/>
      <c r="P21" s="8"/>
      <c r="Q21" s="15"/>
    </row>
    <row r="22" spans="2:17" ht="15" customHeight="1" x14ac:dyDescent="0.25">
      <c r="B22" s="6"/>
      <c r="C22" s="7"/>
      <c r="D22" s="7" t="s">
        <v>28</v>
      </c>
      <c r="E22" s="7"/>
      <c r="F22" s="7"/>
      <c r="G22" s="7"/>
      <c r="H22" s="12"/>
      <c r="I22" s="6"/>
      <c r="J22" s="7"/>
      <c r="K22" s="7"/>
      <c r="L22" s="7"/>
      <c r="M22" s="7"/>
      <c r="N22" s="7"/>
      <c r="O22" s="7"/>
      <c r="P22" s="8"/>
      <c r="Q22" s="15"/>
    </row>
    <row r="23" spans="2:17" ht="15" customHeight="1" x14ac:dyDescent="0.25">
      <c r="B23" s="6"/>
      <c r="C23" s="7" t="s">
        <v>29</v>
      </c>
      <c r="D23" s="7" t="s">
        <v>30</v>
      </c>
      <c r="E23" s="7"/>
      <c r="F23" s="7"/>
      <c r="G23" s="7"/>
      <c r="H23" s="12"/>
      <c r="I23" s="6"/>
      <c r="J23" s="7"/>
      <c r="K23" s="7"/>
      <c r="L23" s="7"/>
      <c r="M23" s="7"/>
      <c r="N23" s="7"/>
      <c r="O23" s="7"/>
      <c r="P23" s="8"/>
      <c r="Q23" s="15"/>
    </row>
    <row r="24" spans="2:17" ht="15" customHeight="1" x14ac:dyDescent="0.25">
      <c r="B24" s="6"/>
      <c r="C24" s="7"/>
      <c r="D24" s="7" t="s">
        <v>31</v>
      </c>
      <c r="E24" s="7"/>
      <c r="F24" s="7"/>
      <c r="G24" s="7"/>
      <c r="H24" s="12"/>
      <c r="I24" s="6"/>
      <c r="J24" s="7"/>
      <c r="K24" s="7"/>
      <c r="L24" s="7"/>
      <c r="M24" s="7"/>
      <c r="N24" s="7"/>
      <c r="O24" s="7"/>
      <c r="P24" s="8"/>
      <c r="Q24" s="15"/>
    </row>
    <row r="25" spans="2:17" ht="15" customHeight="1" x14ac:dyDescent="0.25">
      <c r="B25" s="6"/>
      <c r="C25" s="7"/>
      <c r="D25" s="7" t="s">
        <v>32</v>
      </c>
      <c r="E25" s="7"/>
      <c r="F25" s="7"/>
      <c r="G25" s="7"/>
      <c r="H25" s="12"/>
      <c r="I25" s="6"/>
      <c r="J25" s="7"/>
      <c r="K25" s="7"/>
      <c r="L25" s="7"/>
      <c r="M25" s="7"/>
      <c r="N25" s="7"/>
      <c r="O25" s="7"/>
      <c r="P25" s="8"/>
      <c r="Q25" s="15"/>
    </row>
    <row r="26" spans="2:17" ht="15" customHeight="1" x14ac:dyDescent="0.25">
      <c r="B26" s="6"/>
      <c r="C26" s="7"/>
      <c r="D26" s="7" t="s">
        <v>33</v>
      </c>
      <c r="E26" s="7"/>
      <c r="F26" s="7"/>
      <c r="G26" s="7"/>
      <c r="H26" s="12"/>
      <c r="I26" s="6"/>
      <c r="J26" s="7"/>
      <c r="K26" s="7"/>
      <c r="L26" s="7"/>
      <c r="M26" s="7"/>
      <c r="N26" s="7"/>
      <c r="O26" s="7"/>
      <c r="P26" s="8"/>
      <c r="Q26" s="15"/>
    </row>
    <row r="27" spans="2:17" ht="15" customHeight="1" x14ac:dyDescent="0.25">
      <c r="B27" s="6"/>
      <c r="C27" s="7" t="s">
        <v>34</v>
      </c>
      <c r="D27" s="7" t="s">
        <v>35</v>
      </c>
      <c r="E27" s="7"/>
      <c r="F27" s="7"/>
      <c r="G27" s="7"/>
      <c r="H27" s="12"/>
      <c r="I27" s="6"/>
      <c r="J27" s="7"/>
      <c r="K27" s="7"/>
      <c r="L27" s="7"/>
      <c r="M27" s="7"/>
      <c r="N27" s="7"/>
      <c r="O27" s="7"/>
      <c r="P27" s="8"/>
      <c r="Q27" s="15"/>
    </row>
    <row r="28" spans="2:17" ht="15" customHeight="1" x14ac:dyDescent="0.25">
      <c r="B28" s="6"/>
      <c r="C28" s="7"/>
      <c r="D28" s="7" t="s">
        <v>36</v>
      </c>
      <c r="E28" s="7"/>
      <c r="F28" s="7"/>
      <c r="G28" s="7"/>
      <c r="H28" s="12"/>
      <c r="I28" s="6"/>
      <c r="J28" s="7"/>
      <c r="K28" s="7"/>
      <c r="L28" s="7"/>
      <c r="M28" s="7"/>
      <c r="N28" s="7"/>
      <c r="O28" s="7"/>
      <c r="P28" s="8"/>
      <c r="Q28" s="15"/>
    </row>
    <row r="29" spans="2:17" ht="15" customHeight="1" x14ac:dyDescent="0.25">
      <c r="B29" s="6"/>
      <c r="C29" s="7"/>
      <c r="D29" s="7" t="s">
        <v>37</v>
      </c>
      <c r="E29" s="7"/>
      <c r="F29" s="7"/>
      <c r="G29" s="7"/>
      <c r="H29" s="12"/>
      <c r="I29" s="6"/>
      <c r="J29" s="7"/>
      <c r="K29" s="7"/>
      <c r="L29" s="7"/>
      <c r="M29" s="7"/>
      <c r="N29" s="7"/>
      <c r="O29" s="7"/>
      <c r="P29" s="8"/>
      <c r="Q29" s="15"/>
    </row>
    <row r="30" spans="2:17" ht="15" customHeight="1" x14ac:dyDescent="0.25">
      <c r="B30" s="6"/>
      <c r="C30" s="7" t="s">
        <v>38</v>
      </c>
      <c r="D30" s="7" t="s">
        <v>39</v>
      </c>
      <c r="E30" s="7"/>
      <c r="F30" s="7"/>
      <c r="G30" s="7"/>
      <c r="H30" s="12"/>
      <c r="I30" s="6"/>
      <c r="J30" s="7"/>
      <c r="K30" s="7"/>
      <c r="L30" s="7"/>
      <c r="M30" s="7"/>
      <c r="N30" s="7"/>
      <c r="O30" s="7"/>
      <c r="P30" s="8"/>
      <c r="Q30" s="15"/>
    </row>
    <row r="31" spans="2:17" ht="15" customHeight="1" x14ac:dyDescent="0.25">
      <c r="B31" s="6"/>
      <c r="C31" s="7"/>
      <c r="D31" s="7" t="s">
        <v>40</v>
      </c>
      <c r="E31" s="7"/>
      <c r="F31" s="7"/>
      <c r="G31" s="7"/>
      <c r="H31" s="12"/>
      <c r="I31" s="6"/>
      <c r="J31" s="7"/>
      <c r="K31" s="7"/>
      <c r="L31" s="7"/>
      <c r="M31" s="7"/>
      <c r="N31" s="7"/>
      <c r="O31" s="7"/>
      <c r="P31" s="8"/>
      <c r="Q31" s="15"/>
    </row>
    <row r="32" spans="2:17" ht="15" customHeight="1" x14ac:dyDescent="0.25">
      <c r="B32" s="6"/>
      <c r="C32" s="7" t="s">
        <v>41</v>
      </c>
      <c r="D32" s="7" t="s">
        <v>42</v>
      </c>
      <c r="E32" s="7"/>
      <c r="F32" s="7"/>
      <c r="G32" s="7"/>
      <c r="H32" s="12"/>
      <c r="I32" s="6"/>
      <c r="J32" s="7"/>
      <c r="K32" s="7"/>
      <c r="L32" s="7"/>
      <c r="M32" s="7"/>
      <c r="N32" s="7"/>
      <c r="O32" s="7"/>
      <c r="P32" s="8"/>
      <c r="Q32" s="15"/>
    </row>
    <row r="33" spans="2:17" ht="15" customHeight="1" x14ac:dyDescent="0.25">
      <c r="B33" s="6"/>
      <c r="C33" s="7"/>
      <c r="D33" s="7" t="s">
        <v>43</v>
      </c>
      <c r="E33" s="7"/>
      <c r="F33" s="7"/>
      <c r="G33" s="7"/>
      <c r="H33" s="12"/>
      <c r="I33" s="6"/>
      <c r="J33" s="7"/>
      <c r="K33" s="7"/>
      <c r="L33" s="7"/>
      <c r="M33" s="7"/>
      <c r="N33" s="7"/>
      <c r="O33" s="7"/>
      <c r="P33" s="8"/>
      <c r="Q33" s="15"/>
    </row>
    <row r="34" spans="2:17" ht="15" customHeight="1" x14ac:dyDescent="0.25">
      <c r="B34" s="6"/>
      <c r="C34" s="7"/>
      <c r="D34" s="7" t="s">
        <v>44</v>
      </c>
      <c r="E34" s="7"/>
      <c r="F34" s="7"/>
      <c r="G34" s="7"/>
      <c r="H34" s="12"/>
      <c r="I34" s="6"/>
      <c r="J34" s="7"/>
      <c r="K34" s="7"/>
      <c r="L34" s="7"/>
      <c r="M34" s="7"/>
      <c r="N34" s="7"/>
      <c r="O34" s="7"/>
      <c r="P34" s="8"/>
      <c r="Q34" s="15"/>
    </row>
    <row r="35" spans="2:17" ht="15" customHeight="1" x14ac:dyDescent="0.25">
      <c r="B35" s="6"/>
      <c r="C35" s="7"/>
      <c r="D35" s="7" t="s">
        <v>45</v>
      </c>
      <c r="E35" s="7"/>
      <c r="F35" s="7"/>
      <c r="G35" s="7"/>
      <c r="H35" s="12"/>
      <c r="I35" s="6"/>
      <c r="J35" s="7"/>
      <c r="K35" s="7"/>
      <c r="L35" s="7"/>
      <c r="M35" s="7"/>
      <c r="N35" s="7"/>
      <c r="O35" s="7"/>
      <c r="P35" s="8"/>
      <c r="Q35" s="15"/>
    </row>
    <row r="36" spans="2:17" ht="15" customHeight="1" x14ac:dyDescent="0.25">
      <c r="B36" s="6"/>
      <c r="C36" s="7"/>
      <c r="D36" s="7" t="s">
        <v>33</v>
      </c>
      <c r="E36" s="7"/>
      <c r="F36" s="7"/>
      <c r="G36" s="7"/>
      <c r="H36" s="12"/>
      <c r="I36" s="6"/>
      <c r="J36" s="7"/>
      <c r="K36" s="7"/>
      <c r="L36" s="7"/>
      <c r="M36" s="7"/>
      <c r="N36" s="7"/>
      <c r="O36" s="7"/>
      <c r="P36" s="8"/>
      <c r="Q36" s="15"/>
    </row>
    <row r="37" spans="2:17" ht="15" customHeight="1" x14ac:dyDescent="0.25">
      <c r="B37" s="6"/>
      <c r="C37" s="7" t="s">
        <v>50</v>
      </c>
      <c r="D37" s="7" t="s">
        <v>52</v>
      </c>
      <c r="E37" s="7"/>
      <c r="F37" s="7"/>
      <c r="G37" s="7"/>
      <c r="H37" s="12"/>
      <c r="I37" s="6"/>
      <c r="J37" s="7"/>
      <c r="K37" s="7"/>
      <c r="L37" s="7"/>
      <c r="M37" s="7"/>
      <c r="N37" s="7"/>
      <c r="O37" s="7"/>
      <c r="P37" s="8"/>
      <c r="Q37" s="15"/>
    </row>
    <row r="38" spans="2:17" ht="15" customHeight="1" x14ac:dyDescent="0.25">
      <c r="B38" s="6"/>
      <c r="C38" s="7"/>
      <c r="D38" s="7" t="s">
        <v>53</v>
      </c>
      <c r="E38" s="7"/>
      <c r="F38" s="7"/>
      <c r="G38" s="7"/>
      <c r="H38" s="12"/>
      <c r="I38" s="6"/>
      <c r="J38" s="7"/>
      <c r="K38" s="7"/>
      <c r="L38" s="7"/>
      <c r="M38" s="7"/>
      <c r="N38" s="7"/>
      <c r="O38" s="7"/>
      <c r="P38" s="8"/>
      <c r="Q38" s="15"/>
    </row>
    <row r="39" spans="2:17" ht="15" customHeight="1" x14ac:dyDescent="0.25">
      <c r="B39" s="6"/>
      <c r="C39" s="7"/>
      <c r="D39" s="7" t="s">
        <v>51</v>
      </c>
      <c r="E39" s="7"/>
      <c r="F39" s="7"/>
      <c r="G39" s="7"/>
      <c r="H39" s="12"/>
      <c r="I39" s="6"/>
      <c r="J39" s="7"/>
      <c r="K39" s="7"/>
      <c r="L39" s="7"/>
      <c r="M39" s="7"/>
      <c r="N39" s="7"/>
      <c r="O39" s="7"/>
      <c r="P39" s="8"/>
      <c r="Q39" s="15"/>
    </row>
    <row r="40" spans="2:17" ht="15" customHeight="1" x14ac:dyDescent="0.25">
      <c r="B40" s="6"/>
      <c r="C40" s="7"/>
      <c r="D40" s="7" t="s">
        <v>55</v>
      </c>
      <c r="E40" s="7"/>
      <c r="F40" s="7"/>
      <c r="G40" s="7"/>
      <c r="H40" s="12"/>
      <c r="I40" s="6"/>
      <c r="J40" s="7"/>
      <c r="K40" s="7"/>
      <c r="L40" s="7"/>
      <c r="M40" s="7"/>
      <c r="N40" s="7"/>
      <c r="O40" s="7"/>
      <c r="P40" s="8"/>
      <c r="Q40" s="15"/>
    </row>
    <row r="41" spans="2:17" ht="15" customHeight="1" x14ac:dyDescent="0.25">
      <c r="B41" s="6"/>
      <c r="C41" s="7"/>
      <c r="D41" s="7" t="s">
        <v>54</v>
      </c>
      <c r="E41" s="7"/>
      <c r="F41" s="7"/>
      <c r="G41" s="7"/>
      <c r="H41" s="12"/>
      <c r="I41" s="6"/>
      <c r="J41" s="7"/>
      <c r="K41" s="7"/>
      <c r="L41" s="7"/>
      <c r="M41" s="7"/>
      <c r="N41" s="7"/>
      <c r="O41" s="7"/>
      <c r="P41" s="8"/>
      <c r="Q41" s="15"/>
    </row>
    <row r="42" spans="2:17" ht="15" customHeight="1" x14ac:dyDescent="0.25">
      <c r="B42" s="6"/>
      <c r="C42" s="7"/>
      <c r="D42" s="7" t="s">
        <v>33</v>
      </c>
      <c r="E42" s="7"/>
      <c r="F42" s="7"/>
      <c r="G42" s="7"/>
      <c r="H42" s="12"/>
      <c r="I42" s="6"/>
      <c r="J42" s="7"/>
      <c r="K42" s="7"/>
      <c r="L42" s="7"/>
      <c r="M42" s="7"/>
      <c r="N42" s="7"/>
      <c r="O42" s="7"/>
      <c r="P42" s="8"/>
      <c r="Q42" s="15"/>
    </row>
    <row r="43" spans="2:17" ht="15" customHeight="1" x14ac:dyDescent="0.25">
      <c r="B43" s="6"/>
      <c r="C43" s="7" t="s">
        <v>46</v>
      </c>
      <c r="D43" s="7" t="s">
        <v>47</v>
      </c>
      <c r="E43" s="7"/>
      <c r="F43" s="7"/>
      <c r="G43" s="7"/>
      <c r="H43" s="12"/>
      <c r="I43" s="6"/>
      <c r="J43" s="7"/>
      <c r="K43" s="7"/>
      <c r="L43" s="7"/>
      <c r="M43" s="7"/>
      <c r="N43" s="7"/>
      <c r="O43" s="7"/>
      <c r="P43" s="8"/>
      <c r="Q43" s="15"/>
    </row>
    <row r="44" spans="2:17" ht="15" customHeight="1" x14ac:dyDescent="0.25">
      <c r="B44" s="6"/>
      <c r="C44" s="7"/>
      <c r="D44" s="7" t="s">
        <v>48</v>
      </c>
      <c r="E44" s="7"/>
      <c r="F44" s="7"/>
      <c r="G44" s="7"/>
      <c r="H44" s="12"/>
      <c r="I44" s="6"/>
      <c r="J44" s="7"/>
      <c r="K44" s="7"/>
      <c r="L44" s="7"/>
      <c r="M44" s="7"/>
      <c r="N44" s="7"/>
      <c r="O44" s="7"/>
      <c r="P44" s="8"/>
      <c r="Q44" s="15"/>
    </row>
    <row r="45" spans="2:17" ht="15" customHeight="1" x14ac:dyDescent="0.25">
      <c r="B45" s="6"/>
      <c r="C45" s="7"/>
      <c r="D45" s="7" t="s">
        <v>49</v>
      </c>
      <c r="E45" s="7"/>
      <c r="F45" s="7"/>
      <c r="G45" s="7"/>
      <c r="H45" s="12"/>
      <c r="I45" s="6"/>
      <c r="J45" s="7"/>
      <c r="K45" s="7"/>
      <c r="L45" s="7"/>
      <c r="M45" s="7"/>
      <c r="N45" s="7"/>
      <c r="O45" s="7"/>
      <c r="P45" s="8"/>
      <c r="Q45" s="15"/>
    </row>
    <row r="46" spans="2:17" ht="15" customHeight="1" x14ac:dyDescent="0.25">
      <c r="B46" s="6"/>
      <c r="C46" s="7"/>
      <c r="D46" s="7" t="s">
        <v>33</v>
      </c>
      <c r="E46" s="7"/>
      <c r="F46" s="7"/>
      <c r="G46" s="7"/>
      <c r="H46" s="12"/>
      <c r="I46" s="6"/>
      <c r="J46" s="7"/>
      <c r="K46" s="7"/>
      <c r="L46" s="7"/>
      <c r="M46" s="7"/>
      <c r="N46" s="7"/>
      <c r="O46" s="7"/>
      <c r="P46" s="8"/>
      <c r="Q46" s="15"/>
    </row>
    <row r="47" spans="2:17" ht="15" customHeight="1" x14ac:dyDescent="0.25">
      <c r="B47" s="6" t="s">
        <v>10</v>
      </c>
      <c r="C47" s="7" t="s">
        <v>56</v>
      </c>
      <c r="D47" s="7" t="s">
        <v>57</v>
      </c>
      <c r="E47" s="7"/>
      <c r="F47" s="7"/>
      <c r="G47" s="7"/>
      <c r="H47" s="12"/>
      <c r="I47" s="6"/>
      <c r="J47" s="7"/>
      <c r="K47" s="7"/>
      <c r="L47" s="7"/>
      <c r="M47" s="7"/>
      <c r="N47" s="7"/>
      <c r="O47" s="7"/>
      <c r="P47" s="8"/>
      <c r="Q47" s="15"/>
    </row>
    <row r="48" spans="2:17" ht="15" customHeight="1" x14ac:dyDescent="0.25">
      <c r="B48" s="6"/>
      <c r="C48" s="7"/>
      <c r="D48" s="7" t="s">
        <v>58</v>
      </c>
      <c r="E48" s="7"/>
      <c r="F48" s="7"/>
      <c r="G48" s="7"/>
      <c r="H48" s="12"/>
      <c r="I48" s="6"/>
      <c r="J48" s="7"/>
      <c r="K48" s="7"/>
      <c r="L48" s="7"/>
      <c r="M48" s="7"/>
      <c r="N48" s="7"/>
      <c r="O48" s="7"/>
      <c r="P48" s="8"/>
      <c r="Q48" s="15"/>
    </row>
    <row r="49" spans="2:17" ht="15" customHeight="1" x14ac:dyDescent="0.25">
      <c r="B49" s="6"/>
      <c r="C49" s="7"/>
      <c r="D49" s="7" t="s">
        <v>59</v>
      </c>
      <c r="E49" s="7"/>
      <c r="F49" s="7"/>
      <c r="G49" s="7"/>
      <c r="H49" s="12"/>
      <c r="I49" s="6"/>
      <c r="J49" s="7"/>
      <c r="K49" s="7"/>
      <c r="L49" s="7"/>
      <c r="M49" s="7"/>
      <c r="N49" s="7"/>
      <c r="O49" s="7"/>
      <c r="P49" s="8"/>
      <c r="Q49" s="15"/>
    </row>
    <row r="50" spans="2:17" ht="15" customHeight="1" x14ac:dyDescent="0.25">
      <c r="B50" s="6"/>
      <c r="C50" s="7"/>
      <c r="D50" s="7" t="s">
        <v>60</v>
      </c>
      <c r="E50" s="7"/>
      <c r="F50" s="7"/>
      <c r="G50" s="7"/>
      <c r="H50" s="12"/>
      <c r="I50" s="6"/>
      <c r="J50" s="7"/>
      <c r="K50" s="7"/>
      <c r="L50" s="7"/>
      <c r="M50" s="7"/>
      <c r="N50" s="7"/>
      <c r="O50" s="7"/>
      <c r="P50" s="8"/>
      <c r="Q50" s="15"/>
    </row>
    <row r="51" spans="2:17" ht="15" customHeight="1" x14ac:dyDescent="0.25">
      <c r="B51" s="6"/>
      <c r="C51" s="7"/>
      <c r="D51" s="7"/>
      <c r="E51" s="7"/>
      <c r="F51" s="7"/>
      <c r="G51" s="7"/>
      <c r="H51" s="12"/>
      <c r="I51" s="6"/>
      <c r="J51" s="7"/>
      <c r="K51" s="7"/>
      <c r="L51" s="7"/>
      <c r="M51" s="7"/>
      <c r="N51" s="7"/>
      <c r="O51" s="7"/>
      <c r="P51" s="8"/>
      <c r="Q51" s="15"/>
    </row>
    <row r="52" spans="2:17" ht="15" customHeight="1" x14ac:dyDescent="0.25">
      <c r="B52" s="6"/>
      <c r="C52" s="7"/>
      <c r="D52" s="7"/>
      <c r="E52" s="7"/>
      <c r="F52" s="7"/>
      <c r="G52" s="7"/>
      <c r="H52" s="12"/>
      <c r="I52" s="6"/>
      <c r="J52" s="7"/>
      <c r="K52" s="7"/>
      <c r="L52" s="7"/>
      <c r="M52" s="7"/>
      <c r="N52" s="7"/>
      <c r="O52" s="7"/>
      <c r="P52" s="8"/>
      <c r="Q52" s="15"/>
    </row>
    <row r="53" spans="2:17" ht="15" customHeight="1" x14ac:dyDescent="0.25">
      <c r="B53" s="6"/>
      <c r="C53" s="7"/>
      <c r="D53" s="7"/>
      <c r="E53" s="7"/>
      <c r="F53" s="7"/>
      <c r="G53" s="7"/>
      <c r="H53" s="12"/>
      <c r="I53" s="6"/>
      <c r="J53" s="7"/>
      <c r="K53" s="7"/>
      <c r="L53" s="7"/>
      <c r="M53" s="7"/>
      <c r="N53" s="7"/>
      <c r="O53" s="7"/>
      <c r="P53" s="8"/>
      <c r="Q53" s="15"/>
    </row>
    <row r="54" spans="2:17" ht="15" customHeight="1" x14ac:dyDescent="0.25">
      <c r="B54" s="6"/>
      <c r="C54" s="7"/>
      <c r="D54" s="7"/>
      <c r="E54" s="7"/>
      <c r="F54" s="7"/>
      <c r="G54" s="7"/>
      <c r="H54" s="12"/>
      <c r="I54" s="6"/>
      <c r="J54" s="7"/>
      <c r="K54" s="7"/>
      <c r="L54" s="7"/>
      <c r="M54" s="7"/>
      <c r="N54" s="7"/>
      <c r="O54" s="7"/>
      <c r="P54" s="8"/>
      <c r="Q54" s="15"/>
    </row>
    <row r="55" spans="2:17" ht="15" customHeight="1" x14ac:dyDescent="0.25">
      <c r="B55" s="6"/>
      <c r="C55" s="7"/>
      <c r="D55" s="7"/>
      <c r="E55" s="7"/>
      <c r="F55" s="7"/>
      <c r="G55" s="7"/>
      <c r="H55" s="12"/>
      <c r="I55" s="6"/>
      <c r="J55" s="7"/>
      <c r="K55" s="7"/>
      <c r="L55" s="7"/>
      <c r="M55" s="7"/>
      <c r="N55" s="7"/>
      <c r="O55" s="7"/>
      <c r="P55" s="8"/>
      <c r="Q55" s="15"/>
    </row>
    <row r="56" spans="2:17" ht="15" customHeight="1" x14ac:dyDescent="0.25">
      <c r="B56" s="6"/>
      <c r="C56" s="7"/>
      <c r="D56" s="7"/>
      <c r="E56" s="7"/>
      <c r="F56" s="7"/>
      <c r="G56" s="7"/>
      <c r="H56" s="12"/>
      <c r="I56" s="6"/>
      <c r="J56" s="7"/>
      <c r="K56" s="7"/>
      <c r="L56" s="7"/>
      <c r="M56" s="7"/>
      <c r="N56" s="7"/>
      <c r="O56" s="7"/>
      <c r="P56" s="8"/>
      <c r="Q56" s="15"/>
    </row>
    <row r="57" spans="2:17" ht="15" customHeight="1" thickBot="1" x14ac:dyDescent="0.3">
      <c r="B57" s="9"/>
      <c r="C57" s="2"/>
      <c r="D57" s="2"/>
      <c r="E57" s="2"/>
      <c r="F57" s="2"/>
      <c r="G57" s="2"/>
      <c r="H57" s="13"/>
      <c r="I57" s="9"/>
      <c r="J57" s="2"/>
      <c r="K57" s="2"/>
      <c r="L57" s="2"/>
      <c r="M57" s="2"/>
      <c r="N57" s="2"/>
      <c r="O57" s="2"/>
      <c r="P57" s="10"/>
      <c r="Q57" s="16"/>
    </row>
    <row r="59" spans="2:17" ht="15" customHeight="1" x14ac:dyDescent="0.25">
      <c r="B59" t="s">
        <v>19</v>
      </c>
      <c r="I59" t="s">
        <v>21</v>
      </c>
    </row>
    <row r="63" spans="2:17" ht="15" customHeight="1" x14ac:dyDescent="0.25">
      <c r="B63" t="s">
        <v>20</v>
      </c>
      <c r="I63" t="s">
        <v>22</v>
      </c>
    </row>
  </sheetData>
  <mergeCells count="4">
    <mergeCell ref="I9:P9"/>
    <mergeCell ref="G9:H9"/>
    <mergeCell ref="A1:R1"/>
    <mergeCell ref="C14:C15"/>
  </mergeCells>
  <pageMargins left="0.7" right="0.7" top="0.75" bottom="0.75" header="0.3" footer="0.3"/>
  <pageSetup scale="7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88"/>
  <sheetViews>
    <sheetView workbookViewId="0">
      <selection activeCell="E9" sqref="E9:E10"/>
    </sheetView>
  </sheetViews>
  <sheetFormatPr defaultRowHeight="15" x14ac:dyDescent="0.25"/>
  <cols>
    <col min="2" max="2" width="3.85546875" customWidth="1"/>
    <col min="3" max="3" width="23.85546875" customWidth="1"/>
    <col min="4" max="4" width="25.28515625" customWidth="1"/>
    <col min="5" max="5" width="21" customWidth="1"/>
    <col min="6" max="6" width="7.140625" bestFit="1" customWidth="1"/>
    <col min="7" max="7" width="6.85546875" bestFit="1" customWidth="1"/>
    <col min="8" max="8" width="5.140625" style="84" bestFit="1" customWidth="1"/>
    <col min="9" max="9" width="5.7109375" style="84" bestFit="1" customWidth="1"/>
    <col min="10" max="10" width="19.140625" customWidth="1"/>
  </cols>
  <sheetData>
    <row r="1" spans="1:11" ht="15" customHeight="1" thickBot="1" x14ac:dyDescent="0.3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</row>
    <row r="2" spans="1:11" ht="12.95" customHeight="1" x14ac:dyDescent="0.25">
      <c r="B2" s="27"/>
      <c r="C2" s="73" t="s">
        <v>18</v>
      </c>
      <c r="D2" s="28"/>
      <c r="E2" s="28"/>
      <c r="F2" s="28"/>
      <c r="G2" s="28"/>
      <c r="H2" s="80"/>
      <c r="I2" s="80"/>
      <c r="J2" s="14"/>
    </row>
    <row r="3" spans="1:11" ht="12.95" customHeight="1" x14ac:dyDescent="0.25">
      <c r="B3" s="29"/>
      <c r="C3" s="15" t="s">
        <v>126</v>
      </c>
      <c r="D3" s="30"/>
      <c r="E3" s="30"/>
      <c r="F3" s="30"/>
      <c r="G3" s="30"/>
      <c r="H3" s="81"/>
      <c r="I3" s="81"/>
      <c r="J3" s="15"/>
    </row>
    <row r="4" spans="1:11" ht="12.95" customHeight="1" x14ac:dyDescent="0.25">
      <c r="B4" s="29"/>
      <c r="C4" s="15" t="s">
        <v>127</v>
      </c>
      <c r="D4" s="30"/>
      <c r="E4" s="30"/>
      <c r="F4" s="30"/>
      <c r="G4" s="30"/>
      <c r="H4" s="81"/>
      <c r="I4" s="81"/>
      <c r="J4" s="15"/>
    </row>
    <row r="5" spans="1:11" ht="12.95" customHeight="1" x14ac:dyDescent="0.25">
      <c r="B5" s="29"/>
      <c r="C5" s="15" t="s">
        <v>99</v>
      </c>
      <c r="D5" s="30"/>
      <c r="E5" s="30"/>
      <c r="F5" s="30"/>
      <c r="G5" s="30"/>
      <c r="H5" s="81"/>
      <c r="I5" s="81"/>
      <c r="J5" s="15"/>
    </row>
    <row r="6" spans="1:11" ht="12.95" customHeight="1" x14ac:dyDescent="0.25">
      <c r="B6" s="29"/>
      <c r="C6" s="15" t="s">
        <v>100</v>
      </c>
      <c r="D6" s="34"/>
      <c r="E6" s="34"/>
      <c r="F6" s="30"/>
      <c r="G6" s="30"/>
      <c r="H6" s="81"/>
      <c r="I6" s="81"/>
      <c r="J6" s="15"/>
    </row>
    <row r="7" spans="1:11" ht="12.95" customHeight="1" thickBot="1" x14ac:dyDescent="0.3">
      <c r="B7" s="31"/>
      <c r="C7" s="16"/>
      <c r="D7" s="32"/>
      <c r="E7" s="32"/>
      <c r="F7" s="32"/>
      <c r="G7" s="32"/>
      <c r="H7" s="82"/>
      <c r="I7" s="82"/>
      <c r="J7" s="16"/>
    </row>
    <row r="8" spans="1:11" ht="6.75" customHeight="1" thickBot="1" x14ac:dyDescent="0.3"/>
    <row r="9" spans="1:11" s="84" customFormat="1" ht="12.95" customHeight="1" x14ac:dyDescent="0.25">
      <c r="B9" s="17" t="s">
        <v>0</v>
      </c>
      <c r="C9" s="18" t="s">
        <v>71</v>
      </c>
      <c r="D9" s="18" t="s">
        <v>72</v>
      </c>
      <c r="E9" s="18" t="s">
        <v>200</v>
      </c>
      <c r="F9" s="18" t="s">
        <v>201</v>
      </c>
      <c r="G9" s="18" t="s">
        <v>63</v>
      </c>
      <c r="H9" s="369" t="s">
        <v>202</v>
      </c>
      <c r="I9" s="375"/>
      <c r="J9" s="83" t="s">
        <v>66</v>
      </c>
    </row>
    <row r="10" spans="1:11" s="84" customFormat="1" ht="12.95" customHeight="1" thickBot="1" x14ac:dyDescent="0.3">
      <c r="B10" s="20"/>
      <c r="C10" s="21"/>
      <c r="D10" s="21"/>
      <c r="E10" s="21"/>
      <c r="F10" s="21"/>
      <c r="G10" s="21"/>
      <c r="H10" s="21" t="s">
        <v>203</v>
      </c>
      <c r="I10" s="21" t="s">
        <v>204</v>
      </c>
      <c r="J10" s="26"/>
    </row>
    <row r="11" spans="1:11" ht="12.95" customHeight="1" x14ac:dyDescent="0.25">
      <c r="B11" s="71">
        <v>1</v>
      </c>
      <c r="C11" s="140" t="s">
        <v>16</v>
      </c>
      <c r="D11" s="141"/>
      <c r="E11" s="86"/>
      <c r="F11" s="95"/>
      <c r="G11" s="95"/>
      <c r="H11" s="96"/>
      <c r="I11" s="96"/>
      <c r="J11" s="97"/>
    </row>
    <row r="12" spans="1:11" ht="12.95" customHeight="1" x14ac:dyDescent="0.25">
      <c r="B12" s="6"/>
      <c r="C12" s="376" t="s">
        <v>23</v>
      </c>
      <c r="D12" s="7" t="s">
        <v>269</v>
      </c>
      <c r="F12" s="7"/>
      <c r="G12" s="68" t="s">
        <v>73</v>
      </c>
      <c r="H12" s="68"/>
      <c r="I12" s="68"/>
      <c r="J12" s="15"/>
    </row>
    <row r="13" spans="1:11" ht="12.95" customHeight="1" x14ac:dyDescent="0.25">
      <c r="B13" s="6"/>
      <c r="C13" s="380"/>
      <c r="D13" s="7" t="s">
        <v>270</v>
      </c>
      <c r="E13" s="7"/>
      <c r="F13" s="7"/>
      <c r="G13" s="68" t="s">
        <v>73</v>
      </c>
      <c r="H13" s="68"/>
      <c r="I13" s="68"/>
      <c r="J13" s="15"/>
    </row>
    <row r="14" spans="1:11" ht="12.95" customHeight="1" x14ac:dyDescent="0.25">
      <c r="B14" s="6"/>
      <c r="C14" s="380"/>
      <c r="D14" s="7" t="s">
        <v>271</v>
      </c>
      <c r="E14" s="7"/>
      <c r="F14" s="7"/>
      <c r="G14" s="68" t="s">
        <v>73</v>
      </c>
      <c r="H14" s="68"/>
      <c r="I14" s="68"/>
      <c r="J14" s="15"/>
    </row>
    <row r="15" spans="1:11" ht="12.95" customHeight="1" x14ac:dyDescent="0.25">
      <c r="B15" s="6"/>
      <c r="C15" s="380"/>
      <c r="D15" s="7" t="s">
        <v>272</v>
      </c>
      <c r="E15" s="7"/>
      <c r="F15" s="7"/>
      <c r="G15" s="68" t="s">
        <v>73</v>
      </c>
      <c r="H15" s="68"/>
      <c r="I15" s="68"/>
      <c r="J15" s="15"/>
    </row>
    <row r="16" spans="1:11" ht="12.95" customHeight="1" x14ac:dyDescent="0.25">
      <c r="B16" s="6"/>
      <c r="C16" s="380"/>
      <c r="D16" s="7" t="s">
        <v>273</v>
      </c>
      <c r="E16" s="7"/>
      <c r="F16" s="7"/>
      <c r="G16" s="68" t="s">
        <v>73</v>
      </c>
      <c r="H16" s="68"/>
      <c r="I16" s="68"/>
      <c r="J16" s="15"/>
    </row>
    <row r="17" spans="2:10" ht="12.95" customHeight="1" x14ac:dyDescent="0.25">
      <c r="B17" s="6"/>
      <c r="C17" s="380"/>
      <c r="D17" s="7" t="s">
        <v>274</v>
      </c>
      <c r="E17" s="7"/>
      <c r="F17" s="7"/>
      <c r="G17" s="68" t="s">
        <v>73</v>
      </c>
      <c r="H17" s="68"/>
      <c r="I17" s="68"/>
      <c r="J17" s="15"/>
    </row>
    <row r="18" spans="2:10" ht="12.95" customHeight="1" x14ac:dyDescent="0.25">
      <c r="B18" s="6"/>
      <c r="C18" s="7" t="s">
        <v>80</v>
      </c>
      <c r="D18" s="7"/>
      <c r="E18" s="7"/>
      <c r="F18" s="7"/>
      <c r="G18" s="68" t="s">
        <v>73</v>
      </c>
      <c r="H18" s="68"/>
      <c r="I18" s="68"/>
      <c r="J18" s="15"/>
    </row>
    <row r="19" spans="2:10" ht="12.95" customHeight="1" x14ac:dyDescent="0.25">
      <c r="B19" s="378"/>
      <c r="C19" s="376" t="s">
        <v>79</v>
      </c>
      <c r="D19" s="7" t="s">
        <v>77</v>
      </c>
      <c r="E19" s="7"/>
      <c r="F19" s="7"/>
      <c r="G19" s="68" t="s">
        <v>74</v>
      </c>
      <c r="H19" s="68"/>
      <c r="I19" s="68"/>
      <c r="J19" s="15"/>
    </row>
    <row r="20" spans="2:10" ht="12.95" customHeight="1" x14ac:dyDescent="0.25">
      <c r="B20" s="379"/>
      <c r="C20" s="377"/>
      <c r="D20" s="7" t="s">
        <v>76</v>
      </c>
      <c r="E20" s="7"/>
      <c r="F20" s="7"/>
      <c r="G20" s="68" t="s">
        <v>74</v>
      </c>
      <c r="H20" s="68"/>
      <c r="I20" s="68"/>
      <c r="J20" s="15"/>
    </row>
    <row r="21" spans="2:10" ht="12.95" customHeight="1" x14ac:dyDescent="0.25">
      <c r="B21" s="6"/>
      <c r="C21" s="376" t="s">
        <v>78</v>
      </c>
      <c r="D21" s="7" t="s">
        <v>213</v>
      </c>
      <c r="E21" s="7"/>
      <c r="F21" s="7"/>
      <c r="G21" s="68" t="s">
        <v>74</v>
      </c>
      <c r="H21" s="68"/>
      <c r="I21" s="68"/>
      <c r="J21" s="15"/>
    </row>
    <row r="22" spans="2:10" ht="12.95" customHeight="1" x14ac:dyDescent="0.25">
      <c r="B22" s="6"/>
      <c r="C22" s="380"/>
      <c r="D22" s="7" t="s">
        <v>101</v>
      </c>
      <c r="E22" s="7"/>
      <c r="F22" s="7"/>
      <c r="G22" s="68" t="s">
        <v>74</v>
      </c>
      <c r="H22" s="68"/>
      <c r="I22" s="68"/>
      <c r="J22" s="15"/>
    </row>
    <row r="23" spans="2:10" ht="12.95" customHeight="1" x14ac:dyDescent="0.25">
      <c r="B23" s="6"/>
      <c r="C23" s="377"/>
      <c r="D23" s="7" t="s">
        <v>111</v>
      </c>
      <c r="E23" s="7"/>
      <c r="F23" s="7"/>
      <c r="G23" s="68" t="s">
        <v>74</v>
      </c>
      <c r="H23" s="68"/>
      <c r="I23" s="68"/>
      <c r="J23" s="15"/>
    </row>
    <row r="24" spans="2:10" ht="12.95" customHeight="1" x14ac:dyDescent="0.25">
      <c r="B24" s="70">
        <v>2</v>
      </c>
      <c r="C24" s="381" t="s">
        <v>17</v>
      </c>
      <c r="D24" s="382"/>
      <c r="E24" s="85"/>
      <c r="F24" s="92"/>
      <c r="G24" s="92"/>
      <c r="H24" s="93"/>
      <c r="I24" s="93"/>
      <c r="J24" s="94"/>
    </row>
    <row r="25" spans="2:10" ht="12.95" customHeight="1" x14ac:dyDescent="0.25">
      <c r="B25" s="6"/>
      <c r="C25" s="376" t="s">
        <v>70</v>
      </c>
      <c r="D25" s="7" t="s">
        <v>275</v>
      </c>
      <c r="E25" s="77" t="s">
        <v>15</v>
      </c>
      <c r="F25" s="7"/>
      <c r="G25" s="68" t="s">
        <v>276</v>
      </c>
      <c r="H25" s="68"/>
      <c r="I25" s="68"/>
      <c r="J25" s="15"/>
    </row>
    <row r="26" spans="2:10" ht="12.95" customHeight="1" x14ac:dyDescent="0.25">
      <c r="B26" s="6"/>
      <c r="C26" s="380"/>
      <c r="D26" s="7" t="s">
        <v>277</v>
      </c>
      <c r="E26" s="7"/>
      <c r="F26" s="7"/>
      <c r="G26" s="68" t="s">
        <v>276</v>
      </c>
      <c r="H26" s="68"/>
      <c r="I26" s="68"/>
      <c r="J26" s="15"/>
    </row>
    <row r="27" spans="2:10" ht="12.95" customHeight="1" x14ac:dyDescent="0.25">
      <c r="B27" s="6"/>
      <c r="C27" s="377"/>
      <c r="D27" s="7" t="s">
        <v>278</v>
      </c>
      <c r="E27" s="7"/>
      <c r="F27" s="7"/>
      <c r="G27" s="68" t="s">
        <v>276</v>
      </c>
      <c r="H27" s="68"/>
      <c r="I27" s="68"/>
      <c r="J27" s="15"/>
    </row>
    <row r="28" spans="2:10" ht="12.95" customHeight="1" x14ac:dyDescent="0.25">
      <c r="B28" s="6"/>
      <c r="C28" s="376" t="s">
        <v>104</v>
      </c>
      <c r="D28" s="7" t="s">
        <v>114</v>
      </c>
      <c r="E28" s="7"/>
      <c r="F28" s="7"/>
      <c r="G28" s="68" t="s">
        <v>276</v>
      </c>
      <c r="H28" s="68"/>
      <c r="I28" s="68"/>
      <c r="J28" s="15"/>
    </row>
    <row r="29" spans="2:10" ht="12.95" customHeight="1" x14ac:dyDescent="0.25">
      <c r="B29" s="6"/>
      <c r="C29" s="380"/>
      <c r="D29" s="7" t="s">
        <v>115</v>
      </c>
      <c r="E29" s="7"/>
      <c r="F29" s="7"/>
      <c r="G29" s="68" t="s">
        <v>276</v>
      </c>
      <c r="H29" s="68"/>
      <c r="I29" s="68"/>
      <c r="J29" s="15"/>
    </row>
    <row r="30" spans="2:10" ht="12.95" customHeight="1" x14ac:dyDescent="0.25">
      <c r="B30" s="6"/>
      <c r="C30" s="380"/>
      <c r="D30" s="7" t="s">
        <v>116</v>
      </c>
      <c r="E30" s="7"/>
      <c r="F30" s="7"/>
      <c r="G30" s="68" t="s">
        <v>276</v>
      </c>
      <c r="H30" s="68"/>
      <c r="I30" s="68"/>
      <c r="J30" s="15"/>
    </row>
    <row r="31" spans="2:10" ht="12.95" customHeight="1" x14ac:dyDescent="0.25">
      <c r="B31" s="6"/>
      <c r="C31" s="377"/>
      <c r="D31" s="7" t="s">
        <v>90</v>
      </c>
      <c r="E31" s="7"/>
      <c r="F31" s="7"/>
      <c r="G31" s="68" t="s">
        <v>276</v>
      </c>
      <c r="H31" s="68"/>
      <c r="I31" s="68"/>
      <c r="J31" s="15"/>
    </row>
    <row r="32" spans="2:10" ht="12.95" customHeight="1" x14ac:dyDescent="0.25">
      <c r="B32" s="6"/>
      <c r="C32" s="376" t="s">
        <v>105</v>
      </c>
      <c r="D32" s="7" t="s">
        <v>112</v>
      </c>
      <c r="E32" s="7"/>
      <c r="F32" s="7"/>
      <c r="G32" s="68" t="s">
        <v>276</v>
      </c>
      <c r="H32" s="68"/>
      <c r="I32" s="68"/>
      <c r="J32" s="15"/>
    </row>
    <row r="33" spans="2:10" ht="12.95" customHeight="1" x14ac:dyDescent="0.25">
      <c r="B33" s="6"/>
      <c r="C33" s="380"/>
      <c r="D33" s="7" t="s">
        <v>113</v>
      </c>
      <c r="E33" s="7"/>
      <c r="F33" s="7"/>
      <c r="G33" s="68" t="s">
        <v>276</v>
      </c>
      <c r="H33" s="68"/>
      <c r="I33" s="68"/>
      <c r="J33" s="15"/>
    </row>
    <row r="34" spans="2:10" ht="12.95" customHeight="1" x14ac:dyDescent="0.25">
      <c r="B34" s="6"/>
      <c r="C34" s="377"/>
      <c r="D34" s="7" t="s">
        <v>117</v>
      </c>
      <c r="E34" s="7"/>
      <c r="F34" s="7"/>
      <c r="G34" s="68" t="s">
        <v>276</v>
      </c>
      <c r="H34" s="68"/>
      <c r="I34" s="68"/>
      <c r="J34" s="15"/>
    </row>
    <row r="35" spans="2:10" ht="12.95" customHeight="1" x14ac:dyDescent="0.25">
      <c r="B35" s="6"/>
      <c r="C35" s="376" t="s">
        <v>106</v>
      </c>
      <c r="D35" s="7" t="s">
        <v>118</v>
      </c>
      <c r="E35" s="7"/>
      <c r="F35" s="7"/>
      <c r="G35" s="68" t="s">
        <v>276</v>
      </c>
      <c r="H35" s="68"/>
      <c r="I35" s="68"/>
      <c r="J35" s="15"/>
    </row>
    <row r="36" spans="2:10" ht="12.95" customHeight="1" x14ac:dyDescent="0.25">
      <c r="B36" s="6"/>
      <c r="C36" s="380"/>
      <c r="D36" s="7" t="s">
        <v>279</v>
      </c>
      <c r="E36" s="7"/>
      <c r="F36" s="7"/>
      <c r="G36" s="68" t="s">
        <v>276</v>
      </c>
      <c r="H36" s="68"/>
      <c r="I36" s="68"/>
      <c r="J36" s="15"/>
    </row>
    <row r="37" spans="2:10" ht="12.95" customHeight="1" x14ac:dyDescent="0.25">
      <c r="B37" s="6"/>
      <c r="C37" s="380"/>
      <c r="D37" s="7" t="s">
        <v>119</v>
      </c>
      <c r="E37" s="7"/>
      <c r="F37" s="7"/>
      <c r="G37" s="68" t="s">
        <v>276</v>
      </c>
      <c r="H37" s="68"/>
      <c r="I37" s="68"/>
      <c r="J37" s="15"/>
    </row>
    <row r="38" spans="2:10" ht="12.95" customHeight="1" x14ac:dyDescent="0.25">
      <c r="B38" s="6"/>
      <c r="C38" s="377"/>
      <c r="D38" s="7" t="s">
        <v>83</v>
      </c>
      <c r="E38" s="7"/>
      <c r="F38" s="7"/>
      <c r="G38" s="68" t="s">
        <v>276</v>
      </c>
      <c r="H38" s="68"/>
      <c r="I38" s="68"/>
      <c r="J38" s="15"/>
    </row>
    <row r="39" spans="2:10" ht="12.95" customHeight="1" x14ac:dyDescent="0.25">
      <c r="B39" s="6"/>
      <c r="C39" s="376" t="s">
        <v>107</v>
      </c>
      <c r="D39" s="7" t="s">
        <v>42</v>
      </c>
      <c r="E39" s="7"/>
      <c r="F39" s="7"/>
      <c r="G39" s="68" t="s">
        <v>75</v>
      </c>
      <c r="H39" s="68"/>
      <c r="I39" s="68"/>
      <c r="J39" s="15"/>
    </row>
    <row r="40" spans="2:10" ht="12.95" customHeight="1" x14ac:dyDescent="0.25">
      <c r="B40" s="6"/>
      <c r="C40" s="380"/>
      <c r="D40" s="7" t="s">
        <v>43</v>
      </c>
      <c r="E40" s="7"/>
      <c r="F40" s="7"/>
      <c r="G40" s="68" t="s">
        <v>75</v>
      </c>
      <c r="H40" s="68"/>
      <c r="I40" s="68"/>
      <c r="J40" s="15"/>
    </row>
    <row r="41" spans="2:10" ht="12.95" customHeight="1" x14ac:dyDescent="0.25">
      <c r="B41" s="6"/>
      <c r="C41" s="380"/>
      <c r="D41" s="7" t="s">
        <v>44</v>
      </c>
      <c r="E41" s="7"/>
      <c r="F41" s="7"/>
      <c r="G41" s="68" t="s">
        <v>75</v>
      </c>
      <c r="H41" s="68"/>
      <c r="I41" s="68"/>
      <c r="J41" s="15"/>
    </row>
    <row r="42" spans="2:10" ht="12.95" customHeight="1" x14ac:dyDescent="0.25">
      <c r="B42" s="6"/>
      <c r="C42" s="380"/>
      <c r="D42" s="7" t="s">
        <v>45</v>
      </c>
      <c r="E42" s="7"/>
      <c r="F42" s="7"/>
      <c r="G42" s="68" t="s">
        <v>75</v>
      </c>
      <c r="H42" s="68"/>
      <c r="I42" s="68"/>
      <c r="J42" s="15"/>
    </row>
    <row r="43" spans="2:10" ht="12.95" customHeight="1" x14ac:dyDescent="0.25">
      <c r="B43" s="6"/>
      <c r="C43" s="377"/>
      <c r="D43" s="7" t="s">
        <v>33</v>
      </c>
      <c r="E43" s="7"/>
      <c r="F43" s="7"/>
      <c r="G43" s="68" t="s">
        <v>75</v>
      </c>
      <c r="H43" s="68"/>
      <c r="I43" s="68"/>
      <c r="J43" s="15"/>
    </row>
    <row r="44" spans="2:10" ht="12.95" customHeight="1" x14ac:dyDescent="0.25">
      <c r="B44" s="6"/>
      <c r="C44" s="383" t="s">
        <v>108</v>
      </c>
      <c r="D44" s="7" t="s">
        <v>52</v>
      </c>
      <c r="E44" s="7"/>
      <c r="F44" s="7"/>
      <c r="G44" s="68" t="s">
        <v>75</v>
      </c>
      <c r="H44" s="68"/>
      <c r="I44" s="68"/>
      <c r="J44" s="15"/>
    </row>
    <row r="45" spans="2:10" ht="12.95" customHeight="1" x14ac:dyDescent="0.25">
      <c r="B45" s="6"/>
      <c r="C45" s="384"/>
      <c r="D45" s="7" t="s">
        <v>53</v>
      </c>
      <c r="E45" s="7"/>
      <c r="F45" s="7"/>
      <c r="G45" s="68" t="s">
        <v>75</v>
      </c>
      <c r="H45" s="68"/>
      <c r="I45" s="68"/>
      <c r="J45" s="15"/>
    </row>
    <row r="46" spans="2:10" ht="12.95" customHeight="1" x14ac:dyDescent="0.25">
      <c r="B46" s="6"/>
      <c r="C46" s="384"/>
      <c r="D46" s="7" t="s">
        <v>51</v>
      </c>
      <c r="E46" s="7"/>
      <c r="F46" s="7"/>
      <c r="G46" s="68" t="s">
        <v>75</v>
      </c>
      <c r="H46" s="68"/>
      <c r="I46" s="68"/>
      <c r="J46" s="15"/>
    </row>
    <row r="47" spans="2:10" ht="12.95" customHeight="1" x14ac:dyDescent="0.25">
      <c r="B47" s="6"/>
      <c r="C47" s="384"/>
      <c r="D47" s="7" t="s">
        <v>280</v>
      </c>
      <c r="E47" s="7"/>
      <c r="F47" s="7"/>
      <c r="G47" s="68" t="s">
        <v>75</v>
      </c>
      <c r="H47" s="68"/>
      <c r="I47" s="68"/>
      <c r="J47" s="15"/>
    </row>
    <row r="48" spans="2:10" ht="12.95" customHeight="1" x14ac:dyDescent="0.25">
      <c r="B48" s="6"/>
      <c r="C48" s="384"/>
      <c r="D48" s="7" t="s">
        <v>281</v>
      </c>
      <c r="E48" s="7"/>
      <c r="F48" s="7"/>
      <c r="G48" s="68" t="s">
        <v>75</v>
      </c>
      <c r="H48" s="68"/>
      <c r="I48" s="68"/>
      <c r="J48" s="15"/>
    </row>
    <row r="49" spans="2:10" ht="12.95" customHeight="1" x14ac:dyDescent="0.25">
      <c r="B49" s="6"/>
      <c r="C49" s="384"/>
      <c r="D49" s="7" t="s">
        <v>103</v>
      </c>
      <c r="E49" s="7"/>
      <c r="F49" s="7"/>
      <c r="G49" s="68" t="s">
        <v>75</v>
      </c>
      <c r="H49" s="68"/>
      <c r="I49" s="68"/>
      <c r="J49" s="15"/>
    </row>
    <row r="50" spans="2:10" ht="12.95" customHeight="1" x14ac:dyDescent="0.25">
      <c r="B50" s="6"/>
      <c r="C50" s="384"/>
      <c r="D50" s="7" t="s">
        <v>282</v>
      </c>
      <c r="E50" s="7"/>
      <c r="F50" s="7"/>
      <c r="G50" s="68" t="s">
        <v>75</v>
      </c>
      <c r="H50" s="68"/>
      <c r="I50" s="68"/>
      <c r="J50" s="15"/>
    </row>
    <row r="51" spans="2:10" ht="12.95" customHeight="1" x14ac:dyDescent="0.25">
      <c r="B51" s="6"/>
      <c r="C51" s="384"/>
      <c r="D51" s="7" t="s">
        <v>283</v>
      </c>
      <c r="E51" s="7"/>
      <c r="F51" s="7"/>
      <c r="G51" s="68" t="s">
        <v>75</v>
      </c>
      <c r="H51" s="68"/>
      <c r="I51" s="68"/>
      <c r="J51" s="15"/>
    </row>
    <row r="52" spans="2:10" ht="12.95" customHeight="1" x14ac:dyDescent="0.25">
      <c r="B52" s="6"/>
      <c r="C52" s="384"/>
      <c r="D52" s="7" t="s">
        <v>33</v>
      </c>
      <c r="E52" s="7"/>
      <c r="F52" s="7"/>
      <c r="G52" s="68" t="s">
        <v>75</v>
      </c>
      <c r="H52" s="68"/>
      <c r="I52" s="68"/>
      <c r="J52" s="15"/>
    </row>
    <row r="53" spans="2:10" ht="12.95" customHeight="1" x14ac:dyDescent="0.25">
      <c r="B53" s="6"/>
      <c r="C53" s="385" t="s">
        <v>109</v>
      </c>
      <c r="D53" s="386"/>
      <c r="E53" s="91"/>
      <c r="F53" s="7"/>
      <c r="G53" s="7"/>
      <c r="H53" s="68"/>
      <c r="I53" s="68"/>
      <c r="J53" s="15"/>
    </row>
    <row r="54" spans="2:10" ht="12.95" customHeight="1" x14ac:dyDescent="0.25">
      <c r="B54" s="6"/>
      <c r="C54" s="376" t="s">
        <v>110</v>
      </c>
      <c r="D54" s="7" t="s">
        <v>87</v>
      </c>
      <c r="E54" s="7"/>
      <c r="F54" s="7"/>
      <c r="G54" s="68" t="s">
        <v>74</v>
      </c>
      <c r="H54" s="68"/>
      <c r="I54" s="68"/>
      <c r="J54" s="15"/>
    </row>
    <row r="55" spans="2:10" ht="12.95" customHeight="1" x14ac:dyDescent="0.25">
      <c r="B55" s="6"/>
      <c r="C55" s="377"/>
      <c r="D55" s="7" t="s">
        <v>88</v>
      </c>
      <c r="E55" s="7"/>
      <c r="F55" s="7"/>
      <c r="G55" s="68" t="s">
        <v>74</v>
      </c>
      <c r="H55" s="68"/>
      <c r="I55" s="68"/>
      <c r="J55" s="15"/>
    </row>
    <row r="56" spans="2:10" ht="12.95" customHeight="1" x14ac:dyDescent="0.25">
      <c r="B56" s="6"/>
      <c r="C56" s="376" t="s">
        <v>86</v>
      </c>
      <c r="D56" s="7" t="s">
        <v>235</v>
      </c>
      <c r="E56" s="7"/>
      <c r="F56" s="7"/>
      <c r="G56" s="68" t="s">
        <v>75</v>
      </c>
      <c r="H56" s="68"/>
      <c r="I56" s="68"/>
      <c r="J56" s="15"/>
    </row>
    <row r="57" spans="2:10" ht="12.95" customHeight="1" x14ac:dyDescent="0.25">
      <c r="B57" s="6"/>
      <c r="C57" s="380"/>
      <c r="D57" s="7" t="s">
        <v>91</v>
      </c>
      <c r="E57" s="7"/>
      <c r="F57" s="7"/>
      <c r="G57" s="68" t="s">
        <v>75</v>
      </c>
      <c r="H57" s="68"/>
      <c r="I57" s="68"/>
      <c r="J57" s="15"/>
    </row>
    <row r="58" spans="2:10" ht="12.95" customHeight="1" x14ac:dyDescent="0.25">
      <c r="B58" s="6"/>
      <c r="C58" s="377"/>
      <c r="D58" s="7" t="s">
        <v>92</v>
      </c>
      <c r="E58" s="7"/>
      <c r="F58" s="7"/>
      <c r="G58" s="68" t="s">
        <v>75</v>
      </c>
      <c r="H58" s="68"/>
      <c r="I58" s="68"/>
      <c r="J58" s="15"/>
    </row>
    <row r="59" spans="2:10" ht="12.95" customHeight="1" x14ac:dyDescent="0.25">
      <c r="B59" s="6"/>
      <c r="C59" s="7" t="s">
        <v>85</v>
      </c>
      <c r="D59" s="7" t="s">
        <v>89</v>
      </c>
      <c r="E59" s="7"/>
      <c r="F59" s="7"/>
      <c r="G59" s="68" t="s">
        <v>74</v>
      </c>
      <c r="H59" s="68"/>
      <c r="I59" s="68"/>
      <c r="J59" s="15"/>
    </row>
    <row r="60" spans="2:10" ht="12.95" customHeight="1" x14ac:dyDescent="0.25">
      <c r="B60" s="6"/>
      <c r="C60" s="72" t="s">
        <v>124</v>
      </c>
      <c r="D60" s="69" t="s">
        <v>84</v>
      </c>
      <c r="E60" s="69"/>
      <c r="F60" s="7"/>
      <c r="G60" s="68" t="s">
        <v>276</v>
      </c>
      <c r="H60" s="68"/>
      <c r="I60" s="68"/>
      <c r="J60" s="15"/>
    </row>
    <row r="61" spans="2:10" ht="12.95" customHeight="1" x14ac:dyDescent="0.25">
      <c r="B61" s="6"/>
      <c r="C61" s="376" t="s">
        <v>102</v>
      </c>
      <c r="D61" s="7" t="s">
        <v>87</v>
      </c>
      <c r="E61" s="7"/>
      <c r="F61" s="7"/>
      <c r="G61" s="68" t="s">
        <v>74</v>
      </c>
      <c r="H61" s="68"/>
      <c r="I61" s="68"/>
      <c r="J61" s="15"/>
    </row>
    <row r="62" spans="2:10" ht="12.95" customHeight="1" x14ac:dyDescent="0.25">
      <c r="B62" s="6"/>
      <c r="C62" s="377"/>
      <c r="D62" s="7" t="s">
        <v>88</v>
      </c>
      <c r="E62" s="7"/>
      <c r="F62" s="7"/>
      <c r="G62" s="68" t="s">
        <v>74</v>
      </c>
      <c r="H62" s="68"/>
      <c r="I62" s="68"/>
      <c r="J62" s="15"/>
    </row>
    <row r="63" spans="2:10" ht="12.95" customHeight="1" x14ac:dyDescent="0.25">
      <c r="B63" s="6"/>
      <c r="C63" s="7" t="s">
        <v>33</v>
      </c>
      <c r="D63" s="7"/>
      <c r="E63" s="7"/>
      <c r="F63" s="7"/>
      <c r="G63" s="68"/>
      <c r="H63" s="68"/>
      <c r="I63" s="68"/>
      <c r="J63" s="15"/>
    </row>
    <row r="64" spans="2:10" ht="12.95" customHeight="1" x14ac:dyDescent="0.25">
      <c r="B64" s="70">
        <v>3</v>
      </c>
      <c r="C64" s="381" t="s">
        <v>56</v>
      </c>
      <c r="D64" s="382"/>
      <c r="E64" s="85"/>
      <c r="F64" s="92"/>
      <c r="G64" s="92"/>
      <c r="H64" s="93"/>
      <c r="I64" s="93"/>
      <c r="J64" s="94"/>
    </row>
    <row r="65" spans="2:10" ht="12.95" customHeight="1" x14ac:dyDescent="0.25">
      <c r="B65" s="6"/>
      <c r="C65" s="7" t="s">
        <v>57</v>
      </c>
      <c r="D65" s="69" t="s">
        <v>214</v>
      </c>
      <c r="E65" s="69"/>
      <c r="F65" s="7"/>
      <c r="G65" s="68" t="s">
        <v>73</v>
      </c>
      <c r="H65" s="68"/>
      <c r="I65" s="68"/>
      <c r="J65" s="15"/>
    </row>
    <row r="66" spans="2:10" ht="12.95" customHeight="1" x14ac:dyDescent="0.25">
      <c r="B66" s="6"/>
      <c r="C66" s="7" t="s">
        <v>82</v>
      </c>
      <c r="D66" s="69" t="s">
        <v>214</v>
      </c>
      <c r="E66" s="69"/>
      <c r="F66" s="7"/>
      <c r="G66" s="68" t="s">
        <v>75</v>
      </c>
      <c r="H66" s="68"/>
      <c r="I66" s="68"/>
      <c r="J66" s="15"/>
    </row>
    <row r="67" spans="2:10" ht="12.95" customHeight="1" x14ac:dyDescent="0.25">
      <c r="B67" s="6"/>
      <c r="C67" s="7" t="s">
        <v>81</v>
      </c>
      <c r="D67" s="69" t="s">
        <v>214</v>
      </c>
      <c r="E67" s="69"/>
      <c r="F67" s="7"/>
      <c r="G67" s="68" t="s">
        <v>73</v>
      </c>
      <c r="H67" s="68"/>
      <c r="I67" s="68"/>
      <c r="J67" s="15"/>
    </row>
    <row r="68" spans="2:10" ht="12.95" customHeight="1" x14ac:dyDescent="0.25">
      <c r="B68" s="6"/>
      <c r="C68" s="7" t="s">
        <v>287</v>
      </c>
      <c r="D68" s="69" t="s">
        <v>214</v>
      </c>
      <c r="E68" s="69"/>
      <c r="F68" s="7"/>
      <c r="G68" s="68" t="s">
        <v>73</v>
      </c>
      <c r="H68" s="68"/>
      <c r="I68" s="68"/>
      <c r="J68" s="15"/>
    </row>
    <row r="69" spans="2:10" ht="12.95" customHeight="1" x14ac:dyDescent="0.25">
      <c r="B69" s="6"/>
      <c r="C69" s="7" t="s">
        <v>93</v>
      </c>
      <c r="D69" s="69" t="s">
        <v>214</v>
      </c>
      <c r="E69" s="69"/>
      <c r="F69" s="7"/>
      <c r="G69" s="68" t="s">
        <v>73</v>
      </c>
      <c r="H69" s="68"/>
      <c r="I69" s="68"/>
      <c r="J69" s="15"/>
    </row>
    <row r="70" spans="2:10" ht="12.95" customHeight="1" x14ac:dyDescent="0.25">
      <c r="B70" s="6"/>
      <c r="C70" s="7" t="s">
        <v>94</v>
      </c>
      <c r="D70" s="69" t="s">
        <v>214</v>
      </c>
      <c r="E70" s="69"/>
      <c r="F70" s="7"/>
      <c r="G70" s="68" t="s">
        <v>73</v>
      </c>
      <c r="H70" s="68"/>
      <c r="I70" s="68"/>
      <c r="J70" s="15"/>
    </row>
    <row r="71" spans="2:10" ht="12.95" customHeight="1" x14ac:dyDescent="0.25">
      <c r="B71" s="6"/>
      <c r="C71" s="7" t="s">
        <v>95</v>
      </c>
      <c r="D71" s="69" t="s">
        <v>214</v>
      </c>
      <c r="E71" s="69"/>
      <c r="F71" s="7"/>
      <c r="G71" s="68" t="s">
        <v>73</v>
      </c>
      <c r="H71" s="68"/>
      <c r="I71" s="68"/>
      <c r="J71" s="15"/>
    </row>
    <row r="72" spans="2:10" ht="12.95" customHeight="1" x14ac:dyDescent="0.25">
      <c r="B72" s="6"/>
      <c r="C72" s="7" t="s">
        <v>123</v>
      </c>
      <c r="D72" s="69" t="s">
        <v>214</v>
      </c>
      <c r="E72" s="69"/>
      <c r="F72" s="7"/>
      <c r="G72" s="68" t="s">
        <v>73</v>
      </c>
      <c r="H72" s="68"/>
      <c r="I72" s="68"/>
      <c r="J72" s="15"/>
    </row>
    <row r="73" spans="2:10" ht="12.95" customHeight="1" x14ac:dyDescent="0.25">
      <c r="B73" s="6"/>
      <c r="C73" s="7" t="s">
        <v>125</v>
      </c>
      <c r="D73" s="69" t="s">
        <v>214</v>
      </c>
      <c r="E73" s="69"/>
      <c r="F73" s="7"/>
      <c r="G73" s="68" t="s">
        <v>74</v>
      </c>
      <c r="H73" s="68"/>
      <c r="I73" s="68"/>
      <c r="J73" s="15"/>
    </row>
    <row r="74" spans="2:10" ht="12.95" customHeight="1" x14ac:dyDescent="0.25">
      <c r="B74" s="6"/>
      <c r="C74" s="7" t="s">
        <v>120</v>
      </c>
      <c r="D74" s="69" t="s">
        <v>214</v>
      </c>
      <c r="E74" s="69"/>
      <c r="F74" s="7"/>
      <c r="G74" s="68" t="s">
        <v>276</v>
      </c>
      <c r="H74" s="68"/>
      <c r="I74" s="68"/>
      <c r="J74" s="15"/>
    </row>
    <row r="75" spans="2:10" ht="12.95" customHeight="1" x14ac:dyDescent="0.25">
      <c r="B75" s="6"/>
      <c r="C75" s="7" t="s">
        <v>121</v>
      </c>
      <c r="D75" s="69" t="s">
        <v>214</v>
      </c>
      <c r="E75" s="69"/>
      <c r="F75" s="7"/>
      <c r="G75" s="68" t="s">
        <v>74</v>
      </c>
      <c r="H75" s="68"/>
      <c r="I75" s="68"/>
      <c r="J75" s="15"/>
    </row>
    <row r="76" spans="2:10" ht="12.95" customHeight="1" x14ac:dyDescent="0.25">
      <c r="B76" s="6"/>
      <c r="C76" s="7" t="s">
        <v>284</v>
      </c>
      <c r="D76" s="69" t="s">
        <v>214</v>
      </c>
      <c r="E76" s="69"/>
      <c r="F76" s="7"/>
      <c r="G76" s="68" t="s">
        <v>74</v>
      </c>
      <c r="H76" s="68"/>
      <c r="I76" s="68"/>
      <c r="J76" s="15"/>
    </row>
    <row r="77" spans="2:10" ht="12.95" customHeight="1" x14ac:dyDescent="0.25">
      <c r="B77" s="6"/>
      <c r="C77" s="7" t="s">
        <v>234</v>
      </c>
      <c r="D77" s="69" t="s">
        <v>214</v>
      </c>
      <c r="E77" s="69"/>
      <c r="F77" s="7"/>
      <c r="G77" s="68" t="s">
        <v>73</v>
      </c>
      <c r="H77" s="68"/>
      <c r="I77" s="68"/>
      <c r="J77" s="15"/>
    </row>
    <row r="78" spans="2:10" ht="12.95" customHeight="1" x14ac:dyDescent="0.25">
      <c r="B78" s="6"/>
      <c r="C78" s="7" t="s">
        <v>122</v>
      </c>
      <c r="D78" s="69" t="s">
        <v>214</v>
      </c>
      <c r="E78" s="69"/>
      <c r="F78" s="7"/>
      <c r="G78" s="68"/>
      <c r="H78" s="68"/>
      <c r="I78" s="68"/>
      <c r="J78" s="15"/>
    </row>
    <row r="79" spans="2:10" ht="12.95" customHeight="1" x14ac:dyDescent="0.25">
      <c r="B79" s="6">
        <v>4</v>
      </c>
      <c r="C79" s="142" t="s">
        <v>285</v>
      </c>
      <c r="D79" s="143"/>
      <c r="E79" s="143"/>
      <c r="F79" s="92"/>
      <c r="G79" s="93"/>
      <c r="H79" s="93"/>
      <c r="I79" s="93"/>
      <c r="J79" s="94"/>
    </row>
    <row r="80" spans="2:10" ht="12.95" customHeight="1" x14ac:dyDescent="0.25">
      <c r="B80" s="6"/>
      <c r="C80" s="7"/>
      <c r="D80" s="69"/>
      <c r="E80" s="69"/>
      <c r="F80" s="7"/>
      <c r="G80" s="68"/>
      <c r="H80" s="68"/>
      <c r="I80" s="68"/>
      <c r="J80" s="15"/>
    </row>
    <row r="81" spans="2:10" ht="12.95" customHeight="1" x14ac:dyDescent="0.25">
      <c r="B81" s="6"/>
      <c r="C81" s="7"/>
      <c r="D81" s="69"/>
      <c r="E81" s="69"/>
      <c r="F81" s="7"/>
      <c r="G81" s="68"/>
      <c r="H81" s="68"/>
      <c r="I81" s="68"/>
      <c r="J81" s="15"/>
    </row>
    <row r="82" spans="2:10" ht="12.95" customHeight="1" thickBot="1" x14ac:dyDescent="0.3">
      <c r="B82" s="9"/>
      <c r="C82" s="2"/>
      <c r="D82" s="2"/>
      <c r="E82" s="2"/>
      <c r="F82" s="2"/>
      <c r="G82" s="2"/>
      <c r="H82" s="24"/>
      <c r="I82" s="144"/>
      <c r="J82" s="16"/>
    </row>
    <row r="83" spans="2:10" ht="12.95" customHeight="1" x14ac:dyDescent="0.25"/>
    <row r="84" spans="2:10" ht="12.95" customHeight="1" x14ac:dyDescent="0.25">
      <c r="B84" t="s">
        <v>211</v>
      </c>
      <c r="J84" t="s">
        <v>19</v>
      </c>
    </row>
    <row r="85" spans="2:10" ht="12.95" customHeight="1" x14ac:dyDescent="0.25">
      <c r="B85" t="s">
        <v>212</v>
      </c>
      <c r="C85" t="s">
        <v>216</v>
      </c>
    </row>
    <row r="86" spans="2:10" ht="30" customHeight="1" x14ac:dyDescent="0.25">
      <c r="B86" s="98" t="s">
        <v>215</v>
      </c>
      <c r="C86" s="374" t="s">
        <v>286</v>
      </c>
      <c r="D86" s="374"/>
      <c r="E86" s="374"/>
      <c r="F86" s="374"/>
      <c r="G86" s="374"/>
      <c r="H86" s="374"/>
      <c r="I86" s="374"/>
    </row>
    <row r="88" spans="2:10" x14ac:dyDescent="0.25">
      <c r="J88" t="s">
        <v>20</v>
      </c>
    </row>
  </sheetData>
  <mergeCells count="19">
    <mergeCell ref="C54:C55"/>
    <mergeCell ref="C56:C58"/>
    <mergeCell ref="C61:C62"/>
    <mergeCell ref="C86:I86"/>
    <mergeCell ref="A1:K1"/>
    <mergeCell ref="H9:I9"/>
    <mergeCell ref="C19:C20"/>
    <mergeCell ref="B19:B20"/>
    <mergeCell ref="C21:C23"/>
    <mergeCell ref="C24:D24"/>
    <mergeCell ref="C25:C27"/>
    <mergeCell ref="C28:C31"/>
    <mergeCell ref="C32:C34"/>
    <mergeCell ref="C35:C38"/>
    <mergeCell ref="C39:C43"/>
    <mergeCell ref="C44:C52"/>
    <mergeCell ref="C64:D64"/>
    <mergeCell ref="C12:C17"/>
    <mergeCell ref="C53:D5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X1274"/>
  <sheetViews>
    <sheetView tabSelected="1" zoomScale="110" zoomScaleNormal="11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934" sqref="H934"/>
    </sheetView>
  </sheetViews>
  <sheetFormatPr defaultRowHeight="15" x14ac:dyDescent="0.25"/>
  <cols>
    <col min="1" max="1" width="2.7109375" customWidth="1"/>
    <col min="2" max="2" width="4.140625" style="33" customWidth="1"/>
    <col min="3" max="3" width="5.7109375" style="33" customWidth="1"/>
    <col min="4" max="4" width="21.42578125" style="33" bestFit="1" customWidth="1"/>
    <col min="5" max="5" width="4.28515625" style="33" hidden="1" customWidth="1"/>
    <col min="6" max="6" width="3.85546875" style="33" hidden="1" customWidth="1"/>
    <col min="7" max="7" width="6.140625" style="33" hidden="1" customWidth="1"/>
    <col min="8" max="8" width="24.5703125" style="33" bestFit="1" customWidth="1"/>
    <col min="9" max="9" width="14.5703125" style="33" bestFit="1" customWidth="1"/>
    <col min="10" max="10" width="16.42578125" style="33" bestFit="1" customWidth="1"/>
    <col min="11" max="11" width="22.28515625" style="33" bestFit="1" customWidth="1"/>
    <col min="12" max="12" width="14" style="33" customWidth="1"/>
    <col min="13" max="13" width="4.7109375" style="225" customWidth="1"/>
    <col min="14" max="14" width="14" style="36" customWidth="1"/>
    <col min="15" max="15" width="7.28515625" style="225" customWidth="1"/>
    <col min="16" max="16" width="7" style="102" customWidth="1"/>
    <col min="17" max="17" width="22.28515625" style="55" customWidth="1"/>
    <col min="18" max="18" width="12.85546875" style="55" customWidth="1"/>
    <col min="19" max="19" width="19.28515625" style="55" bestFit="1" customWidth="1"/>
    <col min="20" max="20" width="28.28515625" style="36" bestFit="1" customWidth="1"/>
    <col min="21" max="21" width="28.85546875" style="36" customWidth="1"/>
    <col min="22" max="22" width="14.42578125" style="48" customWidth="1"/>
    <col min="24" max="24" width="17.7109375" customWidth="1"/>
  </cols>
  <sheetData>
    <row r="1" spans="2:24" x14ac:dyDescent="0.25">
      <c r="H1" s="76"/>
      <c r="I1" s="87"/>
      <c r="J1" s="87"/>
      <c r="K1" s="87"/>
      <c r="L1" s="87"/>
      <c r="M1" s="235"/>
    </row>
    <row r="2" spans="2:24" x14ac:dyDescent="0.25">
      <c r="H2" s="87"/>
      <c r="I2" s="87"/>
      <c r="J2" s="87"/>
      <c r="K2" s="87"/>
      <c r="L2" s="87"/>
      <c r="M2" s="235"/>
      <c r="N2" s="79"/>
      <c r="Q2" s="36"/>
      <c r="R2" s="36"/>
      <c r="S2" s="36"/>
      <c r="U2" s="48"/>
      <c r="V2"/>
    </row>
    <row r="3" spans="2:24" ht="21" x14ac:dyDescent="0.25">
      <c r="B3" s="246" t="s">
        <v>69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</row>
    <row r="4" spans="2:24" ht="15.75" thickBot="1" x14ac:dyDescent="0.3">
      <c r="H4" s="78"/>
      <c r="I4" s="78"/>
      <c r="J4" s="78"/>
      <c r="K4" s="78"/>
      <c r="L4" s="78"/>
      <c r="M4" s="236"/>
    </row>
    <row r="5" spans="2:24" ht="15" customHeight="1" thickBot="1" x14ac:dyDescent="0.3">
      <c r="B5" s="399" t="s">
        <v>0</v>
      </c>
      <c r="C5" s="399" t="s">
        <v>72</v>
      </c>
      <c r="D5" s="399" t="s">
        <v>71</v>
      </c>
      <c r="E5" s="413" t="s">
        <v>334</v>
      </c>
      <c r="F5" s="414"/>
      <c r="G5" s="415"/>
      <c r="H5" s="401" t="s">
        <v>205</v>
      </c>
      <c r="I5" s="402"/>
      <c r="J5" s="402"/>
      <c r="K5" s="402"/>
      <c r="L5" s="402"/>
      <c r="M5" s="403"/>
      <c r="N5" s="418" t="s">
        <v>67</v>
      </c>
      <c r="O5" s="420" t="s">
        <v>288</v>
      </c>
      <c r="P5" s="422" t="s">
        <v>63</v>
      </c>
      <c r="Q5" s="424" t="s">
        <v>64</v>
      </c>
      <c r="R5" s="416" t="s">
        <v>65</v>
      </c>
      <c r="S5" s="417"/>
      <c r="T5" s="422" t="s">
        <v>327</v>
      </c>
      <c r="U5" s="409" t="s">
        <v>68</v>
      </c>
      <c r="V5" s="411" t="s">
        <v>66</v>
      </c>
    </row>
    <row r="6" spans="2:24" ht="30.75" thickBot="1" x14ac:dyDescent="0.3">
      <c r="B6" s="400"/>
      <c r="C6" s="400"/>
      <c r="D6" s="400"/>
      <c r="E6" s="224" t="s">
        <v>335</v>
      </c>
      <c r="F6" s="224" t="s">
        <v>336</v>
      </c>
      <c r="G6" s="224" t="s">
        <v>337</v>
      </c>
      <c r="H6" s="101" t="s">
        <v>363</v>
      </c>
      <c r="I6" s="407" t="s">
        <v>333</v>
      </c>
      <c r="J6" s="408"/>
      <c r="K6" s="101" t="s">
        <v>347</v>
      </c>
      <c r="L6" s="245" t="s">
        <v>348</v>
      </c>
      <c r="M6" s="237" t="s">
        <v>345</v>
      </c>
      <c r="N6" s="419"/>
      <c r="O6" s="421"/>
      <c r="P6" s="423"/>
      <c r="Q6" s="425"/>
      <c r="R6" s="242" t="s">
        <v>328</v>
      </c>
      <c r="S6" s="243" t="s">
        <v>329</v>
      </c>
      <c r="T6" s="423"/>
      <c r="U6" s="410"/>
      <c r="V6" s="412"/>
    </row>
    <row r="7" spans="2:24" s="35" customFormat="1" x14ac:dyDescent="0.25">
      <c r="B7" s="404">
        <v>1</v>
      </c>
      <c r="C7" s="88">
        <v>1</v>
      </c>
      <c r="D7" s="202" t="s">
        <v>128</v>
      </c>
      <c r="E7" s="202"/>
      <c r="F7" s="202"/>
      <c r="G7" s="202"/>
      <c r="H7" s="256" t="str">
        <f>CONCATENATE($L$7,"-",LEFT(C7,3),"-",LEFT(D7,3),LEFT(I7,3),"-",LEFT(J7,6))</f>
        <v>CGK-1-ACSHA-1/2 PK</v>
      </c>
      <c r="I7" s="147" t="s">
        <v>133</v>
      </c>
      <c r="J7" s="148" t="s">
        <v>177</v>
      </c>
      <c r="K7" s="359" t="s">
        <v>359</v>
      </c>
      <c r="L7" s="153" t="s">
        <v>206</v>
      </c>
      <c r="M7" s="238">
        <v>0</v>
      </c>
      <c r="N7" s="66">
        <v>44483</v>
      </c>
      <c r="O7" s="227"/>
      <c r="P7" s="103" t="s">
        <v>73</v>
      </c>
      <c r="Q7" s="64"/>
      <c r="R7" s="60">
        <v>0</v>
      </c>
      <c r="S7" s="60"/>
      <c r="T7" s="39"/>
      <c r="U7" s="39"/>
      <c r="V7" s="49"/>
    </row>
    <row r="8" spans="2:24" s="35" customFormat="1" x14ac:dyDescent="0.25">
      <c r="B8" s="405"/>
      <c r="C8" s="89">
        <v>1</v>
      </c>
      <c r="D8" s="203" t="s">
        <v>128</v>
      </c>
      <c r="E8" s="204"/>
      <c r="F8" s="204"/>
      <c r="G8" s="204"/>
      <c r="H8" s="100" t="str">
        <f t="shared" ref="H8:H20" si="0">CONCATENATE($L$7,"-",LEFT(C8,3),"-",LEFT(D8,3),LEFT(I8,3),"-",LEFT(J8,6))</f>
        <v>CGK-1-ACSHA-3/4 PK</v>
      </c>
      <c r="I8" s="149" t="s">
        <v>133</v>
      </c>
      <c r="J8" s="150" t="s">
        <v>217</v>
      </c>
      <c r="K8" s="359" t="s">
        <v>359</v>
      </c>
      <c r="L8" s="153" t="s">
        <v>206</v>
      </c>
      <c r="M8" s="238">
        <v>0</v>
      </c>
      <c r="N8" s="67">
        <v>44483</v>
      </c>
      <c r="O8" s="228"/>
      <c r="P8" s="104" t="s">
        <v>73</v>
      </c>
      <c r="Q8" s="56"/>
      <c r="R8" s="56"/>
      <c r="S8" s="56"/>
      <c r="T8" s="40"/>
      <c r="U8" s="43"/>
      <c r="V8" s="50"/>
    </row>
    <row r="9" spans="2:24" x14ac:dyDescent="0.25">
      <c r="B9" s="405"/>
      <c r="C9" s="89">
        <v>1</v>
      </c>
      <c r="D9" s="203" t="s">
        <v>128</v>
      </c>
      <c r="E9" s="204"/>
      <c r="F9" s="204"/>
      <c r="G9" s="204"/>
      <c r="H9" s="100" t="str">
        <f>CONCATENATE($L$7,"-",LEFT(C9,3),"-",LEFT(D9,3),LEFT(I9,3),"-",LEFT(J9,6),"-",1)</f>
        <v>CGK-1-ACSHA-1 PK-1</v>
      </c>
      <c r="I9" s="149" t="s">
        <v>133</v>
      </c>
      <c r="J9" s="151" t="s">
        <v>129</v>
      </c>
      <c r="K9" s="158" t="s">
        <v>422</v>
      </c>
      <c r="L9" s="153" t="s">
        <v>206</v>
      </c>
      <c r="M9" s="238">
        <v>1</v>
      </c>
      <c r="N9" s="67">
        <v>44483</v>
      </c>
      <c r="O9" s="228"/>
      <c r="P9" s="104" t="s">
        <v>73</v>
      </c>
      <c r="Q9" s="56"/>
      <c r="R9" s="56"/>
      <c r="S9" s="56"/>
      <c r="T9" s="40"/>
      <c r="U9" s="43"/>
      <c r="V9" s="50"/>
      <c r="X9" s="35"/>
    </row>
    <row r="10" spans="2:24" x14ac:dyDescent="0.25">
      <c r="B10" s="405"/>
      <c r="C10" s="89">
        <v>1</v>
      </c>
      <c r="D10" s="203" t="s">
        <v>128</v>
      </c>
      <c r="E10" s="204"/>
      <c r="F10" s="204"/>
      <c r="G10" s="204"/>
      <c r="H10" s="100" t="str">
        <f>CONCATENATE($L$7,"-",LEFT(C10,3),"-",LEFT(D10,3),LEFT(I10,3),"-",LEFT(J10,6),"-",2)</f>
        <v>CGK-1-ACSHA-1 PK-2</v>
      </c>
      <c r="I10" s="149" t="s">
        <v>133</v>
      </c>
      <c r="J10" s="151" t="s">
        <v>129</v>
      </c>
      <c r="K10" s="158" t="s">
        <v>422</v>
      </c>
      <c r="L10" s="153" t="s">
        <v>206</v>
      </c>
      <c r="M10" s="238">
        <v>1</v>
      </c>
      <c r="N10" s="67">
        <v>44483</v>
      </c>
      <c r="O10" s="228"/>
      <c r="P10" s="104"/>
      <c r="Q10" s="56"/>
      <c r="R10" s="56"/>
      <c r="S10" s="56"/>
      <c r="T10" s="40"/>
      <c r="U10" s="43"/>
      <c r="V10" s="50"/>
      <c r="X10" s="35"/>
    </row>
    <row r="11" spans="2:24" x14ac:dyDescent="0.25">
      <c r="B11" s="405"/>
      <c r="C11" s="89">
        <v>1</v>
      </c>
      <c r="D11" s="203" t="s">
        <v>128</v>
      </c>
      <c r="E11" s="204"/>
      <c r="F11" s="204"/>
      <c r="G11" s="204"/>
      <c r="H11" s="100" t="str">
        <f>CONCATENATE($L$7,"-",LEFT(C11,3),"-",LEFT(D11,3),LEFT(I11,3),"-",LEFT(J11,6),"-",3)</f>
        <v>CGK-1-ACSHA-1 PK-3</v>
      </c>
      <c r="I11" s="149" t="s">
        <v>133</v>
      </c>
      <c r="J11" s="151" t="s">
        <v>129</v>
      </c>
      <c r="K11" s="158" t="s">
        <v>422</v>
      </c>
      <c r="L11" s="153" t="s">
        <v>206</v>
      </c>
      <c r="M11" s="238">
        <v>1</v>
      </c>
      <c r="N11" s="67">
        <v>44483</v>
      </c>
      <c r="O11" s="228"/>
      <c r="P11" s="104"/>
      <c r="Q11" s="56"/>
      <c r="R11" s="56"/>
      <c r="S11" s="56"/>
      <c r="T11" s="40"/>
      <c r="U11" s="43"/>
      <c r="V11" s="50"/>
      <c r="X11" s="35"/>
    </row>
    <row r="12" spans="2:24" x14ac:dyDescent="0.25">
      <c r="B12" s="405"/>
      <c r="C12" s="89">
        <v>1</v>
      </c>
      <c r="D12" s="203" t="s">
        <v>128</v>
      </c>
      <c r="E12" s="204"/>
      <c r="F12" s="204"/>
      <c r="G12" s="204"/>
      <c r="H12" s="100" t="str">
        <f>CONCATENATE($L$7,"-",LEFT(C12,3),"-",LEFT(D12,3),LEFT(I12,3),"-",LEFT(J12,6),"-",4)</f>
        <v>CGK-1-ACSHA-1 PK-4</v>
      </c>
      <c r="I12" s="149" t="s">
        <v>133</v>
      </c>
      <c r="J12" s="151" t="s">
        <v>129</v>
      </c>
      <c r="K12" s="158" t="s">
        <v>422</v>
      </c>
      <c r="L12" s="153" t="s">
        <v>206</v>
      </c>
      <c r="M12" s="238">
        <v>1</v>
      </c>
      <c r="N12" s="67">
        <v>44483</v>
      </c>
      <c r="O12" s="228"/>
      <c r="P12" s="104"/>
      <c r="Q12" s="56"/>
      <c r="R12" s="56"/>
      <c r="S12" s="56"/>
      <c r="T12" s="40"/>
      <c r="U12" s="43"/>
      <c r="V12" s="50"/>
      <c r="X12" s="35"/>
    </row>
    <row r="13" spans="2:24" x14ac:dyDescent="0.25">
      <c r="B13" s="405"/>
      <c r="C13" s="89">
        <v>1</v>
      </c>
      <c r="D13" s="203" t="s">
        <v>128</v>
      </c>
      <c r="E13" s="204"/>
      <c r="F13" s="204"/>
      <c r="G13" s="204"/>
      <c r="H13" s="100" t="str">
        <f>CONCATENATE($L$7,"-",LEFT(C13,3),"-",LEFT(D13,3),LEFT(I13,3),"-",LEFT(J13,6),"-",5)</f>
        <v>CGK-1-ACSHA-1 PK-5</v>
      </c>
      <c r="I13" s="149" t="s">
        <v>133</v>
      </c>
      <c r="J13" s="151" t="s">
        <v>129</v>
      </c>
      <c r="K13" s="158" t="s">
        <v>429</v>
      </c>
      <c r="L13" s="153" t="s">
        <v>206</v>
      </c>
      <c r="M13" s="238">
        <v>1</v>
      </c>
      <c r="N13" s="67">
        <v>44483</v>
      </c>
      <c r="O13" s="228"/>
      <c r="P13" s="104"/>
      <c r="Q13" s="56"/>
      <c r="R13" s="56"/>
      <c r="S13" s="56"/>
      <c r="T13" s="40"/>
      <c r="U13" s="43"/>
      <c r="V13" s="50"/>
      <c r="X13" s="35"/>
    </row>
    <row r="14" spans="2:24" x14ac:dyDescent="0.25">
      <c r="B14" s="405"/>
      <c r="C14" s="89">
        <v>1</v>
      </c>
      <c r="D14" s="203" t="s">
        <v>128</v>
      </c>
      <c r="E14" s="204"/>
      <c r="F14" s="204"/>
      <c r="G14" s="204"/>
      <c r="H14" s="100" t="str">
        <f>CONCATENATE($L$7,"-",LEFT(C14,3),"-",LEFT(D14,3),LEFT(I14,3),"-",LEFT(J14,6),"-",1)</f>
        <v>CGK-1-ACSHA-1,5 PK-1</v>
      </c>
      <c r="I14" s="149" t="s">
        <v>133</v>
      </c>
      <c r="J14" s="151" t="s">
        <v>130</v>
      </c>
      <c r="K14" s="158" t="s">
        <v>422</v>
      </c>
      <c r="L14" s="153" t="s">
        <v>206</v>
      </c>
      <c r="M14" s="238">
        <v>1</v>
      </c>
      <c r="N14" s="67">
        <v>44483</v>
      </c>
      <c r="O14" s="228"/>
      <c r="P14" s="104" t="s">
        <v>73</v>
      </c>
      <c r="Q14" s="56"/>
      <c r="R14" s="56"/>
      <c r="S14" s="56"/>
      <c r="T14" s="40"/>
      <c r="U14" s="43"/>
      <c r="V14" s="50"/>
      <c r="X14" s="35"/>
    </row>
    <row r="15" spans="2:24" x14ac:dyDescent="0.25">
      <c r="B15" s="405"/>
      <c r="C15" s="89">
        <v>1</v>
      </c>
      <c r="D15" s="203" t="s">
        <v>128</v>
      </c>
      <c r="E15" s="204"/>
      <c r="F15" s="204"/>
      <c r="G15" s="204"/>
      <c r="H15" s="100" t="str">
        <f>CONCATENATE($L$7,"-",LEFT(C15,3),"-",LEFT(D15,3),LEFT(I15,3),"-",LEFT(J15,6),"-",2)</f>
        <v>CGK-1-ACSHA-1,5 PK-2</v>
      </c>
      <c r="I15" s="149" t="s">
        <v>133</v>
      </c>
      <c r="J15" s="151" t="s">
        <v>130</v>
      </c>
      <c r="K15" s="158" t="s">
        <v>422</v>
      </c>
      <c r="L15" s="153" t="s">
        <v>206</v>
      </c>
      <c r="M15" s="238">
        <v>1</v>
      </c>
      <c r="N15" s="67">
        <v>44483</v>
      </c>
      <c r="O15" s="228"/>
      <c r="P15" s="104"/>
      <c r="Q15" s="56"/>
      <c r="R15" s="56"/>
      <c r="S15" s="56"/>
      <c r="T15" s="40"/>
      <c r="U15" s="43"/>
      <c r="V15" s="50"/>
      <c r="X15" s="35"/>
    </row>
    <row r="16" spans="2:24" x14ac:dyDescent="0.25">
      <c r="B16" s="405"/>
      <c r="C16" s="89">
        <v>1</v>
      </c>
      <c r="D16" s="203" t="s">
        <v>128</v>
      </c>
      <c r="E16" s="204"/>
      <c r="F16" s="204"/>
      <c r="G16" s="204"/>
      <c r="H16" s="100" t="str">
        <f>CONCATENATE($L$7,"-",LEFT(C16,3),"-",LEFT(D16,3),LEFT(I16,3),"-",LEFT(J16,6),"-",3)</f>
        <v>CGK-1-ACSHA-1,5 PK-3</v>
      </c>
      <c r="I16" s="149" t="s">
        <v>133</v>
      </c>
      <c r="J16" s="151" t="s">
        <v>130</v>
      </c>
      <c r="K16" s="158" t="s">
        <v>422</v>
      </c>
      <c r="L16" s="153" t="s">
        <v>206</v>
      </c>
      <c r="M16" s="238">
        <v>1</v>
      </c>
      <c r="N16" s="67">
        <v>44483</v>
      </c>
      <c r="O16" s="228"/>
      <c r="P16" s="104"/>
      <c r="Q16" s="56"/>
      <c r="R16" s="56"/>
      <c r="S16" s="56"/>
      <c r="T16" s="40"/>
      <c r="U16" s="43"/>
      <c r="V16" s="50"/>
      <c r="X16" s="35"/>
    </row>
    <row r="17" spans="2:24" x14ac:dyDescent="0.25">
      <c r="B17" s="405"/>
      <c r="C17" s="89">
        <v>1</v>
      </c>
      <c r="D17" s="203" t="s">
        <v>128</v>
      </c>
      <c r="E17" s="204"/>
      <c r="F17" s="204"/>
      <c r="G17" s="204"/>
      <c r="H17" s="100" t="str">
        <f t="shared" si="0"/>
        <v>CGK-1-ACSHA-2 PK</v>
      </c>
      <c r="I17" s="149" t="s">
        <v>133</v>
      </c>
      <c r="J17" s="152" t="s">
        <v>131</v>
      </c>
      <c r="K17" s="158" t="s">
        <v>420</v>
      </c>
      <c r="L17" s="153" t="s">
        <v>206</v>
      </c>
      <c r="M17" s="238">
        <v>1</v>
      </c>
      <c r="N17" s="67">
        <v>44483</v>
      </c>
      <c r="O17" s="228"/>
      <c r="P17" s="104" t="s">
        <v>73</v>
      </c>
      <c r="Q17" s="56"/>
      <c r="R17" s="56"/>
      <c r="S17" s="56"/>
      <c r="T17" s="40"/>
      <c r="U17" s="43"/>
      <c r="V17" s="50"/>
      <c r="X17" s="35"/>
    </row>
    <row r="18" spans="2:24" x14ac:dyDescent="0.25">
      <c r="B18" s="405"/>
      <c r="C18" s="89">
        <v>1</v>
      </c>
      <c r="D18" s="203" t="s">
        <v>128</v>
      </c>
      <c r="E18" s="204"/>
      <c r="F18" s="204"/>
      <c r="G18" s="204"/>
      <c r="H18" s="100" t="str">
        <f t="shared" si="0"/>
        <v>CGK-1-ACSHA-5 PK</v>
      </c>
      <c r="I18" s="149" t="s">
        <v>133</v>
      </c>
      <c r="J18" s="151" t="s">
        <v>132</v>
      </c>
      <c r="K18" s="359" t="s">
        <v>359</v>
      </c>
      <c r="L18" s="153" t="s">
        <v>206</v>
      </c>
      <c r="M18" s="238">
        <v>0</v>
      </c>
      <c r="N18" s="67">
        <v>44483</v>
      </c>
      <c r="O18" s="228"/>
      <c r="P18" s="104" t="s">
        <v>73</v>
      </c>
      <c r="Q18" s="56"/>
      <c r="R18" s="56"/>
      <c r="S18" s="56"/>
      <c r="T18" s="40"/>
      <c r="U18" s="43"/>
      <c r="V18" s="50"/>
      <c r="X18" s="35"/>
    </row>
    <row r="19" spans="2:24" x14ac:dyDescent="0.25">
      <c r="B19" s="405"/>
      <c r="C19" s="89">
        <v>1</v>
      </c>
      <c r="D19" s="203" t="s">
        <v>128</v>
      </c>
      <c r="E19" s="204"/>
      <c r="F19" s="204"/>
      <c r="G19" s="204"/>
      <c r="H19" s="100" t="str">
        <f t="shared" si="0"/>
        <v>CGK-1-ACPAN-1/2 PK</v>
      </c>
      <c r="I19" s="149" t="s">
        <v>134</v>
      </c>
      <c r="J19" s="153" t="s">
        <v>177</v>
      </c>
      <c r="K19" s="359" t="s">
        <v>359</v>
      </c>
      <c r="L19" s="153" t="s">
        <v>206</v>
      </c>
      <c r="M19" s="238">
        <v>0</v>
      </c>
      <c r="N19" s="67">
        <v>44483</v>
      </c>
      <c r="O19" s="228"/>
      <c r="P19" s="104" t="s">
        <v>73</v>
      </c>
      <c r="Q19" s="56"/>
      <c r="R19" s="56"/>
      <c r="S19" s="56"/>
      <c r="T19" s="40"/>
      <c r="U19" s="43"/>
      <c r="V19" s="50"/>
      <c r="X19" s="35"/>
    </row>
    <row r="20" spans="2:24" x14ac:dyDescent="0.25">
      <c r="B20" s="405"/>
      <c r="C20" s="89">
        <v>1</v>
      </c>
      <c r="D20" s="203" t="s">
        <v>128</v>
      </c>
      <c r="E20" s="204"/>
      <c r="F20" s="204"/>
      <c r="G20" s="204"/>
      <c r="H20" s="100" t="str">
        <f t="shared" si="0"/>
        <v>CGK-1-ACPAN-3/4 PK</v>
      </c>
      <c r="I20" s="149" t="s">
        <v>134</v>
      </c>
      <c r="J20" s="150" t="s">
        <v>217</v>
      </c>
      <c r="K20" s="359" t="s">
        <v>359</v>
      </c>
      <c r="L20" s="153" t="s">
        <v>206</v>
      </c>
      <c r="M20" s="238">
        <v>0</v>
      </c>
      <c r="N20" s="67">
        <v>44483</v>
      </c>
      <c r="O20" s="228"/>
      <c r="P20" s="104" t="s">
        <v>73</v>
      </c>
      <c r="Q20" s="56"/>
      <c r="R20" s="56"/>
      <c r="S20" s="56"/>
      <c r="T20" s="40"/>
      <c r="U20" s="43"/>
      <c r="V20" s="50"/>
      <c r="X20" s="35"/>
    </row>
    <row r="21" spans="2:24" x14ac:dyDescent="0.25">
      <c r="B21" s="405"/>
      <c r="C21" s="89">
        <v>1</v>
      </c>
      <c r="D21" s="203" t="s">
        <v>128</v>
      </c>
      <c r="E21" s="204"/>
      <c r="F21" s="204"/>
      <c r="G21" s="204"/>
      <c r="H21" s="99" t="str">
        <f>CONCATENATE($L$7,"-",LEFT(C21,3),"-",LEFT(D21,3),LEFT(I21,3),"-",LEFT(J21,6),"-",1)</f>
        <v>CGK-1-ACPAN-1 PK-1</v>
      </c>
      <c r="I21" s="149" t="s">
        <v>134</v>
      </c>
      <c r="J21" s="151" t="s">
        <v>129</v>
      </c>
      <c r="K21" s="158" t="s">
        <v>415</v>
      </c>
      <c r="L21" s="153" t="s">
        <v>206</v>
      </c>
      <c r="M21" s="390">
        <v>10</v>
      </c>
      <c r="N21" s="67">
        <v>44483</v>
      </c>
      <c r="O21" s="228"/>
      <c r="P21" s="104" t="s">
        <v>73</v>
      </c>
      <c r="Q21" s="56"/>
      <c r="R21" s="56"/>
      <c r="S21" s="56"/>
      <c r="T21" s="40"/>
      <c r="U21" s="43"/>
      <c r="V21" s="50"/>
      <c r="X21" s="35"/>
    </row>
    <row r="22" spans="2:24" x14ac:dyDescent="0.25">
      <c r="B22" s="405"/>
      <c r="C22" s="89">
        <v>1</v>
      </c>
      <c r="D22" s="203" t="s">
        <v>128</v>
      </c>
      <c r="E22" s="204"/>
      <c r="F22" s="204"/>
      <c r="G22" s="204"/>
      <c r="H22" s="99" t="str">
        <f>CONCATENATE($L$7,"-",LEFT(C22,3),"-",LEFT(D22,3),LEFT(I22,3),"-",LEFT(J22,6),"-",2)</f>
        <v>CGK-1-ACPAN-1 PK-2</v>
      </c>
      <c r="I22" s="149" t="s">
        <v>134</v>
      </c>
      <c r="J22" s="151" t="s">
        <v>129</v>
      </c>
      <c r="K22" s="158" t="s">
        <v>416</v>
      </c>
      <c r="L22" s="153" t="s">
        <v>206</v>
      </c>
      <c r="M22" s="391"/>
      <c r="N22" s="67">
        <v>44483</v>
      </c>
      <c r="O22" s="228"/>
      <c r="P22" s="104"/>
      <c r="Q22" s="56"/>
      <c r="R22" s="56"/>
      <c r="S22" s="56"/>
      <c r="T22" s="40"/>
      <c r="U22" s="43"/>
      <c r="V22" s="50"/>
      <c r="X22" s="35"/>
    </row>
    <row r="23" spans="2:24" x14ac:dyDescent="0.25">
      <c r="B23" s="405"/>
      <c r="C23" s="89">
        <v>1</v>
      </c>
      <c r="D23" s="203" t="s">
        <v>128</v>
      </c>
      <c r="E23" s="204"/>
      <c r="F23" s="204"/>
      <c r="G23" s="204"/>
      <c r="H23" s="99" t="str">
        <f>CONCATENATE($L$7,"-",LEFT(C23,3),"-",LEFT(D23,3),LEFT(I23,3),"-",LEFT(J23,6),"-",3)</f>
        <v>CGK-1-ACPAN-1 PK-3</v>
      </c>
      <c r="I23" s="149" t="s">
        <v>134</v>
      </c>
      <c r="J23" s="151" t="s">
        <v>129</v>
      </c>
      <c r="K23" s="158" t="s">
        <v>417</v>
      </c>
      <c r="L23" s="153" t="s">
        <v>206</v>
      </c>
      <c r="M23" s="391"/>
      <c r="N23" s="67">
        <v>44483</v>
      </c>
      <c r="O23" s="228"/>
      <c r="P23" s="104"/>
      <c r="Q23" s="56"/>
      <c r="R23" s="56"/>
      <c r="S23" s="56"/>
      <c r="T23" s="40"/>
      <c r="U23" s="43"/>
      <c r="V23" s="50"/>
      <c r="X23" s="35"/>
    </row>
    <row r="24" spans="2:24" x14ac:dyDescent="0.25">
      <c r="B24" s="405"/>
      <c r="C24" s="89">
        <v>1</v>
      </c>
      <c r="D24" s="203" t="s">
        <v>128</v>
      </c>
      <c r="E24" s="204"/>
      <c r="F24" s="204"/>
      <c r="G24" s="204"/>
      <c r="H24" s="99" t="str">
        <f>CONCATENATE($L$7,"-",LEFT(C24,3),"-",LEFT(D24,3),LEFT(I24,3),"-",LEFT(J24,6),"-",4)</f>
        <v>CGK-1-ACPAN-1 PK-4</v>
      </c>
      <c r="I24" s="149" t="s">
        <v>134</v>
      </c>
      <c r="J24" s="151" t="s">
        <v>129</v>
      </c>
      <c r="K24" s="158" t="s">
        <v>365</v>
      </c>
      <c r="L24" s="153" t="s">
        <v>206</v>
      </c>
      <c r="M24" s="391"/>
      <c r="N24" s="67">
        <v>44483</v>
      </c>
      <c r="O24" s="228"/>
      <c r="P24" s="104"/>
      <c r="Q24" s="56"/>
      <c r="R24" s="56"/>
      <c r="S24" s="56"/>
      <c r="T24" s="40"/>
      <c r="U24" s="43"/>
      <c r="V24" s="50"/>
      <c r="X24" s="35"/>
    </row>
    <row r="25" spans="2:24" x14ac:dyDescent="0.25">
      <c r="B25" s="405"/>
      <c r="C25" s="89">
        <v>1</v>
      </c>
      <c r="D25" s="203" t="s">
        <v>128</v>
      </c>
      <c r="E25" s="204"/>
      <c r="F25" s="204"/>
      <c r="G25" s="204"/>
      <c r="H25" s="99" t="str">
        <f>CONCATENATE($L$7,"-",LEFT(C25,3),"-",LEFT(D25,3),LEFT(I25,3),"-",LEFT(J25,6),"-",5)</f>
        <v>CGK-1-ACPAN-1 PK-5</v>
      </c>
      <c r="I25" s="149" t="s">
        <v>134</v>
      </c>
      <c r="J25" s="151" t="s">
        <v>129</v>
      </c>
      <c r="K25" s="158" t="s">
        <v>419</v>
      </c>
      <c r="L25" s="153" t="s">
        <v>206</v>
      </c>
      <c r="M25" s="391"/>
      <c r="N25" s="67">
        <v>44483</v>
      </c>
      <c r="O25" s="228"/>
      <c r="P25" s="104"/>
      <c r="Q25" s="56"/>
      <c r="R25" s="56"/>
      <c r="S25" s="56"/>
      <c r="T25" s="40"/>
      <c r="U25" s="43"/>
      <c r="V25" s="50"/>
      <c r="X25" s="35"/>
    </row>
    <row r="26" spans="2:24" x14ac:dyDescent="0.25">
      <c r="B26" s="405"/>
      <c r="C26" s="89">
        <v>1</v>
      </c>
      <c r="D26" s="203" t="s">
        <v>128</v>
      </c>
      <c r="E26" s="204"/>
      <c r="F26" s="204"/>
      <c r="G26" s="204"/>
      <c r="H26" s="99" t="str">
        <f>CONCATENATE($L$7,"-",LEFT(C26,3),"-",LEFT(D26,3),LEFT(I26,3),"-",LEFT(J26,6),"-",6)</f>
        <v>CGK-1-ACPAN-1 PK-6</v>
      </c>
      <c r="I26" s="149" t="s">
        <v>134</v>
      </c>
      <c r="J26" s="151" t="s">
        <v>129</v>
      </c>
      <c r="K26" s="158" t="s">
        <v>421</v>
      </c>
      <c r="L26" s="153" t="s">
        <v>206</v>
      </c>
      <c r="M26" s="391"/>
      <c r="N26" s="67">
        <v>44483</v>
      </c>
      <c r="O26" s="228"/>
      <c r="P26" s="104"/>
      <c r="Q26" s="56"/>
      <c r="R26" s="56"/>
      <c r="S26" s="56"/>
      <c r="T26" s="40"/>
      <c r="U26" s="43"/>
      <c r="V26" s="50"/>
      <c r="X26" s="35"/>
    </row>
    <row r="27" spans="2:24" x14ac:dyDescent="0.25">
      <c r="B27" s="405"/>
      <c r="C27" s="89">
        <v>1</v>
      </c>
      <c r="D27" s="203" t="s">
        <v>128</v>
      </c>
      <c r="E27" s="204"/>
      <c r="F27" s="204"/>
      <c r="G27" s="204"/>
      <c r="H27" s="99" t="str">
        <f>CONCATENATE($L$7,"-",LEFT(C27,3),"-",LEFT(D27,3),LEFT(I27,3),"-",LEFT(J27,6),"-",7)</f>
        <v>CGK-1-ACPAN-1 PK-7</v>
      </c>
      <c r="I27" s="149" t="s">
        <v>134</v>
      </c>
      <c r="J27" s="151" t="s">
        <v>129</v>
      </c>
      <c r="K27" s="158" t="s">
        <v>421</v>
      </c>
      <c r="L27" s="153" t="s">
        <v>206</v>
      </c>
      <c r="M27" s="391"/>
      <c r="N27" s="67">
        <v>44483</v>
      </c>
      <c r="O27" s="228"/>
      <c r="P27" s="104"/>
      <c r="Q27" s="56"/>
      <c r="R27" s="56"/>
      <c r="S27" s="56"/>
      <c r="T27" s="40"/>
      <c r="U27" s="43"/>
      <c r="V27" s="50"/>
      <c r="X27" s="35"/>
    </row>
    <row r="28" spans="2:24" x14ac:dyDescent="0.25">
      <c r="B28" s="405"/>
      <c r="C28" s="89">
        <v>1</v>
      </c>
      <c r="D28" s="203" t="s">
        <v>128</v>
      </c>
      <c r="E28" s="204"/>
      <c r="F28" s="204"/>
      <c r="G28" s="204"/>
      <c r="H28" s="99" t="str">
        <f>CONCATENATE($L$7,"-",LEFT(C28,3),"-",LEFT(D28,3),LEFT(I28,3),"-",LEFT(J28,6),"-",8)</f>
        <v>CGK-1-ACPAN-1 PK-8</v>
      </c>
      <c r="I28" s="149" t="s">
        <v>134</v>
      </c>
      <c r="J28" s="151" t="s">
        <v>129</v>
      </c>
      <c r="K28" s="158" t="s">
        <v>239</v>
      </c>
      <c r="L28" s="153" t="s">
        <v>206</v>
      </c>
      <c r="M28" s="391"/>
      <c r="N28" s="67">
        <v>44483</v>
      </c>
      <c r="O28" s="228"/>
      <c r="P28" s="104"/>
      <c r="Q28" s="56"/>
      <c r="R28" s="56"/>
      <c r="S28" s="56"/>
      <c r="T28" s="40"/>
      <c r="U28" s="43"/>
      <c r="V28" s="50"/>
      <c r="X28" s="35"/>
    </row>
    <row r="29" spans="2:24" x14ac:dyDescent="0.25">
      <c r="B29" s="405"/>
      <c r="C29" s="89">
        <v>1</v>
      </c>
      <c r="D29" s="203" t="s">
        <v>128</v>
      </c>
      <c r="E29" s="204"/>
      <c r="F29" s="204"/>
      <c r="G29" s="204"/>
      <c r="H29" s="99" t="str">
        <f>CONCATENATE($L$7,"-",LEFT(C29,3),"-",LEFT(D29,3),LEFT(I29,3),"-",LEFT(J29,6),"-",9)</f>
        <v>CGK-1-ACPAN-1 PK-9</v>
      </c>
      <c r="I29" s="149" t="s">
        <v>134</v>
      </c>
      <c r="J29" s="151" t="s">
        <v>129</v>
      </c>
      <c r="K29" s="158" t="s">
        <v>428</v>
      </c>
      <c r="L29" s="153" t="s">
        <v>206</v>
      </c>
      <c r="M29" s="391"/>
      <c r="N29" s="67">
        <v>44483</v>
      </c>
      <c r="O29" s="228"/>
      <c r="P29" s="104"/>
      <c r="Q29" s="56"/>
      <c r="R29" s="56"/>
      <c r="S29" s="56"/>
      <c r="T29" s="40"/>
      <c r="U29" s="43"/>
      <c r="V29" s="50"/>
      <c r="X29" s="35"/>
    </row>
    <row r="30" spans="2:24" x14ac:dyDescent="0.25">
      <c r="B30" s="405"/>
      <c r="C30" s="89">
        <v>1</v>
      </c>
      <c r="D30" s="203" t="s">
        <v>128</v>
      </c>
      <c r="E30" s="204"/>
      <c r="F30" s="204"/>
      <c r="G30" s="204"/>
      <c r="H30" s="99" t="str">
        <f>CONCATENATE($L$7,"-",LEFT(C30,3),"-",LEFT(D30,3),LEFT(I30,3),"-",LEFT(J30,6),"-",10)</f>
        <v>CGK-1-ACPAN-1 PK-10</v>
      </c>
      <c r="I30" s="149" t="s">
        <v>134</v>
      </c>
      <c r="J30" s="151" t="s">
        <v>129</v>
      </c>
      <c r="K30" s="158" t="s">
        <v>355</v>
      </c>
      <c r="L30" s="153" t="s">
        <v>206</v>
      </c>
      <c r="M30" s="392"/>
      <c r="N30" s="67">
        <v>44483</v>
      </c>
      <c r="O30" s="228"/>
      <c r="P30" s="104"/>
      <c r="Q30" s="56"/>
      <c r="R30" s="56"/>
      <c r="S30" s="56"/>
      <c r="T30" s="40"/>
      <c r="U30" s="43"/>
      <c r="V30" s="50"/>
      <c r="X30" s="35"/>
    </row>
    <row r="31" spans="2:24" x14ac:dyDescent="0.25">
      <c r="B31" s="405"/>
      <c r="C31" s="89">
        <v>1</v>
      </c>
      <c r="D31" s="203" t="s">
        <v>128</v>
      </c>
      <c r="E31" s="204"/>
      <c r="F31" s="204"/>
      <c r="G31" s="204"/>
      <c r="H31" s="99" t="str">
        <f>CONCATENATE($L$7,"-",LEFT(C31,3),"-",LEFT(D31,3),LEFT(I31,3),"-",LEFT(J31,6))</f>
        <v>CGK-1-ACPAN-1,5 PK</v>
      </c>
      <c r="I31" s="149" t="s">
        <v>134</v>
      </c>
      <c r="J31" s="151" t="s">
        <v>130</v>
      </c>
      <c r="K31" s="359" t="s">
        <v>359</v>
      </c>
      <c r="L31" s="153" t="s">
        <v>206</v>
      </c>
      <c r="M31" s="238">
        <v>0</v>
      </c>
      <c r="N31" s="67">
        <v>44483</v>
      </c>
      <c r="O31" s="228"/>
      <c r="P31" s="104" t="s">
        <v>73</v>
      </c>
      <c r="Q31" s="56"/>
      <c r="R31" s="56"/>
      <c r="S31" s="56"/>
      <c r="T31" s="40"/>
      <c r="U31" s="43"/>
      <c r="V31" s="50"/>
      <c r="X31" s="35"/>
    </row>
    <row r="32" spans="2:24" x14ac:dyDescent="0.25">
      <c r="B32" s="405"/>
      <c r="C32" s="89">
        <v>1</v>
      </c>
      <c r="D32" s="203" t="s">
        <v>128</v>
      </c>
      <c r="E32" s="204"/>
      <c r="F32" s="204"/>
      <c r="G32" s="204"/>
      <c r="H32" s="99" t="str">
        <f t="shared" ref="H32:H55" si="1">CONCATENATE($L$7,"-",LEFT(C32,3),"-",LEFT(D32,3),LEFT(I32,3),"-",LEFT(J32,6))</f>
        <v>CGK-1-ACPAN-2 PK</v>
      </c>
      <c r="I32" s="149" t="s">
        <v>134</v>
      </c>
      <c r="J32" s="152" t="s">
        <v>131</v>
      </c>
      <c r="K32" s="151" t="s">
        <v>418</v>
      </c>
      <c r="L32" s="153" t="s">
        <v>206</v>
      </c>
      <c r="M32" s="238">
        <v>1</v>
      </c>
      <c r="N32" s="67">
        <v>44483</v>
      </c>
      <c r="O32" s="228"/>
      <c r="P32" s="104" t="s">
        <v>73</v>
      </c>
      <c r="Q32" s="56"/>
      <c r="R32" s="56"/>
      <c r="S32" s="56"/>
      <c r="T32" s="40"/>
      <c r="U32" s="43"/>
      <c r="V32" s="50"/>
      <c r="X32" s="35"/>
    </row>
    <row r="33" spans="2:24" x14ac:dyDescent="0.25">
      <c r="B33" s="405"/>
      <c r="C33" s="89">
        <v>1</v>
      </c>
      <c r="D33" s="203" t="s">
        <v>128</v>
      </c>
      <c r="E33" s="204"/>
      <c r="F33" s="204"/>
      <c r="G33" s="204"/>
      <c r="H33" s="99" t="str">
        <f t="shared" si="1"/>
        <v>CGK-1-ACPAN-5 PK</v>
      </c>
      <c r="I33" s="149" t="s">
        <v>134</v>
      </c>
      <c r="J33" s="151" t="s">
        <v>132</v>
      </c>
      <c r="K33" s="359" t="s">
        <v>359</v>
      </c>
      <c r="L33" s="153" t="s">
        <v>206</v>
      </c>
      <c r="M33" s="238">
        <v>0</v>
      </c>
      <c r="N33" s="67">
        <v>44483</v>
      </c>
      <c r="O33" s="228"/>
      <c r="P33" s="104" t="s">
        <v>73</v>
      </c>
      <c r="Q33" s="56"/>
      <c r="R33" s="56"/>
      <c r="S33" s="56"/>
      <c r="T33" s="40"/>
      <c r="U33" s="43"/>
      <c r="V33" s="50"/>
      <c r="X33" s="35"/>
    </row>
    <row r="34" spans="2:24" x14ac:dyDescent="0.25">
      <c r="B34" s="405"/>
      <c r="C34" s="89">
        <v>1</v>
      </c>
      <c r="D34" s="203" t="s">
        <v>128</v>
      </c>
      <c r="E34" s="204"/>
      <c r="F34" s="204"/>
      <c r="G34" s="204"/>
      <c r="H34" s="99" t="str">
        <f t="shared" si="1"/>
        <v>CGK-1-ACCHA-1/2 PK</v>
      </c>
      <c r="I34" s="149" t="s">
        <v>339</v>
      </c>
      <c r="J34" s="153" t="s">
        <v>177</v>
      </c>
      <c r="K34" s="359" t="s">
        <v>359</v>
      </c>
      <c r="L34" s="153" t="s">
        <v>206</v>
      </c>
      <c r="M34" s="238">
        <v>0</v>
      </c>
      <c r="N34" s="67">
        <v>44483</v>
      </c>
      <c r="O34" s="228"/>
      <c r="P34" s="104" t="s">
        <v>73</v>
      </c>
      <c r="Q34" s="56"/>
      <c r="R34" s="56"/>
      <c r="S34" s="56"/>
      <c r="T34" s="40"/>
      <c r="U34" s="43"/>
      <c r="V34" s="50"/>
      <c r="X34" s="35"/>
    </row>
    <row r="35" spans="2:24" x14ac:dyDescent="0.25">
      <c r="B35" s="405"/>
      <c r="C35" s="89">
        <v>1</v>
      </c>
      <c r="D35" s="203" t="s">
        <v>128</v>
      </c>
      <c r="E35" s="204"/>
      <c r="F35" s="204"/>
      <c r="G35" s="204"/>
      <c r="H35" s="99" t="str">
        <f t="shared" si="1"/>
        <v>CGK-1-ACCHA-3/4 PK</v>
      </c>
      <c r="I35" s="149" t="s">
        <v>339</v>
      </c>
      <c r="J35" s="150" t="s">
        <v>217</v>
      </c>
      <c r="K35" s="359" t="s">
        <v>359</v>
      </c>
      <c r="L35" s="153" t="s">
        <v>206</v>
      </c>
      <c r="M35" s="238">
        <v>0</v>
      </c>
      <c r="N35" s="67">
        <v>44483</v>
      </c>
      <c r="O35" s="228"/>
      <c r="P35" s="104" t="s">
        <v>73</v>
      </c>
      <c r="Q35" s="56"/>
      <c r="R35" s="56"/>
      <c r="S35" s="56"/>
      <c r="T35" s="40"/>
      <c r="U35" s="43"/>
      <c r="V35" s="50"/>
      <c r="X35" s="35"/>
    </row>
    <row r="36" spans="2:24" x14ac:dyDescent="0.25">
      <c r="B36" s="405"/>
      <c r="C36" s="89">
        <v>1</v>
      </c>
      <c r="D36" s="203" t="s">
        <v>128</v>
      </c>
      <c r="E36" s="204"/>
      <c r="F36" s="204"/>
      <c r="G36" s="204"/>
      <c r="H36" s="99" t="str">
        <f t="shared" si="1"/>
        <v>CGK-1-ACCHA-1 PK</v>
      </c>
      <c r="I36" s="149" t="s">
        <v>339</v>
      </c>
      <c r="J36" s="151" t="s">
        <v>129</v>
      </c>
      <c r="K36" s="158" t="s">
        <v>430</v>
      </c>
      <c r="L36" s="153" t="s">
        <v>206</v>
      </c>
      <c r="M36" s="238">
        <v>1</v>
      </c>
      <c r="N36" s="67">
        <v>44483</v>
      </c>
      <c r="O36" s="228"/>
      <c r="P36" s="104" t="s">
        <v>73</v>
      </c>
      <c r="Q36" s="56"/>
      <c r="R36" s="56"/>
      <c r="S36" s="56"/>
      <c r="T36" s="40"/>
      <c r="U36" s="43"/>
      <c r="V36" s="50"/>
      <c r="X36" s="35"/>
    </row>
    <row r="37" spans="2:24" x14ac:dyDescent="0.25">
      <c r="B37" s="405"/>
      <c r="C37" s="89">
        <v>1</v>
      </c>
      <c r="D37" s="203" t="s">
        <v>128</v>
      </c>
      <c r="E37" s="204"/>
      <c r="F37" s="204"/>
      <c r="G37" s="204"/>
      <c r="H37" s="99" t="str">
        <f t="shared" si="1"/>
        <v>CGK-1-ACCHA-1,5 PK</v>
      </c>
      <c r="I37" s="149" t="s">
        <v>339</v>
      </c>
      <c r="J37" s="151" t="s">
        <v>130</v>
      </c>
      <c r="K37" s="158" t="s">
        <v>395</v>
      </c>
      <c r="L37" s="153" t="s">
        <v>206</v>
      </c>
      <c r="M37" s="238">
        <v>1</v>
      </c>
      <c r="N37" s="67">
        <v>44483</v>
      </c>
      <c r="O37" s="228"/>
      <c r="P37" s="104" t="s">
        <v>73</v>
      </c>
      <c r="Q37" s="56"/>
      <c r="R37" s="56"/>
      <c r="S37" s="56"/>
      <c r="T37" s="40"/>
      <c r="U37" s="43"/>
      <c r="V37" s="50"/>
      <c r="X37" s="35"/>
    </row>
    <row r="38" spans="2:24" x14ac:dyDescent="0.25">
      <c r="B38" s="405"/>
      <c r="C38" s="89">
        <v>1</v>
      </c>
      <c r="D38" s="203" t="s">
        <v>128</v>
      </c>
      <c r="E38" s="204"/>
      <c r="F38" s="204"/>
      <c r="G38" s="204"/>
      <c r="H38" s="99" t="str">
        <f t="shared" si="1"/>
        <v>CGK-1-ACCHA-2 PK</v>
      </c>
      <c r="I38" s="149" t="s">
        <v>339</v>
      </c>
      <c r="J38" s="152" t="s">
        <v>131</v>
      </c>
      <c r="K38" s="151" t="s">
        <v>427</v>
      </c>
      <c r="L38" s="153" t="s">
        <v>206</v>
      </c>
      <c r="M38" s="238">
        <v>1</v>
      </c>
      <c r="N38" s="67">
        <v>44483</v>
      </c>
      <c r="O38" s="228"/>
      <c r="P38" s="104" t="s">
        <v>73</v>
      </c>
      <c r="Q38" s="56"/>
      <c r="R38" s="56"/>
      <c r="S38" s="56"/>
      <c r="T38" s="40"/>
      <c r="U38" s="43"/>
      <c r="V38" s="50"/>
      <c r="X38" s="35"/>
    </row>
    <row r="39" spans="2:24" x14ac:dyDescent="0.25">
      <c r="B39" s="405"/>
      <c r="C39" s="89">
        <v>1</v>
      </c>
      <c r="D39" s="203" t="s">
        <v>128</v>
      </c>
      <c r="E39" s="204"/>
      <c r="F39" s="204"/>
      <c r="G39" s="204"/>
      <c r="H39" s="99" t="str">
        <f t="shared" si="1"/>
        <v>CGK-1-ACCHA-5 PK</v>
      </c>
      <c r="I39" s="149" t="s">
        <v>339</v>
      </c>
      <c r="J39" s="151" t="s">
        <v>132</v>
      </c>
      <c r="K39" s="151"/>
      <c r="L39" s="153" t="s">
        <v>206</v>
      </c>
      <c r="M39" s="238">
        <v>0</v>
      </c>
      <c r="N39" s="67">
        <v>44483</v>
      </c>
      <c r="O39" s="228"/>
      <c r="P39" s="104" t="s">
        <v>73</v>
      </c>
      <c r="Q39" s="56"/>
      <c r="R39" s="56"/>
      <c r="S39" s="56"/>
      <c r="T39" s="40"/>
      <c r="U39" s="43"/>
      <c r="V39" s="50"/>
      <c r="X39" s="35"/>
    </row>
    <row r="40" spans="2:24" x14ac:dyDescent="0.25">
      <c r="B40" s="405"/>
      <c r="C40" s="89">
        <v>1</v>
      </c>
      <c r="D40" s="203" t="s">
        <v>128</v>
      </c>
      <c r="E40" s="204"/>
      <c r="F40" s="204"/>
      <c r="G40" s="204"/>
      <c r="H40" s="99" t="str">
        <f t="shared" si="1"/>
        <v>CGK-1-ACGRE-1/2 PK</v>
      </c>
      <c r="I40" s="149" t="s">
        <v>135</v>
      </c>
      <c r="J40" s="153" t="s">
        <v>177</v>
      </c>
      <c r="K40" s="362" t="s">
        <v>359</v>
      </c>
      <c r="L40" s="153" t="s">
        <v>206</v>
      </c>
      <c r="M40" s="238">
        <v>0</v>
      </c>
      <c r="N40" s="67">
        <v>44483</v>
      </c>
      <c r="O40" s="228"/>
      <c r="P40" s="104" t="s">
        <v>73</v>
      </c>
      <c r="Q40" s="56"/>
      <c r="R40" s="56"/>
      <c r="S40" s="56"/>
      <c r="T40" s="40"/>
      <c r="U40" s="43"/>
      <c r="V40" s="50"/>
      <c r="X40" s="35"/>
    </row>
    <row r="41" spans="2:24" x14ac:dyDescent="0.25">
      <c r="B41" s="405"/>
      <c r="C41" s="89">
        <v>1</v>
      </c>
      <c r="D41" s="203" t="s">
        <v>128</v>
      </c>
      <c r="E41" s="204"/>
      <c r="F41" s="204"/>
      <c r="G41" s="204"/>
      <c r="H41" s="99" t="str">
        <f t="shared" si="1"/>
        <v>CGK-1-ACGRE-3/4 PK</v>
      </c>
      <c r="I41" s="149" t="s">
        <v>135</v>
      </c>
      <c r="J41" s="150" t="s">
        <v>217</v>
      </c>
      <c r="K41" s="359" t="s">
        <v>359</v>
      </c>
      <c r="L41" s="153" t="s">
        <v>206</v>
      </c>
      <c r="M41" s="238">
        <v>0</v>
      </c>
      <c r="N41" s="67">
        <v>44483</v>
      </c>
      <c r="O41" s="228"/>
      <c r="P41" s="104" t="s">
        <v>73</v>
      </c>
      <c r="Q41" s="56"/>
      <c r="R41" s="56"/>
      <c r="S41" s="56"/>
      <c r="T41" s="40"/>
      <c r="U41" s="43"/>
      <c r="V41" s="50"/>
      <c r="X41" s="35"/>
    </row>
    <row r="42" spans="2:24" x14ac:dyDescent="0.25">
      <c r="B42" s="405"/>
      <c r="C42" s="89">
        <v>1</v>
      </c>
      <c r="D42" s="203" t="s">
        <v>128</v>
      </c>
      <c r="E42" s="204"/>
      <c r="F42" s="204"/>
      <c r="G42" s="204"/>
      <c r="H42" s="99" t="str">
        <f t="shared" si="1"/>
        <v>CGK-1-ACGRE-1 PK</v>
      </c>
      <c r="I42" s="149" t="s">
        <v>135</v>
      </c>
      <c r="J42" s="151" t="s">
        <v>129</v>
      </c>
      <c r="K42" s="359" t="s">
        <v>359</v>
      </c>
      <c r="L42" s="153" t="s">
        <v>206</v>
      </c>
      <c r="M42" s="238"/>
      <c r="N42" s="67">
        <v>44483</v>
      </c>
      <c r="O42" s="228"/>
      <c r="P42" s="104" t="s">
        <v>73</v>
      </c>
      <c r="Q42" s="56"/>
      <c r="R42" s="56"/>
      <c r="S42" s="56"/>
      <c r="T42" s="40"/>
      <c r="U42" s="43"/>
      <c r="V42" s="50"/>
      <c r="X42" s="35"/>
    </row>
    <row r="43" spans="2:24" x14ac:dyDescent="0.25">
      <c r="B43" s="405"/>
      <c r="C43" s="89">
        <v>1</v>
      </c>
      <c r="D43" s="203" t="s">
        <v>128</v>
      </c>
      <c r="E43" s="204"/>
      <c r="F43" s="204"/>
      <c r="G43" s="204"/>
      <c r="H43" s="99" t="str">
        <f t="shared" si="1"/>
        <v>CGK-1-ACGRE-1,5 PK</v>
      </c>
      <c r="I43" s="149" t="s">
        <v>135</v>
      </c>
      <c r="J43" s="151" t="s">
        <v>130</v>
      </c>
      <c r="K43" s="359" t="s">
        <v>359</v>
      </c>
      <c r="L43" s="153" t="s">
        <v>206</v>
      </c>
      <c r="M43" s="238"/>
      <c r="N43" s="67">
        <v>44483</v>
      </c>
      <c r="O43" s="228"/>
      <c r="P43" s="104" t="s">
        <v>73</v>
      </c>
      <c r="Q43" s="56"/>
      <c r="R43" s="56"/>
      <c r="S43" s="56"/>
      <c r="T43" s="40"/>
      <c r="U43" s="43"/>
      <c r="V43" s="50"/>
      <c r="X43" s="35"/>
    </row>
    <row r="44" spans="2:24" x14ac:dyDescent="0.25">
      <c r="B44" s="405"/>
      <c r="C44" s="89">
        <v>1</v>
      </c>
      <c r="D44" s="203" t="s">
        <v>128</v>
      </c>
      <c r="E44" s="204"/>
      <c r="F44" s="204"/>
      <c r="G44" s="204"/>
      <c r="H44" s="99" t="str">
        <f>CONCATENATE($L$7,"-",LEFT(C44,3),"-",LEFT(D44,3),LEFT(I44,3),"-",LEFT(J44,6),"-",1)</f>
        <v>CGK-1-ACGRE-2 PK-1</v>
      </c>
      <c r="I44" s="149" t="s">
        <v>135</v>
      </c>
      <c r="J44" s="152" t="s">
        <v>131</v>
      </c>
      <c r="K44" s="158" t="s">
        <v>406</v>
      </c>
      <c r="L44" s="153" t="s">
        <v>206</v>
      </c>
      <c r="M44" s="238">
        <v>1</v>
      </c>
      <c r="N44" s="67">
        <v>44483</v>
      </c>
      <c r="O44" s="228"/>
      <c r="P44" s="104" t="s">
        <v>73</v>
      </c>
      <c r="Q44" s="56"/>
      <c r="R44" s="56"/>
      <c r="S44" s="56"/>
      <c r="T44" s="40"/>
      <c r="U44" s="43"/>
      <c r="V44" s="50"/>
      <c r="X44" s="35"/>
    </row>
    <row r="45" spans="2:24" x14ac:dyDescent="0.25">
      <c r="B45" s="405"/>
      <c r="C45" s="89">
        <v>1</v>
      </c>
      <c r="D45" s="203" t="s">
        <v>128</v>
      </c>
      <c r="E45" s="204"/>
      <c r="F45" s="204"/>
      <c r="G45" s="204"/>
      <c r="H45" s="99" t="str">
        <f>CONCATENATE($L$7,"-",LEFT(C45,3),"-",LEFT(D45,3),LEFT(I45,3),"-",LEFT(J45,6),"-",2)</f>
        <v>CGK-1-ACGRE-2 PK-2</v>
      </c>
      <c r="I45" s="149" t="s">
        <v>135</v>
      </c>
      <c r="J45" s="152" t="s">
        <v>131</v>
      </c>
      <c r="K45" s="158" t="s">
        <v>431</v>
      </c>
      <c r="L45" s="153" t="s">
        <v>206</v>
      </c>
      <c r="M45" s="238">
        <v>1</v>
      </c>
      <c r="N45" s="67">
        <v>44483</v>
      </c>
      <c r="O45" s="228"/>
      <c r="P45" s="104"/>
      <c r="Q45" s="56"/>
      <c r="R45" s="56"/>
      <c r="S45" s="56"/>
      <c r="T45" s="40"/>
      <c r="U45" s="43"/>
      <c r="V45" s="50"/>
      <c r="X45" s="35"/>
    </row>
    <row r="46" spans="2:24" x14ac:dyDescent="0.25">
      <c r="B46" s="405"/>
      <c r="C46" s="89">
        <v>1</v>
      </c>
      <c r="D46" s="203" t="s">
        <v>128</v>
      </c>
      <c r="E46" s="204"/>
      <c r="F46" s="204"/>
      <c r="G46" s="204"/>
      <c r="H46" s="99" t="str">
        <f>CONCATENATE($L$7,"-",LEFT(C46,3),"-",LEFT(D46,3),LEFT(I46,3),"-",LEFT(J46,6),"-",3)</f>
        <v>CGK-1-ACGRE-2 PK-3</v>
      </c>
      <c r="I46" s="149" t="s">
        <v>135</v>
      </c>
      <c r="J46" s="152" t="s">
        <v>131</v>
      </c>
      <c r="K46" s="158" t="s">
        <v>433</v>
      </c>
      <c r="L46" s="153" t="s">
        <v>206</v>
      </c>
      <c r="M46" s="238">
        <v>1</v>
      </c>
      <c r="N46" s="67">
        <v>44483</v>
      </c>
      <c r="O46" s="228"/>
      <c r="P46" s="104"/>
      <c r="Q46" s="56"/>
      <c r="R46" s="56"/>
      <c r="S46" s="56"/>
      <c r="T46" s="40"/>
      <c r="U46" s="43"/>
      <c r="V46" s="50"/>
      <c r="X46" s="35"/>
    </row>
    <row r="47" spans="2:24" x14ac:dyDescent="0.25">
      <c r="B47" s="405"/>
      <c r="C47" s="89">
        <v>1</v>
      </c>
      <c r="D47" s="203" t="s">
        <v>128</v>
      </c>
      <c r="E47" s="204"/>
      <c r="F47" s="204"/>
      <c r="G47" s="204"/>
      <c r="H47" s="99" t="str">
        <f t="shared" si="1"/>
        <v>CGK-1-ACGRE-5 PK</v>
      </c>
      <c r="I47" s="149" t="s">
        <v>135</v>
      </c>
      <c r="J47" s="151" t="s">
        <v>132</v>
      </c>
      <c r="K47" s="359" t="s">
        <v>359</v>
      </c>
      <c r="L47" s="153" t="s">
        <v>206</v>
      </c>
      <c r="M47" s="238">
        <v>0</v>
      </c>
      <c r="N47" s="67">
        <v>44483</v>
      </c>
      <c r="O47" s="228"/>
      <c r="P47" s="104" t="s">
        <v>73</v>
      </c>
      <c r="Q47" s="56"/>
      <c r="R47" s="56"/>
      <c r="S47" s="56"/>
      <c r="T47" s="40"/>
      <c r="U47" s="43"/>
      <c r="V47" s="50"/>
      <c r="X47" s="35"/>
    </row>
    <row r="48" spans="2:24" x14ac:dyDescent="0.25">
      <c r="B48" s="405"/>
      <c r="C48" s="89">
        <v>1</v>
      </c>
      <c r="D48" s="203" t="s">
        <v>128</v>
      </c>
      <c r="E48" s="204"/>
      <c r="F48" s="204"/>
      <c r="G48" s="204"/>
      <c r="H48" s="99" t="str">
        <f t="shared" si="1"/>
        <v>CGK-1-ACSAN-1/2 PK</v>
      </c>
      <c r="I48" s="149" t="s">
        <v>136</v>
      </c>
      <c r="J48" s="153" t="s">
        <v>177</v>
      </c>
      <c r="K48" s="359" t="s">
        <v>359</v>
      </c>
      <c r="L48" s="153" t="s">
        <v>206</v>
      </c>
      <c r="M48" s="238">
        <v>0</v>
      </c>
      <c r="N48" s="67">
        <v>44483</v>
      </c>
      <c r="O48" s="228"/>
      <c r="P48" s="104" t="s">
        <v>73</v>
      </c>
      <c r="Q48" s="56"/>
      <c r="R48" s="56"/>
      <c r="S48" s="56"/>
      <c r="T48" s="40"/>
      <c r="U48" s="43"/>
      <c r="V48" s="50"/>
      <c r="X48" s="35"/>
    </row>
    <row r="49" spans="2:24" x14ac:dyDescent="0.25">
      <c r="B49" s="405"/>
      <c r="C49" s="89">
        <v>1</v>
      </c>
      <c r="D49" s="203" t="s">
        <v>128</v>
      </c>
      <c r="E49" s="204"/>
      <c r="F49" s="204"/>
      <c r="G49" s="204"/>
      <c r="H49" s="99" t="str">
        <f t="shared" si="1"/>
        <v>CGK-1-ACSAN-3/4 PK</v>
      </c>
      <c r="I49" s="149" t="s">
        <v>136</v>
      </c>
      <c r="J49" s="150" t="s">
        <v>217</v>
      </c>
      <c r="K49" s="359" t="s">
        <v>359</v>
      </c>
      <c r="L49" s="153" t="s">
        <v>206</v>
      </c>
      <c r="M49" s="238">
        <v>0</v>
      </c>
      <c r="N49" s="67">
        <v>44483</v>
      </c>
      <c r="O49" s="228"/>
      <c r="P49" s="104" t="s">
        <v>73</v>
      </c>
      <c r="Q49" s="56"/>
      <c r="R49" s="56"/>
      <c r="S49" s="56"/>
      <c r="T49" s="40"/>
      <c r="U49" s="43"/>
      <c r="V49" s="50"/>
      <c r="X49" s="35"/>
    </row>
    <row r="50" spans="2:24" x14ac:dyDescent="0.25">
      <c r="B50" s="405"/>
      <c r="C50" s="89">
        <v>1</v>
      </c>
      <c r="D50" s="203" t="s">
        <v>128</v>
      </c>
      <c r="E50" s="204"/>
      <c r="F50" s="204"/>
      <c r="G50" s="204"/>
      <c r="H50" s="99" t="str">
        <f t="shared" si="1"/>
        <v>CGK-1-ACSAN-1 PK</v>
      </c>
      <c r="I50" s="149" t="s">
        <v>136</v>
      </c>
      <c r="J50" s="151" t="s">
        <v>129</v>
      </c>
      <c r="K50" s="359" t="s">
        <v>359</v>
      </c>
      <c r="L50" s="153" t="s">
        <v>206</v>
      </c>
      <c r="M50" s="238">
        <v>0</v>
      </c>
      <c r="N50" s="67">
        <v>44483</v>
      </c>
      <c r="O50" s="228"/>
      <c r="P50" s="104" t="s">
        <v>73</v>
      </c>
      <c r="Q50" s="56"/>
      <c r="R50" s="56"/>
      <c r="S50" s="56"/>
      <c r="T50" s="40"/>
      <c r="U50" s="43"/>
      <c r="V50" s="50"/>
      <c r="X50" s="35"/>
    </row>
    <row r="51" spans="2:24" x14ac:dyDescent="0.25">
      <c r="B51" s="405"/>
      <c r="C51" s="89">
        <v>1</v>
      </c>
      <c r="D51" s="203" t="s">
        <v>128</v>
      </c>
      <c r="E51" s="204"/>
      <c r="F51" s="204"/>
      <c r="G51" s="204"/>
      <c r="H51" s="99" t="str">
        <f t="shared" si="1"/>
        <v>CGK-1-ACSAN-1,5 PK</v>
      </c>
      <c r="I51" s="149" t="s">
        <v>136</v>
      </c>
      <c r="J51" s="151" t="s">
        <v>130</v>
      </c>
      <c r="K51" s="359" t="s">
        <v>359</v>
      </c>
      <c r="L51" s="153" t="s">
        <v>206</v>
      </c>
      <c r="M51" s="238">
        <v>0</v>
      </c>
      <c r="N51" s="67">
        <v>44483</v>
      </c>
      <c r="O51" s="228"/>
      <c r="P51" s="104" t="s">
        <v>73</v>
      </c>
      <c r="Q51" s="56"/>
      <c r="R51" s="56"/>
      <c r="S51" s="56"/>
      <c r="T51" s="40"/>
      <c r="U51" s="43"/>
      <c r="V51" s="50"/>
      <c r="X51" s="35"/>
    </row>
    <row r="52" spans="2:24" x14ac:dyDescent="0.25">
      <c r="B52" s="405"/>
      <c r="C52" s="89">
        <v>1</v>
      </c>
      <c r="D52" s="203" t="s">
        <v>128</v>
      </c>
      <c r="E52" s="204"/>
      <c r="F52" s="204"/>
      <c r="G52" s="204"/>
      <c r="H52" s="99" t="str">
        <f t="shared" si="1"/>
        <v>CGK-1-ACSAN-2 PK</v>
      </c>
      <c r="I52" s="149" t="s">
        <v>136</v>
      </c>
      <c r="J52" s="152" t="s">
        <v>131</v>
      </c>
      <c r="K52" s="359" t="s">
        <v>359</v>
      </c>
      <c r="L52" s="153" t="s">
        <v>206</v>
      </c>
      <c r="M52" s="238">
        <v>0</v>
      </c>
      <c r="N52" s="67">
        <v>44483</v>
      </c>
      <c r="O52" s="228"/>
      <c r="P52" s="104" t="s">
        <v>73</v>
      </c>
      <c r="Q52" s="56"/>
      <c r="R52" s="56"/>
      <c r="S52" s="56"/>
      <c r="T52" s="40"/>
      <c r="U52" s="43"/>
      <c r="V52" s="50"/>
      <c r="X52" s="35"/>
    </row>
    <row r="53" spans="2:24" x14ac:dyDescent="0.25">
      <c r="B53" s="405"/>
      <c r="C53" s="89">
        <v>1</v>
      </c>
      <c r="D53" s="203" t="s">
        <v>128</v>
      </c>
      <c r="E53" s="204"/>
      <c r="F53" s="204"/>
      <c r="G53" s="204"/>
      <c r="H53" s="99" t="str">
        <f t="shared" si="1"/>
        <v>CGK-1-ACSAN-5 PK</v>
      </c>
      <c r="I53" s="149" t="s">
        <v>136</v>
      </c>
      <c r="J53" s="151" t="s">
        <v>132</v>
      </c>
      <c r="K53" s="359" t="s">
        <v>359</v>
      </c>
      <c r="L53" s="153" t="s">
        <v>206</v>
      </c>
      <c r="M53" s="238">
        <v>0</v>
      </c>
      <c r="N53" s="67">
        <v>44483</v>
      </c>
      <c r="O53" s="228"/>
      <c r="P53" s="104" t="s">
        <v>73</v>
      </c>
      <c r="Q53" s="56"/>
      <c r="R53" s="56"/>
      <c r="S53" s="56"/>
      <c r="T53" s="40"/>
      <c r="U53" s="43"/>
      <c r="V53" s="50"/>
      <c r="X53" s="35"/>
    </row>
    <row r="54" spans="2:24" x14ac:dyDescent="0.25">
      <c r="B54" s="405"/>
      <c r="C54" s="89">
        <v>1</v>
      </c>
      <c r="D54" s="203" t="s">
        <v>128</v>
      </c>
      <c r="E54" s="204"/>
      <c r="F54" s="204"/>
      <c r="G54" s="204"/>
      <c r="H54" s="99" t="str">
        <f t="shared" si="1"/>
        <v>CGK-1-ACDAI-1/2 PK</v>
      </c>
      <c r="I54" s="149" t="s">
        <v>137</v>
      </c>
      <c r="J54" s="153" t="s">
        <v>177</v>
      </c>
      <c r="K54" s="359" t="s">
        <v>359</v>
      </c>
      <c r="L54" s="153" t="s">
        <v>206</v>
      </c>
      <c r="M54" s="238">
        <v>0</v>
      </c>
      <c r="N54" s="67">
        <v>44483</v>
      </c>
      <c r="O54" s="228"/>
      <c r="P54" s="104" t="s">
        <v>73</v>
      </c>
      <c r="Q54" s="56"/>
      <c r="R54" s="56"/>
      <c r="S54" s="56"/>
      <c r="T54" s="40"/>
      <c r="U54" s="43"/>
      <c r="V54" s="50"/>
      <c r="X54" s="35"/>
    </row>
    <row r="55" spans="2:24" x14ac:dyDescent="0.25">
      <c r="B55" s="405"/>
      <c r="C55" s="89">
        <v>1</v>
      </c>
      <c r="D55" s="203" t="s">
        <v>128</v>
      </c>
      <c r="E55" s="204"/>
      <c r="F55" s="204"/>
      <c r="G55" s="204"/>
      <c r="H55" s="99" t="str">
        <f t="shared" si="1"/>
        <v>CGK-1-ACDAI-3/4 PK</v>
      </c>
      <c r="I55" s="149" t="s">
        <v>137</v>
      </c>
      <c r="J55" s="150" t="s">
        <v>217</v>
      </c>
      <c r="K55" s="359" t="s">
        <v>359</v>
      </c>
      <c r="L55" s="153" t="s">
        <v>206</v>
      </c>
      <c r="M55" s="238">
        <v>0</v>
      </c>
      <c r="N55" s="67">
        <v>44483</v>
      </c>
      <c r="O55" s="228"/>
      <c r="P55" s="104" t="s">
        <v>73</v>
      </c>
      <c r="Q55" s="56"/>
      <c r="R55" s="56"/>
      <c r="S55" s="56"/>
      <c r="T55" s="40"/>
      <c r="U55" s="43"/>
      <c r="V55" s="50"/>
      <c r="X55" s="35"/>
    </row>
    <row r="56" spans="2:24" x14ac:dyDescent="0.25">
      <c r="B56" s="405"/>
      <c r="C56" s="89">
        <v>1</v>
      </c>
      <c r="D56" s="203" t="s">
        <v>128</v>
      </c>
      <c r="E56" s="204"/>
      <c r="F56" s="204"/>
      <c r="G56" s="204"/>
      <c r="H56" s="99" t="str">
        <f>CONCATENATE($L$7,"-",LEFT(C56,3),"-",LEFT(D56,3),LEFT(I56,3),"-",LEFT(J56,6),"-",1)</f>
        <v>CGK-1-ACDAI-1 PK-1</v>
      </c>
      <c r="I56" s="149" t="s">
        <v>137</v>
      </c>
      <c r="J56" s="151" t="s">
        <v>129</v>
      </c>
      <c r="K56" s="158" t="s">
        <v>421</v>
      </c>
      <c r="L56" s="153" t="s">
        <v>206</v>
      </c>
      <c r="M56" s="390">
        <v>4</v>
      </c>
      <c r="N56" s="67">
        <v>44483</v>
      </c>
      <c r="O56" s="228"/>
      <c r="P56" s="104" t="s">
        <v>73</v>
      </c>
      <c r="Q56" s="56"/>
      <c r="R56" s="56"/>
      <c r="S56" s="56"/>
      <c r="T56" s="40"/>
      <c r="U56" s="43"/>
      <c r="V56" s="50"/>
      <c r="X56" s="35"/>
    </row>
    <row r="57" spans="2:24" x14ac:dyDescent="0.25">
      <c r="B57" s="405"/>
      <c r="C57" s="89">
        <v>1</v>
      </c>
      <c r="D57" s="203" t="s">
        <v>128</v>
      </c>
      <c r="E57" s="204"/>
      <c r="F57" s="204"/>
      <c r="G57" s="204"/>
      <c r="H57" s="99" t="str">
        <f>CONCATENATE($L$7,"-",LEFT(C57,3),"-",LEFT(D57,3),LEFT(I57,3),"-",LEFT(J57,6),"-",2)</f>
        <v>CGK-1-ACDAI-1 PK-2</v>
      </c>
      <c r="I57" s="149" t="s">
        <v>137</v>
      </c>
      <c r="J57" s="151" t="s">
        <v>129</v>
      </c>
      <c r="K57" s="158" t="s">
        <v>426</v>
      </c>
      <c r="L57" s="153" t="s">
        <v>206</v>
      </c>
      <c r="M57" s="391"/>
      <c r="N57" s="67">
        <v>44483</v>
      </c>
      <c r="O57" s="228"/>
      <c r="P57" s="104"/>
      <c r="Q57" s="56"/>
      <c r="R57" s="56"/>
      <c r="S57" s="56"/>
      <c r="T57" s="40"/>
      <c r="U57" s="43"/>
      <c r="V57" s="50"/>
      <c r="X57" s="35"/>
    </row>
    <row r="58" spans="2:24" x14ac:dyDescent="0.25">
      <c r="B58" s="405"/>
      <c r="C58" s="89">
        <v>1</v>
      </c>
      <c r="D58" s="203" t="s">
        <v>128</v>
      </c>
      <c r="E58" s="204"/>
      <c r="F58" s="204"/>
      <c r="G58" s="204"/>
      <c r="H58" s="99" t="str">
        <f>CONCATENATE($L$7,"-",LEFT(C58,3),"-",LEFT(D58,3),LEFT(I58,3),"-",LEFT(J58,6),"-",3)</f>
        <v>CGK-1-ACDAI-1 PK-3</v>
      </c>
      <c r="I58" s="149" t="s">
        <v>137</v>
      </c>
      <c r="J58" s="151" t="s">
        <v>129</v>
      </c>
      <c r="K58" s="158" t="s">
        <v>425</v>
      </c>
      <c r="L58" s="153" t="s">
        <v>206</v>
      </c>
      <c r="M58" s="391"/>
      <c r="N58" s="67">
        <v>44483</v>
      </c>
      <c r="O58" s="228"/>
      <c r="P58" s="104"/>
      <c r="Q58" s="56"/>
      <c r="R58" s="56"/>
      <c r="S58" s="56"/>
      <c r="T58" s="40"/>
      <c r="U58" s="43"/>
      <c r="V58" s="50"/>
      <c r="X58" s="35"/>
    </row>
    <row r="59" spans="2:24" x14ac:dyDescent="0.25">
      <c r="B59" s="405"/>
      <c r="C59" s="89">
        <v>1</v>
      </c>
      <c r="D59" s="203" t="s">
        <v>128</v>
      </c>
      <c r="E59" s="204"/>
      <c r="F59" s="204"/>
      <c r="G59" s="204"/>
      <c r="H59" s="99" t="str">
        <f>CONCATENATE($L$7,"-",LEFT(C59,3),"-",LEFT(D59,3),LEFT(I59,3),"-",LEFT(J59,6),"-",4)</f>
        <v>CGK-1-ACDAI-1 PK-4</v>
      </c>
      <c r="I59" s="149" t="s">
        <v>137</v>
      </c>
      <c r="J59" s="151" t="s">
        <v>129</v>
      </c>
      <c r="K59" s="158" t="s">
        <v>432</v>
      </c>
      <c r="L59" s="153" t="s">
        <v>206</v>
      </c>
      <c r="M59" s="392"/>
      <c r="N59" s="67">
        <v>44483</v>
      </c>
      <c r="O59" s="228"/>
      <c r="P59" s="104"/>
      <c r="Q59" s="56"/>
      <c r="R59" s="56"/>
      <c r="S59" s="56"/>
      <c r="T59" s="40"/>
      <c r="U59" s="43"/>
      <c r="V59" s="50"/>
      <c r="X59" s="35"/>
    </row>
    <row r="60" spans="2:24" x14ac:dyDescent="0.25">
      <c r="B60" s="405"/>
      <c r="C60" s="89">
        <v>1</v>
      </c>
      <c r="D60" s="203" t="s">
        <v>128</v>
      </c>
      <c r="E60" s="204"/>
      <c r="F60" s="204"/>
      <c r="G60" s="204"/>
      <c r="H60" s="99" t="str">
        <f>CONCATENATE($L$7,"-",LEFT(C60,3),"-",LEFT(D60,3),LEFT(I60,3),"-",LEFT(J60,6))</f>
        <v>CGK-1-ACDAI-1,5 PK</v>
      </c>
      <c r="I60" s="149" t="s">
        <v>137</v>
      </c>
      <c r="J60" s="151" t="s">
        <v>130</v>
      </c>
      <c r="K60" s="359" t="s">
        <v>359</v>
      </c>
      <c r="L60" s="153" t="s">
        <v>206</v>
      </c>
      <c r="M60" s="238">
        <v>0</v>
      </c>
      <c r="N60" s="67">
        <v>44483</v>
      </c>
      <c r="O60" s="228"/>
      <c r="P60" s="104" t="s">
        <v>73</v>
      </c>
      <c r="Q60" s="56"/>
      <c r="R60" s="56"/>
      <c r="S60" s="56"/>
      <c r="T60" s="40"/>
      <c r="U60" s="43"/>
      <c r="V60" s="50"/>
      <c r="X60" s="35"/>
    </row>
    <row r="61" spans="2:24" x14ac:dyDescent="0.25">
      <c r="B61" s="405"/>
      <c r="C61" s="89">
        <v>1</v>
      </c>
      <c r="D61" s="203" t="s">
        <v>128</v>
      </c>
      <c r="E61" s="204"/>
      <c r="F61" s="204"/>
      <c r="G61" s="204"/>
      <c r="H61" s="99" t="str">
        <f>CONCATENATE($L$7,"-",LEFT(C61,3),"-",LEFT(D61,3),LEFT(I61,3),"-",LEFT(J61,6),"-",1)</f>
        <v>CGK-1-ACDAI-2 PK-1</v>
      </c>
      <c r="I61" s="149" t="s">
        <v>137</v>
      </c>
      <c r="J61" s="151" t="s">
        <v>131</v>
      </c>
      <c r="K61" s="158" t="s">
        <v>383</v>
      </c>
      <c r="L61" s="153" t="s">
        <v>206</v>
      </c>
      <c r="M61" s="390">
        <v>3</v>
      </c>
      <c r="N61" s="67">
        <v>44483</v>
      </c>
      <c r="O61" s="228"/>
      <c r="P61" s="104" t="s">
        <v>73</v>
      </c>
      <c r="Q61" s="56"/>
      <c r="R61" s="56"/>
      <c r="S61" s="56"/>
      <c r="T61" s="40"/>
      <c r="U61" s="43"/>
      <c r="V61" s="50"/>
      <c r="X61" s="35"/>
    </row>
    <row r="62" spans="2:24" x14ac:dyDescent="0.25">
      <c r="B62" s="405"/>
      <c r="C62" s="89">
        <v>1</v>
      </c>
      <c r="D62" s="203" t="s">
        <v>128</v>
      </c>
      <c r="E62" s="204"/>
      <c r="F62" s="204"/>
      <c r="G62" s="204"/>
      <c r="H62" s="99" t="str">
        <f>CONCATENATE($L$7,"-",LEFT(C62,3),"-",LEFT(D62,3),LEFT(I62,3),"-",LEFT(J62,6),"-",2)</f>
        <v>CGK-1-ACDAI-2 PK-2</v>
      </c>
      <c r="I62" s="149" t="s">
        <v>137</v>
      </c>
      <c r="J62" s="151" t="s">
        <v>131</v>
      </c>
      <c r="K62" s="158" t="s">
        <v>424</v>
      </c>
      <c r="L62" s="153" t="s">
        <v>206</v>
      </c>
      <c r="M62" s="391"/>
      <c r="N62" s="67">
        <v>44483</v>
      </c>
      <c r="O62" s="228"/>
      <c r="P62" s="104"/>
      <c r="Q62" s="56"/>
      <c r="R62" s="56"/>
      <c r="S62" s="56"/>
      <c r="T62" s="40"/>
      <c r="U62" s="43"/>
      <c r="V62" s="50"/>
      <c r="X62" s="35"/>
    </row>
    <row r="63" spans="2:24" x14ac:dyDescent="0.25">
      <c r="B63" s="405"/>
      <c r="C63" s="89">
        <v>1</v>
      </c>
      <c r="D63" s="203" t="s">
        <v>128</v>
      </c>
      <c r="E63" s="204"/>
      <c r="F63" s="204"/>
      <c r="G63" s="204"/>
      <c r="H63" s="99" t="str">
        <f>CONCATENATE($L$7,"-",LEFT(C63,3),"-",LEFT(D63,3),LEFT(I63,3),"-",LEFT(J63,6),"-",3)</f>
        <v>CGK-1-ACDAI-2 PK-3</v>
      </c>
      <c r="I63" s="149" t="s">
        <v>137</v>
      </c>
      <c r="J63" s="151" t="s">
        <v>131</v>
      </c>
      <c r="K63" s="158" t="s">
        <v>429</v>
      </c>
      <c r="L63" s="153"/>
      <c r="M63" s="392"/>
      <c r="N63" s="67">
        <v>44483</v>
      </c>
      <c r="O63" s="228"/>
      <c r="P63" s="104"/>
      <c r="Q63" s="56"/>
      <c r="R63" s="56"/>
      <c r="S63" s="56"/>
      <c r="T63" s="40"/>
      <c r="U63" s="43"/>
      <c r="V63" s="50"/>
      <c r="X63" s="35"/>
    </row>
    <row r="64" spans="2:24" x14ac:dyDescent="0.25">
      <c r="B64" s="405"/>
      <c r="C64" s="89">
        <v>1</v>
      </c>
      <c r="D64" s="203" t="s">
        <v>128</v>
      </c>
      <c r="E64" s="204"/>
      <c r="F64" s="204"/>
      <c r="G64" s="204"/>
      <c r="H64" s="99" t="str">
        <f>CONCATENATE($L$7,"-",LEFT(C64,3),"-",LEFT(D64,3),LEFT(I64,3),"-",LEFT(J64,6),"-",1)</f>
        <v>CGK-1-ACDAI-5 PK-1</v>
      </c>
      <c r="I64" s="149" t="s">
        <v>137</v>
      </c>
      <c r="J64" s="151" t="s">
        <v>132</v>
      </c>
      <c r="K64" s="158" t="s">
        <v>422</v>
      </c>
      <c r="L64" s="153" t="s">
        <v>206</v>
      </c>
      <c r="M64" s="390">
        <v>3</v>
      </c>
      <c r="N64" s="67">
        <v>44483</v>
      </c>
      <c r="O64" s="228"/>
      <c r="P64" s="104" t="s">
        <v>73</v>
      </c>
      <c r="Q64" s="56"/>
      <c r="R64" s="56"/>
      <c r="S64" s="56"/>
      <c r="T64" s="40"/>
      <c r="U64" s="43"/>
      <c r="V64" s="50"/>
      <c r="X64" s="35"/>
    </row>
    <row r="65" spans="2:24" x14ac:dyDescent="0.25">
      <c r="B65" s="405"/>
      <c r="C65" s="89">
        <v>1</v>
      </c>
      <c r="D65" s="203" t="s">
        <v>128</v>
      </c>
      <c r="E65" s="204"/>
      <c r="F65" s="204"/>
      <c r="G65" s="204"/>
      <c r="H65" s="99" t="str">
        <f>CONCATENATE($L$7,"-",LEFT(C65,3),"-",LEFT(D65,3),LEFT(I65,3),"-",LEFT(J65,6),"-",2)</f>
        <v>CGK-1-ACDAI-5 PK-2</v>
      </c>
      <c r="I65" s="149" t="s">
        <v>137</v>
      </c>
      <c r="J65" s="151" t="s">
        <v>132</v>
      </c>
      <c r="K65" s="158" t="s">
        <v>422</v>
      </c>
      <c r="L65" s="153" t="s">
        <v>206</v>
      </c>
      <c r="M65" s="391"/>
      <c r="N65" s="67">
        <v>44483</v>
      </c>
      <c r="O65" s="228"/>
      <c r="P65" s="104"/>
      <c r="Q65" s="56"/>
      <c r="R65" s="56"/>
      <c r="S65" s="56"/>
      <c r="T65" s="40"/>
      <c r="U65" s="43"/>
      <c r="V65" s="50"/>
      <c r="X65" s="35"/>
    </row>
    <row r="66" spans="2:24" x14ac:dyDescent="0.25">
      <c r="B66" s="405"/>
      <c r="C66" s="89">
        <v>1</v>
      </c>
      <c r="D66" s="203" t="s">
        <v>128</v>
      </c>
      <c r="E66" s="204"/>
      <c r="F66" s="204"/>
      <c r="G66" s="204"/>
      <c r="H66" s="99" t="str">
        <f>CONCATENATE($L$7,"-",LEFT(C66,3),"-",LEFT(D66,3),LEFT(I66,3),"-",LEFT(J66,6),"-",3)</f>
        <v>CGK-1-ACDAI-5 PK-3</v>
      </c>
      <c r="I66" s="149" t="s">
        <v>137</v>
      </c>
      <c r="J66" s="151" t="s">
        <v>132</v>
      </c>
      <c r="K66" s="158" t="s">
        <v>423</v>
      </c>
      <c r="L66" s="153" t="s">
        <v>206</v>
      </c>
      <c r="M66" s="392"/>
      <c r="N66" s="67">
        <v>44483</v>
      </c>
      <c r="O66" s="228"/>
      <c r="P66" s="104"/>
      <c r="Q66" s="56"/>
      <c r="R66" s="56"/>
      <c r="S66" s="56"/>
      <c r="T66" s="40"/>
      <c r="U66" s="43"/>
      <c r="V66" s="50"/>
      <c r="X66" s="35"/>
    </row>
    <row r="67" spans="2:24" ht="13.5" customHeight="1" x14ac:dyDescent="0.25">
      <c r="B67" s="405"/>
      <c r="C67" s="89">
        <v>1</v>
      </c>
      <c r="D67" s="203" t="s">
        <v>297</v>
      </c>
      <c r="E67" s="204"/>
      <c r="F67" s="204"/>
      <c r="G67" s="204"/>
      <c r="H67" s="99" t="str">
        <f>CONCATENATE($L$7,"-",LEFT(C67,3),"-",LEFT(D67,3),LEFT(I67,3),"-",LEFT(J67,3),"-",1)</f>
        <v>CGK-1-VERBLI-SMA-1</v>
      </c>
      <c r="I67" s="149" t="s">
        <v>224</v>
      </c>
      <c r="J67" s="151" t="s">
        <v>138</v>
      </c>
      <c r="K67" s="158" t="s">
        <v>432</v>
      </c>
      <c r="L67" s="153" t="s">
        <v>206</v>
      </c>
      <c r="M67" s="390">
        <f>'[1]TOTAL R. ATAS'!$F$65</f>
        <v>8</v>
      </c>
      <c r="N67" s="67">
        <v>44483</v>
      </c>
      <c r="O67" s="228"/>
      <c r="P67" s="105" t="s">
        <v>74</v>
      </c>
      <c r="Q67" s="57"/>
      <c r="R67" s="57"/>
      <c r="S67" s="57"/>
      <c r="T67" s="41"/>
      <c r="U67" s="37"/>
      <c r="V67" s="51"/>
      <c r="X67" s="35"/>
    </row>
    <row r="68" spans="2:24" ht="13.5" customHeight="1" x14ac:dyDescent="0.25">
      <c r="B68" s="405"/>
      <c r="C68" s="89">
        <v>1</v>
      </c>
      <c r="D68" s="203" t="s">
        <v>297</v>
      </c>
      <c r="E68" s="204"/>
      <c r="F68" s="204"/>
      <c r="G68" s="204"/>
      <c r="H68" s="99" t="str">
        <f>CONCATENATE($L$7,"-",LEFT(C68,3),"-",LEFT(D68,3),LEFT(I68,3),"-",LEFT(J68,3),"-",2)</f>
        <v>CGK-1-VERBLI-SMA-2</v>
      </c>
      <c r="I68" s="149" t="s">
        <v>224</v>
      </c>
      <c r="J68" s="151" t="s">
        <v>138</v>
      </c>
      <c r="K68" s="158" t="s">
        <v>432</v>
      </c>
      <c r="L68" s="153" t="s">
        <v>206</v>
      </c>
      <c r="M68" s="391"/>
      <c r="N68" s="67">
        <v>44483</v>
      </c>
      <c r="O68" s="228"/>
      <c r="P68" s="105"/>
      <c r="Q68" s="57"/>
      <c r="R68" s="57"/>
      <c r="S68" s="57"/>
      <c r="T68" s="41"/>
      <c r="U68" s="37"/>
      <c r="V68" s="51"/>
      <c r="X68" s="35"/>
    </row>
    <row r="69" spans="2:24" ht="13.5" customHeight="1" x14ac:dyDescent="0.25">
      <c r="B69" s="405"/>
      <c r="C69" s="89">
        <v>1</v>
      </c>
      <c r="D69" s="203" t="s">
        <v>297</v>
      </c>
      <c r="E69" s="204"/>
      <c r="F69" s="204"/>
      <c r="G69" s="204"/>
      <c r="H69" s="99" t="str">
        <f>CONCATENATE($L$7,"-",LEFT(C69,3),"-",LEFT(D69,3),LEFT(I69,3),"-",LEFT(J69,3),"-",3)</f>
        <v>CGK-1-VERBLI-SMA-3</v>
      </c>
      <c r="I69" s="149" t="s">
        <v>224</v>
      </c>
      <c r="J69" s="151" t="s">
        <v>138</v>
      </c>
      <c r="K69" s="158" t="s">
        <v>355</v>
      </c>
      <c r="L69" s="153" t="s">
        <v>206</v>
      </c>
      <c r="M69" s="391"/>
      <c r="N69" s="67">
        <v>44483</v>
      </c>
      <c r="O69" s="228"/>
      <c r="P69" s="105"/>
      <c r="Q69" s="57"/>
      <c r="R69" s="57"/>
      <c r="S69" s="57"/>
      <c r="T69" s="41"/>
      <c r="U69" s="37"/>
      <c r="V69" s="51"/>
      <c r="X69" s="35"/>
    </row>
    <row r="70" spans="2:24" ht="13.5" customHeight="1" x14ac:dyDescent="0.25">
      <c r="B70" s="405"/>
      <c r="C70" s="89">
        <v>1</v>
      </c>
      <c r="D70" s="203" t="s">
        <v>297</v>
      </c>
      <c r="E70" s="204"/>
      <c r="F70" s="204"/>
      <c r="G70" s="204"/>
      <c r="H70" s="99" t="str">
        <f>CONCATENATE($L$7,"-",LEFT(C70,3),"-",LEFT(D70,3),LEFT(I70,3),"-",LEFT(J70,3),"-",4)</f>
        <v>CGK-1-VERBLI-SMA-4</v>
      </c>
      <c r="I70" s="149" t="s">
        <v>224</v>
      </c>
      <c r="J70" s="151" t="s">
        <v>138</v>
      </c>
      <c r="K70" s="158" t="s">
        <v>355</v>
      </c>
      <c r="L70" s="153" t="s">
        <v>206</v>
      </c>
      <c r="M70" s="391"/>
      <c r="N70" s="67">
        <v>44483</v>
      </c>
      <c r="O70" s="228"/>
      <c r="P70" s="105"/>
      <c r="Q70" s="57"/>
      <c r="R70" s="57"/>
      <c r="S70" s="57"/>
      <c r="T70" s="41"/>
      <c r="U70" s="37"/>
      <c r="V70" s="51"/>
      <c r="X70" s="35"/>
    </row>
    <row r="71" spans="2:24" ht="13.5" customHeight="1" x14ac:dyDescent="0.25">
      <c r="B71" s="405"/>
      <c r="C71" s="89">
        <v>1</v>
      </c>
      <c r="D71" s="203" t="s">
        <v>297</v>
      </c>
      <c r="E71" s="204"/>
      <c r="F71" s="204"/>
      <c r="G71" s="204"/>
      <c r="H71" s="99" t="str">
        <f>CONCATENATE($L$7,"-",LEFT(C71,3),"-",LEFT(D71,3),LEFT(I71,3),"-",LEFT(J71,3),"-",5)</f>
        <v>CGK-1-VERBLI-SMA-5</v>
      </c>
      <c r="I71" s="149" t="s">
        <v>224</v>
      </c>
      <c r="J71" s="151" t="s">
        <v>138</v>
      </c>
      <c r="K71" s="158" t="s">
        <v>424</v>
      </c>
      <c r="L71" s="153" t="s">
        <v>206</v>
      </c>
      <c r="M71" s="391"/>
      <c r="N71" s="67">
        <v>44483</v>
      </c>
      <c r="O71" s="228"/>
      <c r="P71" s="105"/>
      <c r="Q71" s="57"/>
      <c r="R71" s="57"/>
      <c r="S71" s="57"/>
      <c r="T71" s="41"/>
      <c r="U71" s="37"/>
      <c r="V71" s="51"/>
      <c r="X71" s="35"/>
    </row>
    <row r="72" spans="2:24" ht="13.5" customHeight="1" x14ac:dyDescent="0.25">
      <c r="B72" s="405"/>
      <c r="C72" s="89">
        <v>1</v>
      </c>
      <c r="D72" s="203" t="s">
        <v>297</v>
      </c>
      <c r="E72" s="204"/>
      <c r="F72" s="204"/>
      <c r="G72" s="204"/>
      <c r="H72" s="99" t="str">
        <f>CONCATENATE($L$7,"-",LEFT(C72,3),"-",LEFT(D72,3),LEFT(I72,3),"-",LEFT(J72,3),"-",6)</f>
        <v>CGK-1-VERBLI-SMA-6</v>
      </c>
      <c r="I72" s="149" t="s">
        <v>224</v>
      </c>
      <c r="J72" s="151" t="s">
        <v>138</v>
      </c>
      <c r="K72" s="158" t="s">
        <v>424</v>
      </c>
      <c r="L72" s="153" t="s">
        <v>206</v>
      </c>
      <c r="M72" s="391"/>
      <c r="N72" s="67">
        <v>44483</v>
      </c>
      <c r="O72" s="228"/>
      <c r="P72" s="105"/>
      <c r="Q72" s="57"/>
      <c r="R72" s="57"/>
      <c r="S72" s="57"/>
      <c r="T72" s="41"/>
      <c r="U72" s="37"/>
      <c r="V72" s="51"/>
      <c r="X72" s="35"/>
    </row>
    <row r="73" spans="2:24" ht="13.5" customHeight="1" x14ac:dyDescent="0.25">
      <c r="B73" s="405"/>
      <c r="C73" s="89">
        <v>1</v>
      </c>
      <c r="D73" s="203" t="s">
        <v>297</v>
      </c>
      <c r="E73" s="204"/>
      <c r="F73" s="204"/>
      <c r="G73" s="204"/>
      <c r="H73" s="99" t="str">
        <f>CONCATENATE($L$7,"-",LEFT(C73,3),"-",LEFT(D73,3),LEFT(I73,3),"-",LEFT(J73,3),"-",7)</f>
        <v>CGK-1-VERBLI-SMA-7</v>
      </c>
      <c r="I73" s="149" t="s">
        <v>224</v>
      </c>
      <c r="J73" s="151" t="s">
        <v>138</v>
      </c>
      <c r="K73" s="158" t="s">
        <v>424</v>
      </c>
      <c r="L73" s="153" t="s">
        <v>206</v>
      </c>
      <c r="M73" s="391"/>
      <c r="N73" s="67">
        <v>44483</v>
      </c>
      <c r="O73" s="228"/>
      <c r="P73" s="105"/>
      <c r="Q73" s="57"/>
      <c r="R73" s="57"/>
      <c r="S73" s="57"/>
      <c r="T73" s="41"/>
      <c r="U73" s="37"/>
      <c r="V73" s="51"/>
      <c r="X73" s="35"/>
    </row>
    <row r="74" spans="2:24" ht="13.5" customHeight="1" x14ac:dyDescent="0.25">
      <c r="B74" s="405"/>
      <c r="C74" s="89">
        <v>1</v>
      </c>
      <c r="D74" s="203" t="s">
        <v>297</v>
      </c>
      <c r="E74" s="204"/>
      <c r="F74" s="204"/>
      <c r="G74" s="204"/>
      <c r="H74" s="99" t="str">
        <f>CONCATENATE($L$7,"-",LEFT(C74,3),"-",LEFT(D74,3),LEFT(I74,3),"-",LEFT(J74,3),"-",8)</f>
        <v>CGK-1-VERBLI-SMA-8</v>
      </c>
      <c r="I74" s="149" t="s">
        <v>224</v>
      </c>
      <c r="J74" s="151" t="s">
        <v>138</v>
      </c>
      <c r="K74" s="158" t="s">
        <v>433</v>
      </c>
      <c r="L74" s="153" t="s">
        <v>206</v>
      </c>
      <c r="M74" s="392"/>
      <c r="N74" s="67">
        <v>44483</v>
      </c>
      <c r="O74" s="228"/>
      <c r="P74" s="105"/>
      <c r="Q74" s="57"/>
      <c r="R74" s="57"/>
      <c r="S74" s="57"/>
      <c r="T74" s="41"/>
      <c r="U74" s="37"/>
      <c r="V74" s="51"/>
      <c r="X74" s="35"/>
    </row>
    <row r="75" spans="2:24" x14ac:dyDescent="0.25">
      <c r="B75" s="405"/>
      <c r="C75" s="89">
        <v>1</v>
      </c>
      <c r="D75" s="203" t="s">
        <v>297</v>
      </c>
      <c r="E75" s="204"/>
      <c r="F75" s="204"/>
      <c r="G75" s="204"/>
      <c r="H75" s="99" t="str">
        <f>CONCATENATE($L$7,"-",LEFT(C75,3),"-",LEFT(D75,3),LEFT(I75,3),"-",LEFT(J75,3),"-",1)</f>
        <v>CGK-1-VERBLI-LAR-1</v>
      </c>
      <c r="I75" s="149" t="s">
        <v>224</v>
      </c>
      <c r="J75" s="151" t="s">
        <v>139</v>
      </c>
      <c r="K75" s="158" t="s">
        <v>431</v>
      </c>
      <c r="L75" s="153" t="s">
        <v>206</v>
      </c>
      <c r="M75" s="390">
        <f>'[1]TOTAL R. ATAS'!$F$64</f>
        <v>2</v>
      </c>
      <c r="N75" s="67">
        <v>44483</v>
      </c>
      <c r="O75" s="228"/>
      <c r="P75" s="105" t="s">
        <v>74</v>
      </c>
      <c r="Q75" s="57"/>
      <c r="R75" s="57"/>
      <c r="S75" s="57"/>
      <c r="T75" s="41"/>
      <c r="U75" s="37"/>
      <c r="V75" s="51"/>
      <c r="X75" s="35"/>
    </row>
    <row r="76" spans="2:24" x14ac:dyDescent="0.25">
      <c r="B76" s="405"/>
      <c r="C76" s="89">
        <v>1</v>
      </c>
      <c r="D76" s="203" t="s">
        <v>297</v>
      </c>
      <c r="E76" s="204"/>
      <c r="F76" s="204"/>
      <c r="G76" s="204"/>
      <c r="H76" s="99" t="str">
        <f>CONCATENATE($L$7,"-",LEFT(C76,3),"-",LEFT(D76,3),LEFT(I76,3),"-",LEFT(J76,3),"-",2)</f>
        <v>CGK-1-VERBLI-LAR-2</v>
      </c>
      <c r="I76" s="149" t="s">
        <v>224</v>
      </c>
      <c r="J76" s="151" t="s">
        <v>139</v>
      </c>
      <c r="K76" s="158" t="s">
        <v>431</v>
      </c>
      <c r="L76" s="153" t="s">
        <v>206</v>
      </c>
      <c r="M76" s="392"/>
      <c r="N76" s="67">
        <v>44483</v>
      </c>
      <c r="O76" s="228"/>
      <c r="P76" s="105"/>
      <c r="Q76" s="57"/>
      <c r="R76" s="57"/>
      <c r="S76" s="57"/>
      <c r="T76" s="41"/>
      <c r="U76" s="37"/>
      <c r="V76" s="51"/>
      <c r="X76" s="35"/>
    </row>
    <row r="77" spans="2:24" s="222" customFormat="1" x14ac:dyDescent="0.25">
      <c r="B77" s="405"/>
      <c r="C77" s="299">
        <v>1</v>
      </c>
      <c r="D77" s="208" t="s">
        <v>225</v>
      </c>
      <c r="E77" s="240"/>
      <c r="F77" s="240"/>
      <c r="G77" s="240"/>
      <c r="H77" s="209" t="str">
        <f t="shared" ref="H77:H84" si="2">CONCATENATE($L$7,"-",LEFT(C77,3),"-",LEFT(D77,3),LEFT(I77,3),"-",LEFT(J77,3))</f>
        <v>CGK-1-LAMPHI-NEO</v>
      </c>
      <c r="I77" s="210" t="s">
        <v>226</v>
      </c>
      <c r="J77" s="211" t="s">
        <v>140</v>
      </c>
      <c r="K77" s="359" t="s">
        <v>359</v>
      </c>
      <c r="L77" s="325" t="s">
        <v>206</v>
      </c>
      <c r="M77" s="239">
        <v>59</v>
      </c>
      <c r="N77" s="67">
        <v>44483</v>
      </c>
      <c r="O77" s="230"/>
      <c r="P77" s="311" t="s">
        <v>74</v>
      </c>
      <c r="Q77" s="312"/>
      <c r="R77" s="312"/>
      <c r="S77" s="312"/>
      <c r="T77" s="220"/>
      <c r="U77" s="219"/>
      <c r="V77" s="221"/>
      <c r="X77" s="223"/>
    </row>
    <row r="78" spans="2:24" s="222" customFormat="1" x14ac:dyDescent="0.25">
      <c r="B78" s="405"/>
      <c r="C78" s="299">
        <v>1</v>
      </c>
      <c r="D78" s="208" t="s">
        <v>225</v>
      </c>
      <c r="E78" s="240"/>
      <c r="F78" s="240"/>
      <c r="G78" s="240"/>
      <c r="H78" s="209" t="str">
        <f t="shared" si="2"/>
        <v>CGK-1-LAMPHI-BUL</v>
      </c>
      <c r="I78" s="210" t="s">
        <v>226</v>
      </c>
      <c r="J78" s="211" t="s">
        <v>141</v>
      </c>
      <c r="K78" s="359" t="s">
        <v>359</v>
      </c>
      <c r="L78" s="325" t="s">
        <v>206</v>
      </c>
      <c r="M78" s="239">
        <v>99</v>
      </c>
      <c r="N78" s="67">
        <v>44483</v>
      </c>
      <c r="O78" s="230"/>
      <c r="P78" s="311" t="s">
        <v>74</v>
      </c>
      <c r="Q78" s="312"/>
      <c r="R78" s="312"/>
      <c r="S78" s="312"/>
      <c r="T78" s="220"/>
      <c r="U78" s="219"/>
      <c r="V78" s="221"/>
      <c r="X78" s="223"/>
    </row>
    <row r="79" spans="2:24" s="222" customFormat="1" x14ac:dyDescent="0.25">
      <c r="B79" s="405"/>
      <c r="C79" s="299">
        <v>1</v>
      </c>
      <c r="D79" s="208" t="s">
        <v>228</v>
      </c>
      <c r="E79" s="240"/>
      <c r="F79" s="240"/>
      <c r="G79" s="240"/>
      <c r="H79" s="209" t="str">
        <f t="shared" si="2"/>
        <v>CGK-1-ELEELE-SOC</v>
      </c>
      <c r="I79" s="326" t="s">
        <v>227</v>
      </c>
      <c r="J79" s="327" t="s">
        <v>229</v>
      </c>
      <c r="K79" s="359" t="s">
        <v>359</v>
      </c>
      <c r="L79" s="325" t="s">
        <v>206</v>
      </c>
      <c r="M79" s="239">
        <v>57</v>
      </c>
      <c r="N79" s="67">
        <v>44483</v>
      </c>
      <c r="O79" s="230"/>
      <c r="P79" s="311" t="s">
        <v>74</v>
      </c>
      <c r="Q79" s="312"/>
      <c r="R79" s="312"/>
      <c r="S79" s="312"/>
      <c r="T79" s="220"/>
      <c r="U79" s="219"/>
      <c r="V79" s="221"/>
      <c r="X79" s="223"/>
    </row>
    <row r="80" spans="2:24" s="222" customFormat="1" x14ac:dyDescent="0.25">
      <c r="B80" s="405"/>
      <c r="C80" s="299">
        <v>1</v>
      </c>
      <c r="D80" s="305" t="s">
        <v>230</v>
      </c>
      <c r="E80" s="328"/>
      <c r="F80" s="328"/>
      <c r="G80" s="328"/>
      <c r="H80" s="209" t="str">
        <f t="shared" si="2"/>
        <v>CGK-1-SWISIN-SIN</v>
      </c>
      <c r="I80" s="210" t="s">
        <v>142</v>
      </c>
      <c r="J80" s="211" t="s">
        <v>142</v>
      </c>
      <c r="K80" s="359" t="s">
        <v>359</v>
      </c>
      <c r="L80" s="325" t="s">
        <v>206</v>
      </c>
      <c r="M80" s="239">
        <v>16</v>
      </c>
      <c r="N80" s="67">
        <v>44483</v>
      </c>
      <c r="O80" s="230"/>
      <c r="P80" s="311" t="s">
        <v>74</v>
      </c>
      <c r="Q80" s="312"/>
      <c r="R80" s="312"/>
      <c r="S80" s="312"/>
      <c r="T80" s="220"/>
      <c r="U80" s="219"/>
      <c r="V80" s="221"/>
      <c r="X80" s="223"/>
    </row>
    <row r="81" spans="2:24" s="222" customFormat="1" x14ac:dyDescent="0.25">
      <c r="B81" s="405"/>
      <c r="C81" s="299">
        <v>1</v>
      </c>
      <c r="D81" s="305" t="s">
        <v>230</v>
      </c>
      <c r="E81" s="328"/>
      <c r="F81" s="328"/>
      <c r="G81" s="328"/>
      <c r="H81" s="209" t="str">
        <f t="shared" si="2"/>
        <v>CGK-1-SWIDOU-DOU</v>
      </c>
      <c r="I81" s="210" t="s">
        <v>143</v>
      </c>
      <c r="J81" s="211" t="s">
        <v>143</v>
      </c>
      <c r="K81" s="359" t="s">
        <v>359</v>
      </c>
      <c r="L81" s="325" t="s">
        <v>206</v>
      </c>
      <c r="M81" s="239">
        <v>19</v>
      </c>
      <c r="N81" s="67">
        <v>44483</v>
      </c>
      <c r="O81" s="230"/>
      <c r="P81" s="311" t="s">
        <v>74</v>
      </c>
      <c r="Q81" s="312"/>
      <c r="R81" s="312"/>
      <c r="S81" s="312"/>
      <c r="T81" s="220"/>
      <c r="U81" s="219"/>
      <c r="V81" s="221"/>
      <c r="X81" s="223"/>
    </row>
    <row r="82" spans="2:24" x14ac:dyDescent="0.25">
      <c r="B82" s="405"/>
      <c r="C82" s="89">
        <v>1</v>
      </c>
      <c r="D82" s="203" t="s">
        <v>198</v>
      </c>
      <c r="E82" s="204"/>
      <c r="F82" s="204"/>
      <c r="G82" s="204"/>
      <c r="H82" s="99" t="str">
        <f t="shared" si="2"/>
        <v>CGK-1-RAKWAL-TRI</v>
      </c>
      <c r="I82" s="149" t="s">
        <v>199</v>
      </c>
      <c r="J82" s="151" t="s">
        <v>231</v>
      </c>
      <c r="K82" s="359" t="s">
        <v>359</v>
      </c>
      <c r="L82" s="153" t="s">
        <v>206</v>
      </c>
      <c r="M82" s="238">
        <f>'[1]TOTAL R. ATAS'!$F$61</f>
        <v>0</v>
      </c>
      <c r="N82" s="67">
        <v>44483</v>
      </c>
      <c r="O82" s="228"/>
      <c r="P82" s="105" t="s">
        <v>75</v>
      </c>
      <c r="Q82" s="57"/>
      <c r="R82" s="57"/>
      <c r="S82" s="57"/>
      <c r="T82" s="41"/>
      <c r="U82" s="37"/>
      <c r="V82" s="51"/>
      <c r="X82" s="35"/>
    </row>
    <row r="83" spans="2:24" x14ac:dyDescent="0.25">
      <c r="B83" s="405"/>
      <c r="C83" s="89">
        <v>1</v>
      </c>
      <c r="D83" s="203" t="s">
        <v>198</v>
      </c>
      <c r="E83" s="204"/>
      <c r="F83" s="204"/>
      <c r="G83" s="204"/>
      <c r="H83" s="99" t="str">
        <f t="shared" si="2"/>
        <v>CGK-1-RAKWAL-HEX</v>
      </c>
      <c r="I83" s="149" t="s">
        <v>199</v>
      </c>
      <c r="J83" s="151" t="s">
        <v>232</v>
      </c>
      <c r="K83" s="359" t="s">
        <v>359</v>
      </c>
      <c r="L83" s="153" t="s">
        <v>206</v>
      </c>
      <c r="M83" s="238">
        <f>'[1]TOTAL R. ATAS'!$F$60</f>
        <v>0</v>
      </c>
      <c r="N83" s="67">
        <v>44483</v>
      </c>
      <c r="O83" s="228"/>
      <c r="P83" s="105" t="s">
        <v>75</v>
      </c>
      <c r="Q83" s="57"/>
      <c r="R83" s="57"/>
      <c r="S83" s="57"/>
      <c r="T83" s="41"/>
      <c r="U83" s="37"/>
      <c r="V83" s="51"/>
      <c r="X83" s="35"/>
    </row>
    <row r="84" spans="2:24" x14ac:dyDescent="0.25">
      <c r="B84" s="405"/>
      <c r="C84" s="89">
        <v>1</v>
      </c>
      <c r="D84" s="203" t="s">
        <v>198</v>
      </c>
      <c r="E84" s="204"/>
      <c r="F84" s="204"/>
      <c r="G84" s="204"/>
      <c r="H84" s="99" t="str">
        <f t="shared" si="2"/>
        <v>CGK-1-RAKWAL-REC</v>
      </c>
      <c r="I84" s="149" t="s">
        <v>199</v>
      </c>
      <c r="J84" s="151" t="s">
        <v>233</v>
      </c>
      <c r="K84" s="359" t="s">
        <v>359</v>
      </c>
      <c r="L84" s="153" t="s">
        <v>206</v>
      </c>
      <c r="M84" s="238">
        <f>'[1]TOTAL R. ATAS'!$F$59</f>
        <v>0</v>
      </c>
      <c r="N84" s="67">
        <v>44483</v>
      </c>
      <c r="O84" s="228"/>
      <c r="P84" s="105" t="s">
        <v>75</v>
      </c>
      <c r="Q84" s="57"/>
      <c r="R84" s="57"/>
      <c r="S84" s="57"/>
      <c r="T84" s="41"/>
      <c r="U84" s="37"/>
      <c r="V84" s="51"/>
      <c r="X84" s="35"/>
    </row>
    <row r="85" spans="2:24" x14ac:dyDescent="0.25">
      <c r="B85" s="406"/>
      <c r="C85" s="89">
        <v>1</v>
      </c>
      <c r="D85" s="204" t="s">
        <v>145</v>
      </c>
      <c r="E85" s="204"/>
      <c r="F85" s="204"/>
      <c r="G85" s="204"/>
      <c r="H85" s="99" t="str">
        <f>CONCATENATE($L$7,"-",LEFT(C85,3),"-",LEFT(D85,3),LEFT(I85,3),"-",LEFT(J85,3),"-",1)</f>
        <v>CGK-1-JAM-DIN-1</v>
      </c>
      <c r="I85" s="156"/>
      <c r="J85" s="157" t="s">
        <v>197</v>
      </c>
      <c r="K85" s="157" t="s">
        <v>434</v>
      </c>
      <c r="L85" s="153" t="s">
        <v>206</v>
      </c>
      <c r="M85" s="390">
        <v>15</v>
      </c>
      <c r="N85" s="67">
        <v>44483</v>
      </c>
      <c r="O85" s="228"/>
      <c r="P85" s="105" t="s">
        <v>74</v>
      </c>
      <c r="Q85" s="57"/>
      <c r="R85" s="57"/>
      <c r="S85" s="57"/>
      <c r="T85" s="41"/>
      <c r="U85" s="37"/>
      <c r="V85" s="51"/>
      <c r="X85" s="35"/>
    </row>
    <row r="86" spans="2:24" x14ac:dyDescent="0.25">
      <c r="B86" s="244"/>
      <c r="C86" s="89">
        <v>1</v>
      </c>
      <c r="D86" s="204" t="s">
        <v>145</v>
      </c>
      <c r="E86" s="204"/>
      <c r="F86" s="204"/>
      <c r="G86" s="204"/>
      <c r="H86" s="99" t="str">
        <f>CONCATENATE($L$7,"-",LEFT(C86,3),"-",LEFT(D86,3),LEFT(I86,3),"-",LEFT(J86,3),"-",2)</f>
        <v>CGK-1-JAM-DIN-2</v>
      </c>
      <c r="I86" s="156"/>
      <c r="J86" s="157" t="s">
        <v>197</v>
      </c>
      <c r="K86" s="157" t="s">
        <v>435</v>
      </c>
      <c r="L86" s="153" t="s">
        <v>206</v>
      </c>
      <c r="M86" s="391"/>
      <c r="N86" s="67">
        <v>44483</v>
      </c>
      <c r="O86" s="229"/>
      <c r="P86" s="288"/>
      <c r="Q86" s="289"/>
      <c r="R86" s="289"/>
      <c r="S86" s="289"/>
      <c r="T86" s="44"/>
      <c r="U86" s="297"/>
      <c r="V86" s="298"/>
      <c r="X86" s="35"/>
    </row>
    <row r="87" spans="2:24" x14ac:dyDescent="0.25">
      <c r="B87" s="244"/>
      <c r="C87" s="89">
        <v>1</v>
      </c>
      <c r="D87" s="204" t="s">
        <v>145</v>
      </c>
      <c r="E87" s="204"/>
      <c r="F87" s="204"/>
      <c r="G87" s="204"/>
      <c r="H87" s="99" t="str">
        <f>CONCATENATE($L$7,"-",LEFT(C87,3),"-",LEFT(D87,3),LEFT(I87,3),"-",LEFT(J87,3),"-",3)</f>
        <v>CGK-1-JAM-DIN-3</v>
      </c>
      <c r="I87" s="156"/>
      <c r="J87" s="157" t="s">
        <v>197</v>
      </c>
      <c r="K87" s="157" t="s">
        <v>428</v>
      </c>
      <c r="L87" s="153" t="s">
        <v>206</v>
      </c>
      <c r="M87" s="391"/>
      <c r="N87" s="67">
        <v>44483</v>
      </c>
      <c r="O87" s="229"/>
      <c r="P87" s="288"/>
      <c r="Q87" s="289"/>
      <c r="R87" s="289"/>
      <c r="S87" s="289"/>
      <c r="T87" s="44"/>
      <c r="U87" s="297"/>
      <c r="V87" s="298"/>
      <c r="X87" s="35"/>
    </row>
    <row r="88" spans="2:24" x14ac:dyDescent="0.25">
      <c r="B88" s="244"/>
      <c r="C88" s="89">
        <v>1</v>
      </c>
      <c r="D88" s="204" t="s">
        <v>145</v>
      </c>
      <c r="E88" s="204"/>
      <c r="F88" s="204"/>
      <c r="G88" s="204"/>
      <c r="H88" s="99" t="str">
        <f>CONCATENATE($L$7,"-",LEFT(C88,3),"-",LEFT(D88,3),LEFT(I88,3),"-",LEFT(J88,3),"-",4)</f>
        <v>CGK-1-JAM-DIN-4</v>
      </c>
      <c r="I88" s="156"/>
      <c r="J88" s="157" t="s">
        <v>197</v>
      </c>
      <c r="K88" s="157" t="s">
        <v>430</v>
      </c>
      <c r="L88" s="153" t="s">
        <v>206</v>
      </c>
      <c r="M88" s="391"/>
      <c r="N88" s="67">
        <v>44483</v>
      </c>
      <c r="O88" s="229"/>
      <c r="P88" s="288"/>
      <c r="Q88" s="289"/>
      <c r="R88" s="289"/>
      <c r="S88" s="289"/>
      <c r="T88" s="44"/>
      <c r="U88" s="297"/>
      <c r="V88" s="298"/>
      <c r="X88" s="35"/>
    </row>
    <row r="89" spans="2:24" x14ac:dyDescent="0.25">
      <c r="B89" s="244"/>
      <c r="C89" s="89">
        <v>1</v>
      </c>
      <c r="D89" s="204" t="s">
        <v>145</v>
      </c>
      <c r="E89" s="204"/>
      <c r="F89" s="204"/>
      <c r="G89" s="204"/>
      <c r="H89" s="99" t="str">
        <f>CONCATENATE($L$7,"-",LEFT(C89,3),"-",LEFT(D89,3),LEFT(I89,3),"-",LEFT(J89,3),"-",5)</f>
        <v>CGK-1-JAM-DIN-5</v>
      </c>
      <c r="I89" s="156"/>
      <c r="J89" s="157" t="s">
        <v>197</v>
      </c>
      <c r="K89" s="157" t="s">
        <v>429</v>
      </c>
      <c r="L89" s="153" t="s">
        <v>206</v>
      </c>
      <c r="M89" s="391"/>
      <c r="N89" s="67">
        <v>44483</v>
      </c>
      <c r="O89" s="229"/>
      <c r="P89" s="288"/>
      <c r="Q89" s="289"/>
      <c r="R89" s="289"/>
      <c r="S89" s="289"/>
      <c r="T89" s="44"/>
      <c r="U89" s="297"/>
      <c r="V89" s="298"/>
      <c r="X89" s="35"/>
    </row>
    <row r="90" spans="2:24" x14ac:dyDescent="0.25">
      <c r="B90" s="244"/>
      <c r="C90" s="89">
        <v>1</v>
      </c>
      <c r="D90" s="204" t="s">
        <v>145</v>
      </c>
      <c r="E90" s="204"/>
      <c r="F90" s="204"/>
      <c r="G90" s="204"/>
      <c r="H90" s="99" t="str">
        <f>CONCATENATE($L$7,"-",LEFT(C90,3),"-",LEFT(D90,3),LEFT(I90,3),"-",LEFT(J90,3),"-",6)</f>
        <v>CGK-1-JAM-DIN-6</v>
      </c>
      <c r="I90" s="156"/>
      <c r="J90" s="157" t="s">
        <v>197</v>
      </c>
      <c r="K90" s="157" t="s">
        <v>427</v>
      </c>
      <c r="L90" s="153" t="s">
        <v>206</v>
      </c>
      <c r="M90" s="391"/>
      <c r="N90" s="67">
        <v>44483</v>
      </c>
      <c r="O90" s="229"/>
      <c r="P90" s="288"/>
      <c r="Q90" s="289"/>
      <c r="R90" s="289"/>
      <c r="S90" s="289"/>
      <c r="T90" s="44"/>
      <c r="U90" s="297"/>
      <c r="V90" s="298"/>
      <c r="X90" s="35"/>
    </row>
    <row r="91" spans="2:24" x14ac:dyDescent="0.25">
      <c r="B91" s="244"/>
      <c r="C91" s="89">
        <v>1</v>
      </c>
      <c r="D91" s="204" t="s">
        <v>145</v>
      </c>
      <c r="E91" s="204"/>
      <c r="F91" s="204"/>
      <c r="G91" s="204"/>
      <c r="H91" s="99" t="str">
        <f>CONCATENATE($L$7,"-",LEFT(C91,3),"-",LEFT(D91,3),LEFT(I91,3),"-",LEFT(J91,3),"-",7)</f>
        <v>CGK-1-JAM-DIN-7</v>
      </c>
      <c r="I91" s="156"/>
      <c r="J91" s="157" t="s">
        <v>197</v>
      </c>
      <c r="K91" s="157" t="s">
        <v>436</v>
      </c>
      <c r="L91" s="153" t="s">
        <v>206</v>
      </c>
      <c r="M91" s="391"/>
      <c r="N91" s="67">
        <v>44483</v>
      </c>
      <c r="O91" s="229"/>
      <c r="P91" s="288"/>
      <c r="Q91" s="289"/>
      <c r="R91" s="289"/>
      <c r="S91" s="289"/>
      <c r="T91" s="44"/>
      <c r="U91" s="297"/>
      <c r="V91" s="298"/>
      <c r="X91" s="35"/>
    </row>
    <row r="92" spans="2:24" x14ac:dyDescent="0.25">
      <c r="B92" s="247"/>
      <c r="C92" s="89">
        <v>1</v>
      </c>
      <c r="D92" s="204" t="s">
        <v>145</v>
      </c>
      <c r="E92" s="204"/>
      <c r="F92" s="204"/>
      <c r="G92" s="204"/>
      <c r="H92" s="99" t="str">
        <f>CONCATENATE($L$7,"-",LEFT(C92,3),"-",LEFT(D92,3),LEFT(I92,3),"-",LEFT(J92,3),"-",8)</f>
        <v>CGK-1-JAM-DIN-8</v>
      </c>
      <c r="I92" s="156"/>
      <c r="J92" s="157" t="s">
        <v>197</v>
      </c>
      <c r="K92" s="157" t="s">
        <v>416</v>
      </c>
      <c r="L92" s="153" t="s">
        <v>206</v>
      </c>
      <c r="M92" s="391"/>
      <c r="N92" s="67">
        <v>44483</v>
      </c>
      <c r="O92" s="229"/>
      <c r="P92" s="288"/>
      <c r="Q92" s="289"/>
      <c r="R92" s="289"/>
      <c r="S92" s="289"/>
      <c r="T92" s="44"/>
      <c r="U92" s="297"/>
      <c r="V92" s="298"/>
      <c r="X92" s="35"/>
    </row>
    <row r="93" spans="2:24" x14ac:dyDescent="0.25">
      <c r="B93" s="247"/>
      <c r="C93" s="89">
        <v>1</v>
      </c>
      <c r="D93" s="204" t="s">
        <v>145</v>
      </c>
      <c r="E93" s="204"/>
      <c r="F93" s="204"/>
      <c r="G93" s="204"/>
      <c r="H93" s="99" t="str">
        <f>CONCATENATE($L$7,"-",LEFT(C93,3),"-",LEFT(D93,3),LEFT(I93,3),"-",LEFT(J93,3),"-",9)</f>
        <v>CGK-1-JAM-DIN-9</v>
      </c>
      <c r="I93" s="156"/>
      <c r="J93" s="157" t="s">
        <v>197</v>
      </c>
      <c r="K93" s="157" t="s">
        <v>239</v>
      </c>
      <c r="L93" s="153" t="s">
        <v>206</v>
      </c>
      <c r="M93" s="391"/>
      <c r="N93" s="67">
        <v>44483</v>
      </c>
      <c r="O93" s="229"/>
      <c r="P93" s="288"/>
      <c r="Q93" s="289"/>
      <c r="R93" s="289"/>
      <c r="S93" s="289"/>
      <c r="T93" s="44"/>
      <c r="U93" s="297"/>
      <c r="V93" s="298"/>
      <c r="X93" s="35"/>
    </row>
    <row r="94" spans="2:24" x14ac:dyDescent="0.25">
      <c r="B94" s="247"/>
      <c r="C94" s="89">
        <v>1</v>
      </c>
      <c r="D94" s="204" t="s">
        <v>145</v>
      </c>
      <c r="E94" s="204"/>
      <c r="F94" s="204"/>
      <c r="G94" s="204"/>
      <c r="H94" s="99" t="str">
        <f>CONCATENATE($L$7,"-",LEFT(C94,3),"-",LEFT(D94,3),LEFT(I94,3),"-",LEFT(J94,3),"-",10)</f>
        <v>CGK-1-JAM-DIN-10</v>
      </c>
      <c r="I94" s="156"/>
      <c r="J94" s="157" t="s">
        <v>197</v>
      </c>
      <c r="K94" s="157" t="s">
        <v>433</v>
      </c>
      <c r="L94" s="153" t="s">
        <v>206</v>
      </c>
      <c r="M94" s="391"/>
      <c r="N94" s="67">
        <v>44483</v>
      </c>
      <c r="O94" s="229"/>
      <c r="P94" s="288"/>
      <c r="Q94" s="289"/>
      <c r="R94" s="289"/>
      <c r="S94" s="289"/>
      <c r="T94" s="44"/>
      <c r="U94" s="297"/>
      <c r="V94" s="298"/>
      <c r="X94" s="35"/>
    </row>
    <row r="95" spans="2:24" x14ac:dyDescent="0.25">
      <c r="B95" s="247"/>
      <c r="C95" s="89">
        <v>1</v>
      </c>
      <c r="D95" s="204" t="s">
        <v>145</v>
      </c>
      <c r="E95" s="204"/>
      <c r="F95" s="204"/>
      <c r="G95" s="204"/>
      <c r="H95" s="99" t="str">
        <f>CONCATENATE($L$7,"-",LEFT(C95,3),"-",LEFT(D95,3),LEFT(I95,3),"-",LEFT(J95,3),"-",11)</f>
        <v>CGK-1-JAM-DIN-11</v>
      </c>
      <c r="I95" s="156"/>
      <c r="J95" s="157" t="s">
        <v>197</v>
      </c>
      <c r="K95" s="157" t="s">
        <v>424</v>
      </c>
      <c r="L95" s="153" t="s">
        <v>206</v>
      </c>
      <c r="M95" s="391"/>
      <c r="N95" s="67">
        <v>44483</v>
      </c>
      <c r="O95" s="229"/>
      <c r="P95" s="288"/>
      <c r="Q95" s="289"/>
      <c r="R95" s="289"/>
      <c r="S95" s="289"/>
      <c r="T95" s="44"/>
      <c r="U95" s="297"/>
      <c r="V95" s="298"/>
      <c r="X95" s="35"/>
    </row>
    <row r="96" spans="2:24" x14ac:dyDescent="0.25">
      <c r="B96" s="247"/>
      <c r="C96" s="89">
        <v>1</v>
      </c>
      <c r="D96" s="204" t="s">
        <v>145</v>
      </c>
      <c r="E96" s="204"/>
      <c r="F96" s="204"/>
      <c r="G96" s="204"/>
      <c r="H96" s="99" t="str">
        <f>CONCATENATE($L$7,"-",LEFT(C96,3),"-",LEFT(D96,3),LEFT(I96,3),"-",LEFT(J96,3),"-",12)</f>
        <v>CGK-1-JAM-DIN-12</v>
      </c>
      <c r="I96" s="156"/>
      <c r="J96" s="157" t="s">
        <v>197</v>
      </c>
      <c r="K96" s="157" t="s">
        <v>423</v>
      </c>
      <c r="L96" s="153" t="s">
        <v>206</v>
      </c>
      <c r="M96" s="391"/>
      <c r="N96" s="67">
        <v>44483</v>
      </c>
      <c r="O96" s="229"/>
      <c r="P96" s="288"/>
      <c r="Q96" s="289"/>
      <c r="R96" s="289"/>
      <c r="S96" s="289"/>
      <c r="T96" s="44"/>
      <c r="U96" s="297"/>
      <c r="V96" s="298"/>
      <c r="X96" s="35"/>
    </row>
    <row r="97" spans="2:24" x14ac:dyDescent="0.25">
      <c r="B97" s="247"/>
      <c r="C97" s="89">
        <v>1</v>
      </c>
      <c r="D97" s="204" t="s">
        <v>145</v>
      </c>
      <c r="E97" s="204"/>
      <c r="F97" s="204"/>
      <c r="G97" s="204"/>
      <c r="H97" s="99" t="str">
        <f>CONCATENATE($L$7,"-",LEFT(C97,3),"-",LEFT(D97,3),LEFT(I97,3),"-",LEFT(J97,3),"-",13)</f>
        <v>CGK-1-JAM-DIN-13</v>
      </c>
      <c r="I97" s="156"/>
      <c r="J97" s="157" t="s">
        <v>197</v>
      </c>
      <c r="K97" s="157" t="s">
        <v>439</v>
      </c>
      <c r="L97" s="153" t="s">
        <v>206</v>
      </c>
      <c r="M97" s="391"/>
      <c r="N97" s="67">
        <v>44483</v>
      </c>
      <c r="O97" s="229"/>
      <c r="P97" s="288"/>
      <c r="Q97" s="289"/>
      <c r="R97" s="289"/>
      <c r="S97" s="289"/>
      <c r="T97" s="44"/>
      <c r="U97" s="297"/>
      <c r="V97" s="298"/>
      <c r="X97" s="35"/>
    </row>
    <row r="98" spans="2:24" x14ac:dyDescent="0.25">
      <c r="B98" s="247"/>
      <c r="C98" s="89">
        <v>1</v>
      </c>
      <c r="D98" s="204" t="s">
        <v>145</v>
      </c>
      <c r="E98" s="204"/>
      <c r="F98" s="204"/>
      <c r="G98" s="204"/>
      <c r="H98" s="99" t="str">
        <f>CONCATENATE($L$7,"-",LEFT(C98,3),"-",LEFT(D98,3),LEFT(I98,3),"-",LEFT(J98,3),"-",14)</f>
        <v>CGK-1-JAM-DIN-14</v>
      </c>
      <c r="I98" s="156"/>
      <c r="J98" s="157" t="s">
        <v>197</v>
      </c>
      <c r="K98" s="157" t="s">
        <v>355</v>
      </c>
      <c r="L98" s="153" t="s">
        <v>206</v>
      </c>
      <c r="M98" s="391"/>
      <c r="N98" s="67">
        <v>44483</v>
      </c>
      <c r="O98" s="229"/>
      <c r="P98" s="288"/>
      <c r="Q98" s="289"/>
      <c r="R98" s="289"/>
      <c r="S98" s="289"/>
      <c r="T98" s="44"/>
      <c r="U98" s="297"/>
      <c r="V98" s="298"/>
      <c r="X98" s="35"/>
    </row>
    <row r="99" spans="2:24" x14ac:dyDescent="0.25">
      <c r="B99" s="247"/>
      <c r="C99" s="89">
        <v>1</v>
      </c>
      <c r="D99" s="204" t="s">
        <v>145</v>
      </c>
      <c r="E99" s="204"/>
      <c r="F99" s="204"/>
      <c r="G99" s="204"/>
      <c r="H99" s="99" t="str">
        <f>CONCATENATE($L$7,"-",LEFT(C99,3),"-",LEFT(D99,3),LEFT(I99,3),"-",LEFT(J99,3),"-",15)</f>
        <v>CGK-1-JAM-DIN-15</v>
      </c>
      <c r="I99" s="156"/>
      <c r="J99" s="157" t="s">
        <v>197</v>
      </c>
      <c r="K99" s="157" t="s">
        <v>431</v>
      </c>
      <c r="L99" s="153" t="s">
        <v>206</v>
      </c>
      <c r="M99" s="392"/>
      <c r="N99" s="67">
        <v>44483</v>
      </c>
      <c r="O99" s="229"/>
      <c r="P99" s="288"/>
      <c r="Q99" s="289"/>
      <c r="R99" s="289"/>
      <c r="S99" s="289"/>
      <c r="T99" s="44"/>
      <c r="U99" s="297"/>
      <c r="V99" s="298"/>
      <c r="X99" s="35"/>
    </row>
    <row r="100" spans="2:24" x14ac:dyDescent="0.25">
      <c r="B100" s="427">
        <v>2</v>
      </c>
      <c r="C100" s="89">
        <v>2</v>
      </c>
      <c r="D100" s="204" t="s">
        <v>146</v>
      </c>
      <c r="E100" s="204"/>
      <c r="F100" s="204"/>
      <c r="G100" s="204"/>
      <c r="H100" s="99" t="str">
        <f>CONCATENATE($L$7,"-",LEFT(C100,3),"-",LEFT(D100,3),LEFT(I100,3),"-",LEFT(J100,3),"-",1)</f>
        <v>CGK-2-MEJKER-1 B-1</v>
      </c>
      <c r="I100" s="159" t="s">
        <v>147</v>
      </c>
      <c r="J100" s="158" t="s">
        <v>175</v>
      </c>
      <c r="K100" s="158" t="s">
        <v>432</v>
      </c>
      <c r="L100" s="153" t="s">
        <v>206</v>
      </c>
      <c r="M100" s="390">
        <v>23</v>
      </c>
      <c r="N100" s="67">
        <v>44483</v>
      </c>
      <c r="O100" s="229"/>
      <c r="P100" s="106" t="s">
        <v>73</v>
      </c>
      <c r="Q100" s="58"/>
      <c r="R100" s="58"/>
      <c r="S100" s="58"/>
      <c r="T100" s="42"/>
      <c r="U100" s="63"/>
      <c r="V100" s="52"/>
      <c r="X100" s="35"/>
    </row>
    <row r="101" spans="2:24" x14ac:dyDescent="0.25">
      <c r="B101" s="405"/>
      <c r="C101" s="89">
        <v>2</v>
      </c>
      <c r="D101" s="204" t="s">
        <v>146</v>
      </c>
      <c r="E101" s="204"/>
      <c r="F101" s="204"/>
      <c r="G101" s="204"/>
      <c r="H101" s="99" t="str">
        <f>CONCATENATE($L$7,"-",LEFT(C101,3),"-",LEFT(D101,3),LEFT(I101,3),"-",LEFT(J101,3),"-",2)</f>
        <v>CGK-2-MEJKER-1 B-2</v>
      </c>
      <c r="I101" s="159" t="s">
        <v>147</v>
      </c>
      <c r="J101" s="158" t="s">
        <v>175</v>
      </c>
      <c r="K101" s="158" t="s">
        <v>355</v>
      </c>
      <c r="L101" s="153" t="s">
        <v>206</v>
      </c>
      <c r="M101" s="391"/>
      <c r="N101" s="67">
        <v>44483</v>
      </c>
      <c r="O101" s="229"/>
      <c r="P101" s="106"/>
      <c r="Q101" s="75"/>
      <c r="R101" s="75"/>
      <c r="S101" s="75"/>
      <c r="T101" s="42"/>
      <c r="U101" s="63"/>
      <c r="V101" s="52"/>
      <c r="X101" s="35"/>
    </row>
    <row r="102" spans="2:24" x14ac:dyDescent="0.25">
      <c r="B102" s="405"/>
      <c r="C102" s="89">
        <v>2</v>
      </c>
      <c r="D102" s="204" t="s">
        <v>146</v>
      </c>
      <c r="E102" s="204"/>
      <c r="F102" s="204"/>
      <c r="G102" s="204"/>
      <c r="H102" s="99" t="str">
        <f>CONCATENATE($L$7,"-",LEFT(C102,3),"-",LEFT(D102,3),LEFT(I102,3),"-",LEFT(J102,3),"-",3)</f>
        <v>CGK-2-MEJKER-1 B-3</v>
      </c>
      <c r="I102" s="159" t="s">
        <v>147</v>
      </c>
      <c r="J102" s="158" t="s">
        <v>175</v>
      </c>
      <c r="K102" s="158" t="s">
        <v>424</v>
      </c>
      <c r="L102" s="153" t="s">
        <v>206</v>
      </c>
      <c r="M102" s="391"/>
      <c r="N102" s="67">
        <v>44483</v>
      </c>
      <c r="O102" s="229"/>
      <c r="P102" s="106"/>
      <c r="Q102" s="75"/>
      <c r="R102" s="75"/>
      <c r="S102" s="75"/>
      <c r="T102" s="42"/>
      <c r="U102" s="63"/>
      <c r="V102" s="52"/>
      <c r="X102" s="35"/>
    </row>
    <row r="103" spans="2:24" x14ac:dyDescent="0.25">
      <c r="B103" s="405"/>
      <c r="C103" s="89">
        <v>2</v>
      </c>
      <c r="D103" s="204" t="s">
        <v>146</v>
      </c>
      <c r="E103" s="204"/>
      <c r="F103" s="204"/>
      <c r="G103" s="204"/>
      <c r="H103" s="99" t="str">
        <f>CONCATENATE($L$7,"-",LEFT(C103,3),"-",LEFT(D103,3),LEFT(I103,3),"-",LEFT(J103,3),"-",4)</f>
        <v>CGK-2-MEJKER-1 B-4</v>
      </c>
      <c r="I103" s="159" t="s">
        <v>147</v>
      </c>
      <c r="J103" s="158" t="s">
        <v>175</v>
      </c>
      <c r="K103" s="158" t="s">
        <v>423</v>
      </c>
      <c r="L103" s="153" t="s">
        <v>206</v>
      </c>
      <c r="M103" s="391"/>
      <c r="N103" s="67">
        <v>44483</v>
      </c>
      <c r="O103" s="229"/>
      <c r="P103" s="106"/>
      <c r="Q103" s="75"/>
      <c r="R103" s="75"/>
      <c r="S103" s="75"/>
      <c r="T103" s="42"/>
      <c r="U103" s="63"/>
      <c r="V103" s="52"/>
      <c r="X103" s="35"/>
    </row>
    <row r="104" spans="2:24" x14ac:dyDescent="0.25">
      <c r="B104" s="405"/>
      <c r="C104" s="89">
        <v>2</v>
      </c>
      <c r="D104" s="204" t="s">
        <v>146</v>
      </c>
      <c r="E104" s="204"/>
      <c r="F104" s="204"/>
      <c r="G104" s="204"/>
      <c r="H104" s="99" t="str">
        <f>CONCATENATE($L$7,"-",LEFT(C104,3),"-",LEFT(D104,3),LEFT(I104,3),"-",LEFT(J104,3),"-",5)</f>
        <v>CGK-2-MEJKER-1 B-5</v>
      </c>
      <c r="I104" s="159" t="s">
        <v>147</v>
      </c>
      <c r="J104" s="158" t="s">
        <v>175</v>
      </c>
      <c r="K104" s="158" t="s">
        <v>437</v>
      </c>
      <c r="L104" s="153" t="s">
        <v>206</v>
      </c>
      <c r="M104" s="391"/>
      <c r="N104" s="67">
        <v>44483</v>
      </c>
      <c r="O104" s="229"/>
      <c r="P104" s="106"/>
      <c r="Q104" s="75"/>
      <c r="R104" s="75"/>
      <c r="S104" s="75"/>
      <c r="T104" s="42"/>
      <c r="U104" s="63"/>
      <c r="V104" s="52"/>
      <c r="X104" s="35"/>
    </row>
    <row r="105" spans="2:24" x14ac:dyDescent="0.25">
      <c r="B105" s="405"/>
      <c r="C105" s="89">
        <v>2</v>
      </c>
      <c r="D105" s="204" t="s">
        <v>146</v>
      </c>
      <c r="E105" s="204"/>
      <c r="F105" s="204"/>
      <c r="G105" s="204"/>
      <c r="H105" s="99" t="str">
        <f>CONCATENATE($L$7,"-",LEFT(C105,3),"-",LEFT(D105,3),LEFT(I105,3),"-",LEFT(J105,3),"-",6)</f>
        <v>CGK-2-MEJKER-1 B-6</v>
      </c>
      <c r="I105" s="159" t="s">
        <v>147</v>
      </c>
      <c r="J105" s="158" t="s">
        <v>175</v>
      </c>
      <c r="K105" s="158" t="s">
        <v>438</v>
      </c>
      <c r="L105" s="153" t="s">
        <v>206</v>
      </c>
      <c r="M105" s="391"/>
      <c r="N105" s="67">
        <v>44483</v>
      </c>
      <c r="O105" s="229"/>
      <c r="P105" s="106"/>
      <c r="Q105" s="75"/>
      <c r="R105" s="75"/>
      <c r="S105" s="75"/>
      <c r="T105" s="42"/>
      <c r="U105" s="63"/>
      <c r="V105" s="52"/>
      <c r="X105" s="35"/>
    </row>
    <row r="106" spans="2:24" x14ac:dyDescent="0.25">
      <c r="B106" s="405"/>
      <c r="C106" s="89">
        <v>2</v>
      </c>
      <c r="D106" s="204" t="s">
        <v>146</v>
      </c>
      <c r="E106" s="204"/>
      <c r="F106" s="204"/>
      <c r="G106" s="204"/>
      <c r="H106" s="99" t="str">
        <f>CONCATENATE($L$7,"-",LEFT(C106,3),"-",LEFT(D106,3),LEFT(I106,3),"-",LEFT(J106,3),"-",7)</f>
        <v>CGK-2-MEJKER-1 B-7</v>
      </c>
      <c r="I106" s="159" t="s">
        <v>147</v>
      </c>
      <c r="J106" s="158" t="s">
        <v>175</v>
      </c>
      <c r="K106" s="158" t="s">
        <v>440</v>
      </c>
      <c r="L106" s="153" t="s">
        <v>206</v>
      </c>
      <c r="M106" s="391"/>
      <c r="N106" s="67">
        <v>44483</v>
      </c>
      <c r="O106" s="229"/>
      <c r="P106" s="106"/>
      <c r="Q106" s="75"/>
      <c r="R106" s="75"/>
      <c r="S106" s="75"/>
      <c r="T106" s="42"/>
      <c r="U106" s="63"/>
      <c r="V106" s="52"/>
      <c r="X106" s="35"/>
    </row>
    <row r="107" spans="2:24" x14ac:dyDescent="0.25">
      <c r="B107" s="405"/>
      <c r="C107" s="89">
        <v>2</v>
      </c>
      <c r="D107" s="204" t="s">
        <v>146</v>
      </c>
      <c r="E107" s="204"/>
      <c r="F107" s="204"/>
      <c r="G107" s="204"/>
      <c r="H107" s="99" t="str">
        <f>CONCATENATE($L$7,"-",LEFT(C107,3),"-",LEFT(D107,3),LEFT(I107,3),"-",LEFT(J107,3),"-",8)</f>
        <v>CGK-2-MEJKER-1 B-8</v>
      </c>
      <c r="I107" s="159" t="s">
        <v>147</v>
      </c>
      <c r="J107" s="158" t="s">
        <v>175</v>
      </c>
      <c r="K107" s="158" t="s">
        <v>433</v>
      </c>
      <c r="L107" s="153" t="s">
        <v>206</v>
      </c>
      <c r="M107" s="391"/>
      <c r="N107" s="67">
        <v>44483</v>
      </c>
      <c r="O107" s="229"/>
      <c r="P107" s="106"/>
      <c r="Q107" s="75"/>
      <c r="R107" s="75"/>
      <c r="S107" s="75"/>
      <c r="T107" s="42"/>
      <c r="U107" s="63"/>
      <c r="V107" s="52"/>
      <c r="X107" s="35"/>
    </row>
    <row r="108" spans="2:24" x14ac:dyDescent="0.25">
      <c r="B108" s="405"/>
      <c r="C108" s="89">
        <v>2</v>
      </c>
      <c r="D108" s="204" t="s">
        <v>146</v>
      </c>
      <c r="E108" s="204"/>
      <c r="F108" s="204"/>
      <c r="G108" s="204"/>
      <c r="H108" s="99" t="str">
        <f>CONCATENATE($L$7,"-",LEFT(C108,3),"-",LEFT(D108,3),LEFT(I108,3),"-",LEFT(J108,3),"-",9)</f>
        <v>CGK-2-MEJKER-1 B-9</v>
      </c>
      <c r="I108" s="159" t="s">
        <v>147</v>
      </c>
      <c r="J108" s="158" t="s">
        <v>175</v>
      </c>
      <c r="K108" s="158" t="s">
        <v>239</v>
      </c>
      <c r="L108" s="153" t="s">
        <v>206</v>
      </c>
      <c r="M108" s="391"/>
      <c r="N108" s="67">
        <v>44483</v>
      </c>
      <c r="O108" s="229"/>
      <c r="P108" s="106"/>
      <c r="Q108" s="75"/>
      <c r="R108" s="75"/>
      <c r="S108" s="75"/>
      <c r="T108" s="42"/>
      <c r="U108" s="63"/>
      <c r="V108" s="52"/>
      <c r="X108" s="35"/>
    </row>
    <row r="109" spans="2:24" x14ac:dyDescent="0.25">
      <c r="B109" s="405"/>
      <c r="C109" s="89">
        <v>2</v>
      </c>
      <c r="D109" s="204" t="s">
        <v>146</v>
      </c>
      <c r="E109" s="204"/>
      <c r="F109" s="204"/>
      <c r="G109" s="204"/>
      <c r="H109" s="99" t="str">
        <f>CONCATENATE($L$7,"-",LEFT(C109,3),"-",LEFT(D109,3),LEFT(I109,3),"-",LEFT(J109,3),"-",10)</f>
        <v>CGK-2-MEJKER-1 B-10</v>
      </c>
      <c r="I109" s="159" t="s">
        <v>147</v>
      </c>
      <c r="J109" s="158" t="s">
        <v>175</v>
      </c>
      <c r="K109" s="158" t="s">
        <v>395</v>
      </c>
      <c r="L109" s="153" t="s">
        <v>206</v>
      </c>
      <c r="M109" s="391"/>
      <c r="N109" s="67">
        <v>44483</v>
      </c>
      <c r="O109" s="229"/>
      <c r="P109" s="106"/>
      <c r="Q109" s="75"/>
      <c r="R109" s="75"/>
      <c r="S109" s="75"/>
      <c r="T109" s="42"/>
      <c r="U109" s="63"/>
      <c r="V109" s="52"/>
      <c r="X109" s="35"/>
    </row>
    <row r="110" spans="2:24" x14ac:dyDescent="0.25">
      <c r="B110" s="405"/>
      <c r="C110" s="89">
        <v>2</v>
      </c>
      <c r="D110" s="204" t="s">
        <v>146</v>
      </c>
      <c r="E110" s="204"/>
      <c r="F110" s="204"/>
      <c r="G110" s="204"/>
      <c r="H110" s="99" t="str">
        <f>CONCATENATE($L$7,"-",LEFT(C110,3),"-",LEFT(D110,3),LEFT(I110,3),"-",LEFT(J110,3),"-",11)</f>
        <v>CGK-2-MEJKER-1 B-11</v>
      </c>
      <c r="I110" s="159" t="s">
        <v>147</v>
      </c>
      <c r="J110" s="158" t="s">
        <v>175</v>
      </c>
      <c r="K110" s="158" t="s">
        <v>395</v>
      </c>
      <c r="L110" s="153" t="s">
        <v>206</v>
      </c>
      <c r="M110" s="391"/>
      <c r="N110" s="67">
        <v>44483</v>
      </c>
      <c r="O110" s="229"/>
      <c r="P110" s="106"/>
      <c r="Q110" s="75"/>
      <c r="R110" s="75"/>
      <c r="S110" s="75"/>
      <c r="T110" s="42"/>
      <c r="U110" s="63"/>
      <c r="V110" s="52"/>
      <c r="X110" s="35"/>
    </row>
    <row r="111" spans="2:24" x14ac:dyDescent="0.25">
      <c r="B111" s="405"/>
      <c r="C111" s="89">
        <v>2</v>
      </c>
      <c r="D111" s="204" t="s">
        <v>146</v>
      </c>
      <c r="E111" s="204"/>
      <c r="F111" s="204"/>
      <c r="G111" s="204"/>
      <c r="H111" s="99" t="str">
        <f>CONCATENATE($L$7,"-",LEFT(C111,3),"-",LEFT(D111,3),LEFT(I111,3),"-",LEFT(J111,3),"-",12)</f>
        <v>CGK-2-MEJKER-1 B-12</v>
      </c>
      <c r="I111" s="159" t="s">
        <v>147</v>
      </c>
      <c r="J111" s="158" t="s">
        <v>175</v>
      </c>
      <c r="K111" s="158" t="s">
        <v>395</v>
      </c>
      <c r="L111" s="153" t="s">
        <v>206</v>
      </c>
      <c r="M111" s="391"/>
      <c r="N111" s="67">
        <v>44483</v>
      </c>
      <c r="O111" s="229"/>
      <c r="P111" s="106"/>
      <c r="Q111" s="75"/>
      <c r="R111" s="75"/>
      <c r="S111" s="75"/>
      <c r="T111" s="42"/>
      <c r="U111" s="63"/>
      <c r="V111" s="52"/>
      <c r="X111" s="35"/>
    </row>
    <row r="112" spans="2:24" x14ac:dyDescent="0.25">
      <c r="B112" s="405"/>
      <c r="C112" s="89">
        <v>2</v>
      </c>
      <c r="D112" s="204" t="s">
        <v>146</v>
      </c>
      <c r="E112" s="204"/>
      <c r="F112" s="204"/>
      <c r="G112" s="204"/>
      <c r="H112" s="99" t="str">
        <f>CONCATENATE($L$7,"-",LEFT(C112,3),"-",LEFT(D112,3),LEFT(I112,3),"-",LEFT(J112,3),"-",13)</f>
        <v>CGK-2-MEJKER-1 B-13</v>
      </c>
      <c r="I112" s="159" t="s">
        <v>147</v>
      </c>
      <c r="J112" s="158" t="s">
        <v>175</v>
      </c>
      <c r="K112" s="158" t="s">
        <v>395</v>
      </c>
      <c r="L112" s="153" t="s">
        <v>206</v>
      </c>
      <c r="M112" s="391"/>
      <c r="N112" s="67">
        <v>44483</v>
      </c>
      <c r="O112" s="229"/>
      <c r="P112" s="106"/>
      <c r="Q112" s="75"/>
      <c r="R112" s="75"/>
      <c r="S112" s="75"/>
      <c r="T112" s="42"/>
      <c r="U112" s="63"/>
      <c r="V112" s="52"/>
      <c r="X112" s="35"/>
    </row>
    <row r="113" spans="2:24" x14ac:dyDescent="0.25">
      <c r="B113" s="405"/>
      <c r="C113" s="89">
        <v>2</v>
      </c>
      <c r="D113" s="204" t="s">
        <v>146</v>
      </c>
      <c r="E113" s="204"/>
      <c r="F113" s="204"/>
      <c r="G113" s="204"/>
      <c r="H113" s="99" t="str">
        <f>CONCATENATE($L$7,"-",LEFT(C113,3),"-",LEFT(D113,3),LEFT(I113,3),"-",LEFT(J113,3),"-",14)</f>
        <v>CGK-2-MEJKER-1 B-14</v>
      </c>
      <c r="I113" s="159" t="s">
        <v>147</v>
      </c>
      <c r="J113" s="158" t="s">
        <v>175</v>
      </c>
      <c r="K113" s="158" t="s">
        <v>419</v>
      </c>
      <c r="L113" s="153" t="s">
        <v>206</v>
      </c>
      <c r="M113" s="391"/>
      <c r="N113" s="67">
        <v>44483</v>
      </c>
      <c r="O113" s="229"/>
      <c r="P113" s="106"/>
      <c r="Q113" s="75"/>
      <c r="R113" s="75"/>
      <c r="S113" s="75"/>
      <c r="T113" s="42"/>
      <c r="U113" s="63"/>
      <c r="V113" s="52"/>
      <c r="X113" s="35"/>
    </row>
    <row r="114" spans="2:24" x14ac:dyDescent="0.25">
      <c r="B114" s="405"/>
      <c r="C114" s="89">
        <v>2</v>
      </c>
      <c r="D114" s="204" t="s">
        <v>146</v>
      </c>
      <c r="E114" s="204"/>
      <c r="F114" s="204"/>
      <c r="G114" s="204"/>
      <c r="H114" s="99" t="str">
        <f>CONCATENATE($L$7,"-",LEFT(C114,3),"-",LEFT(D114,3),LEFT(I114,3),"-",LEFT(J114,3),"-",15)</f>
        <v>CGK-2-MEJKER-1 B-15</v>
      </c>
      <c r="I114" s="159" t="s">
        <v>147</v>
      </c>
      <c r="J114" s="158" t="s">
        <v>175</v>
      </c>
      <c r="K114" s="158" t="s">
        <v>416</v>
      </c>
      <c r="L114" s="153" t="s">
        <v>206</v>
      </c>
      <c r="M114" s="391"/>
      <c r="N114" s="67">
        <v>44483</v>
      </c>
      <c r="O114" s="229"/>
      <c r="P114" s="106"/>
      <c r="Q114" s="75"/>
      <c r="R114" s="75"/>
      <c r="S114" s="75"/>
      <c r="T114" s="42"/>
      <c r="U114" s="63"/>
      <c r="V114" s="52"/>
      <c r="X114" s="35"/>
    </row>
    <row r="115" spans="2:24" x14ac:dyDescent="0.25">
      <c r="B115" s="405"/>
      <c r="C115" s="89">
        <v>2</v>
      </c>
      <c r="D115" s="204" t="s">
        <v>146</v>
      </c>
      <c r="E115" s="204"/>
      <c r="F115" s="204"/>
      <c r="G115" s="204"/>
      <c r="H115" s="99" t="str">
        <f>CONCATENATE($L$7,"-",LEFT(C115,3),"-",LEFT(D115,3),LEFT(I115,3),"-",LEFT(J115,3),"-",16)</f>
        <v>CGK-2-MEJKER-1 B-16</v>
      </c>
      <c r="I115" s="159" t="s">
        <v>147</v>
      </c>
      <c r="J115" s="158" t="s">
        <v>175</v>
      </c>
      <c r="K115" s="158" t="s">
        <v>416</v>
      </c>
      <c r="L115" s="153" t="s">
        <v>206</v>
      </c>
      <c r="M115" s="391"/>
      <c r="N115" s="67">
        <v>44483</v>
      </c>
      <c r="O115" s="229"/>
      <c r="P115" s="106"/>
      <c r="Q115" s="75"/>
      <c r="R115" s="75"/>
      <c r="S115" s="75"/>
      <c r="T115" s="42"/>
      <c r="U115" s="63"/>
      <c r="V115" s="52"/>
      <c r="X115" s="35"/>
    </row>
    <row r="116" spans="2:24" x14ac:dyDescent="0.25">
      <c r="B116" s="405"/>
      <c r="C116" s="89">
        <v>2</v>
      </c>
      <c r="D116" s="204" t="s">
        <v>146</v>
      </c>
      <c r="E116" s="204"/>
      <c r="F116" s="204"/>
      <c r="G116" s="204"/>
      <c r="H116" s="99" t="str">
        <f>CONCATENATE($L$7,"-",LEFT(C116,3),"-",LEFT(D116,3),LEFT(I116,3),"-",LEFT(J116,3),"-",17)</f>
        <v>CGK-2-MEJKER-1 B-17</v>
      </c>
      <c r="I116" s="159" t="s">
        <v>147</v>
      </c>
      <c r="J116" s="158" t="s">
        <v>175</v>
      </c>
      <c r="K116" s="158" t="s">
        <v>427</v>
      </c>
      <c r="L116" s="153" t="s">
        <v>206</v>
      </c>
      <c r="M116" s="391"/>
      <c r="N116" s="67">
        <v>44483</v>
      </c>
      <c r="O116" s="229"/>
      <c r="P116" s="106"/>
      <c r="Q116" s="75"/>
      <c r="R116" s="75"/>
      <c r="S116" s="75"/>
      <c r="T116" s="42"/>
      <c r="U116" s="63"/>
      <c r="V116" s="52"/>
      <c r="X116" s="35"/>
    </row>
    <row r="117" spans="2:24" x14ac:dyDescent="0.25">
      <c r="B117" s="405"/>
      <c r="C117" s="89">
        <v>2</v>
      </c>
      <c r="D117" s="204" t="s">
        <v>146</v>
      </c>
      <c r="E117" s="204"/>
      <c r="F117" s="204"/>
      <c r="G117" s="204"/>
      <c r="H117" s="99" t="str">
        <f>CONCATENATE($L$7,"-",LEFT(C117,3),"-",LEFT(D117,3),LEFT(I117,3),"-",LEFT(J117,3),"-",18)</f>
        <v>CGK-2-MEJKER-1 B-18</v>
      </c>
      <c r="I117" s="159" t="s">
        <v>147</v>
      </c>
      <c r="J117" s="158" t="s">
        <v>175</v>
      </c>
      <c r="K117" s="158" t="s">
        <v>427</v>
      </c>
      <c r="L117" s="153" t="s">
        <v>206</v>
      </c>
      <c r="M117" s="391"/>
      <c r="N117" s="67">
        <v>44483</v>
      </c>
      <c r="O117" s="229"/>
      <c r="P117" s="106"/>
      <c r="Q117" s="75"/>
      <c r="R117" s="75"/>
      <c r="S117" s="75"/>
      <c r="T117" s="42"/>
      <c r="U117" s="63"/>
      <c r="V117" s="52"/>
      <c r="X117" s="35"/>
    </row>
    <row r="118" spans="2:24" x14ac:dyDescent="0.25">
      <c r="B118" s="405"/>
      <c r="C118" s="89">
        <v>2</v>
      </c>
      <c r="D118" s="204" t="s">
        <v>146</v>
      </c>
      <c r="E118" s="204"/>
      <c r="F118" s="204"/>
      <c r="G118" s="204"/>
      <c r="H118" s="99" t="str">
        <f>CONCATENATE($L$7,"-",LEFT(C118,3),"-",LEFT(D118,3),LEFT(I118,3),"-",LEFT(J118,3),"-",19)</f>
        <v>CGK-2-MEJKER-1 B-19</v>
      </c>
      <c r="I118" s="159" t="s">
        <v>147</v>
      </c>
      <c r="J118" s="158" t="s">
        <v>175</v>
      </c>
      <c r="K118" s="158" t="s">
        <v>429</v>
      </c>
      <c r="L118" s="153" t="s">
        <v>206</v>
      </c>
      <c r="M118" s="391"/>
      <c r="N118" s="67">
        <v>44483</v>
      </c>
      <c r="O118" s="229"/>
      <c r="P118" s="106"/>
      <c r="Q118" s="75"/>
      <c r="R118" s="75"/>
      <c r="S118" s="75"/>
      <c r="T118" s="42"/>
      <c r="U118" s="63"/>
      <c r="V118" s="52"/>
      <c r="X118" s="35"/>
    </row>
    <row r="119" spans="2:24" x14ac:dyDescent="0.25">
      <c r="B119" s="405"/>
      <c r="C119" s="89">
        <v>2</v>
      </c>
      <c r="D119" s="204" t="s">
        <v>146</v>
      </c>
      <c r="E119" s="204"/>
      <c r="F119" s="204"/>
      <c r="G119" s="204"/>
      <c r="H119" s="99" t="str">
        <f>CONCATENATE($L$7,"-",LEFT(C119,3),"-",LEFT(D119,3),LEFT(I119,3),"-",LEFT(J119,3),"-",20)</f>
        <v>CGK-2-MEJKER-1 B-20</v>
      </c>
      <c r="I119" s="159" t="s">
        <v>147</v>
      </c>
      <c r="J119" s="158" t="s">
        <v>175</v>
      </c>
      <c r="K119" s="158" t="s">
        <v>383</v>
      </c>
      <c r="L119" s="153" t="s">
        <v>206</v>
      </c>
      <c r="M119" s="391"/>
      <c r="N119" s="67">
        <v>44483</v>
      </c>
      <c r="O119" s="229"/>
      <c r="P119" s="106"/>
      <c r="Q119" s="75"/>
      <c r="R119" s="75"/>
      <c r="S119" s="75"/>
      <c r="T119" s="42"/>
      <c r="U119" s="63"/>
      <c r="V119" s="52"/>
      <c r="X119" s="35"/>
    </row>
    <row r="120" spans="2:24" x14ac:dyDescent="0.25">
      <c r="B120" s="405"/>
      <c r="C120" s="89">
        <v>2</v>
      </c>
      <c r="D120" s="204" t="s">
        <v>146</v>
      </c>
      <c r="E120" s="204"/>
      <c r="F120" s="204"/>
      <c r="G120" s="204"/>
      <c r="H120" s="99" t="str">
        <f>CONCATENATE($L$7,"-",LEFT(C120,3),"-",LEFT(D120,3),LEFT(I120,3),"-",LEFT(J120,3),"-",21)</f>
        <v>CGK-2-MEJKER-1 B-21</v>
      </c>
      <c r="I120" s="159" t="s">
        <v>147</v>
      </c>
      <c r="J120" s="158" t="s">
        <v>175</v>
      </c>
      <c r="K120" s="158" t="s">
        <v>422</v>
      </c>
      <c r="L120" s="153" t="s">
        <v>206</v>
      </c>
      <c r="M120" s="391"/>
      <c r="N120" s="67">
        <v>44483</v>
      </c>
      <c r="O120" s="229"/>
      <c r="P120" s="106"/>
      <c r="Q120" s="75"/>
      <c r="R120" s="75"/>
      <c r="S120" s="75"/>
      <c r="T120" s="42"/>
      <c r="U120" s="63"/>
      <c r="V120" s="52"/>
      <c r="X120" s="35"/>
    </row>
    <row r="121" spans="2:24" x14ac:dyDescent="0.25">
      <c r="B121" s="405"/>
      <c r="C121" s="89">
        <v>2</v>
      </c>
      <c r="D121" s="204" t="s">
        <v>146</v>
      </c>
      <c r="E121" s="204"/>
      <c r="F121" s="204"/>
      <c r="G121" s="204"/>
      <c r="H121" s="99" t="str">
        <f>CONCATENATE($L$7,"-",LEFT(C121,3),"-",LEFT(D121,3),LEFT(I121,3),"-",LEFT(J121,3),"-",22)</f>
        <v>CGK-2-MEJKER-1 B-22</v>
      </c>
      <c r="I121" s="159" t="s">
        <v>147</v>
      </c>
      <c r="J121" s="158" t="s">
        <v>175</v>
      </c>
      <c r="K121" s="158" t="s">
        <v>441</v>
      </c>
      <c r="L121" s="153" t="s">
        <v>206</v>
      </c>
      <c r="M121" s="391"/>
      <c r="N121" s="67">
        <v>44483</v>
      </c>
      <c r="O121" s="229"/>
      <c r="P121" s="106"/>
      <c r="Q121" s="75"/>
      <c r="R121" s="75"/>
      <c r="S121" s="75"/>
      <c r="T121" s="42"/>
      <c r="U121" s="63"/>
      <c r="V121" s="52"/>
      <c r="X121" s="35"/>
    </row>
    <row r="122" spans="2:24" x14ac:dyDescent="0.25">
      <c r="B122" s="405"/>
      <c r="C122" s="89">
        <v>2</v>
      </c>
      <c r="D122" s="204" t="s">
        <v>146</v>
      </c>
      <c r="E122" s="204"/>
      <c r="F122" s="204"/>
      <c r="G122" s="204"/>
      <c r="H122" s="99" t="str">
        <f>CONCATENATE($L$7,"-",LEFT(C122,3),"-",LEFT(D122,3),LEFT(I122,3),"-",LEFT(J122,3),"-",23)</f>
        <v>CGK-2-MEJKER-1 B-23</v>
      </c>
      <c r="I122" s="159" t="s">
        <v>147</v>
      </c>
      <c r="J122" s="158" t="s">
        <v>175</v>
      </c>
      <c r="K122" s="158" t="s">
        <v>428</v>
      </c>
      <c r="L122" s="153" t="s">
        <v>206</v>
      </c>
      <c r="M122" s="392"/>
      <c r="N122" s="67">
        <v>44483</v>
      </c>
      <c r="O122" s="229"/>
      <c r="P122" s="106"/>
      <c r="Q122" s="75"/>
      <c r="R122" s="75"/>
      <c r="S122" s="75"/>
      <c r="T122" s="42"/>
      <c r="U122" s="63"/>
      <c r="V122" s="52"/>
      <c r="X122" s="35"/>
    </row>
    <row r="123" spans="2:24" x14ac:dyDescent="0.25">
      <c r="B123" s="405"/>
      <c r="C123" s="90">
        <v>2</v>
      </c>
      <c r="D123" s="204" t="s">
        <v>146</v>
      </c>
      <c r="E123" s="204"/>
      <c r="F123" s="204"/>
      <c r="G123" s="204"/>
      <c r="H123" s="99" t="str">
        <f>CONCATENATE($L$7,"-",LEFT(C123,3),"-",LEFT(D123,3),LEFT(I123,3),"-",LEFT(J123,7),"-",1)</f>
        <v>CGK-2-MEJKER-1/2 BIR-1</v>
      </c>
      <c r="I123" s="159" t="s">
        <v>147</v>
      </c>
      <c r="J123" s="158" t="s">
        <v>176</v>
      </c>
      <c r="K123" s="158" t="s">
        <v>424</v>
      </c>
      <c r="L123" s="153" t="s">
        <v>206</v>
      </c>
      <c r="M123" s="390">
        <v>49</v>
      </c>
      <c r="N123" s="67">
        <v>44483</v>
      </c>
      <c r="O123" s="228"/>
      <c r="P123" s="106" t="s">
        <v>73</v>
      </c>
      <c r="Q123" s="75"/>
      <c r="R123" s="75"/>
      <c r="S123" s="75"/>
      <c r="T123" s="42"/>
      <c r="U123" s="63"/>
      <c r="V123" s="52"/>
      <c r="X123" s="35"/>
    </row>
    <row r="124" spans="2:24" x14ac:dyDescent="0.25">
      <c r="B124" s="405"/>
      <c r="C124" s="90">
        <v>2</v>
      </c>
      <c r="D124" s="204" t="s">
        <v>146</v>
      </c>
      <c r="E124" s="204"/>
      <c r="F124" s="204"/>
      <c r="G124" s="204"/>
      <c r="H124" s="99" t="str">
        <f>CONCATENATE($L$7,"-",LEFT(C124,3),"-",LEFT(D124,3),LEFT(I124,3),"-",LEFT(J124,7),"-",2)</f>
        <v>CGK-2-MEJKER-1/2 BIR-2</v>
      </c>
      <c r="I124" s="159" t="s">
        <v>147</v>
      </c>
      <c r="J124" s="158" t="s">
        <v>176</v>
      </c>
      <c r="K124" s="158" t="s">
        <v>424</v>
      </c>
      <c r="L124" s="153" t="s">
        <v>206</v>
      </c>
      <c r="M124" s="391"/>
      <c r="N124" s="67">
        <v>44483</v>
      </c>
      <c r="O124" s="228"/>
      <c r="P124" s="106"/>
      <c r="Q124" s="75"/>
      <c r="R124" s="75"/>
      <c r="S124" s="75"/>
      <c r="T124" s="42"/>
      <c r="U124" s="63"/>
      <c r="V124" s="52"/>
      <c r="X124" s="35"/>
    </row>
    <row r="125" spans="2:24" x14ac:dyDescent="0.25">
      <c r="B125" s="405"/>
      <c r="C125" s="90">
        <v>2</v>
      </c>
      <c r="D125" s="204" t="s">
        <v>146</v>
      </c>
      <c r="E125" s="204"/>
      <c r="F125" s="204"/>
      <c r="G125" s="204"/>
      <c r="H125" s="99" t="str">
        <f>CONCATENATE($L$7,"-",LEFT(C125,3),"-",LEFT(D125,3),LEFT(I125,3),"-",LEFT(J125,7),"-",3)</f>
        <v>CGK-2-MEJKER-1/2 BIR-3</v>
      </c>
      <c r="I125" s="159" t="s">
        <v>147</v>
      </c>
      <c r="J125" s="158" t="s">
        <v>176</v>
      </c>
      <c r="K125" s="158" t="s">
        <v>433</v>
      </c>
      <c r="L125" s="153" t="s">
        <v>206</v>
      </c>
      <c r="M125" s="391"/>
      <c r="N125" s="67">
        <v>44483</v>
      </c>
      <c r="O125" s="228"/>
      <c r="P125" s="106"/>
      <c r="Q125" s="75"/>
      <c r="R125" s="75"/>
      <c r="S125" s="75"/>
      <c r="T125" s="42"/>
      <c r="U125" s="63"/>
      <c r="V125" s="52"/>
      <c r="X125" s="35"/>
    </row>
    <row r="126" spans="2:24" x14ac:dyDescent="0.25">
      <c r="B126" s="405"/>
      <c r="C126" s="90">
        <v>2</v>
      </c>
      <c r="D126" s="204" t="s">
        <v>146</v>
      </c>
      <c r="E126" s="204"/>
      <c r="F126" s="204"/>
      <c r="G126" s="204"/>
      <c r="H126" s="99" t="str">
        <f>CONCATENATE($L$7,"-",LEFT(C126,3),"-",LEFT(D126,3),LEFT(I126,3),"-",LEFT(J126,7),"-",4)</f>
        <v>CGK-2-MEJKER-1/2 BIR-4</v>
      </c>
      <c r="I126" s="159" t="s">
        <v>147</v>
      </c>
      <c r="J126" s="158" t="s">
        <v>176</v>
      </c>
      <c r="K126" s="158" t="s">
        <v>433</v>
      </c>
      <c r="L126" s="153" t="s">
        <v>206</v>
      </c>
      <c r="M126" s="391"/>
      <c r="N126" s="67">
        <v>44483</v>
      </c>
      <c r="O126" s="228"/>
      <c r="P126" s="106"/>
      <c r="Q126" s="75"/>
      <c r="R126" s="75"/>
      <c r="S126" s="75"/>
      <c r="T126" s="42"/>
      <c r="U126" s="63"/>
      <c r="V126" s="52"/>
      <c r="X126" s="35"/>
    </row>
    <row r="127" spans="2:24" x14ac:dyDescent="0.25">
      <c r="B127" s="405"/>
      <c r="C127" s="90">
        <v>2</v>
      </c>
      <c r="D127" s="204" t="s">
        <v>146</v>
      </c>
      <c r="E127" s="204"/>
      <c r="F127" s="204"/>
      <c r="G127" s="204"/>
      <c r="H127" s="99" t="str">
        <f>CONCATENATE($L$7,"-",LEFT(C127,3),"-",LEFT(D127,3),LEFT(I127,3),"-",LEFT(J127,7),"-",5)</f>
        <v>CGK-2-MEJKER-1/2 BIR-5</v>
      </c>
      <c r="I127" s="159" t="s">
        <v>147</v>
      </c>
      <c r="J127" s="158" t="s">
        <v>176</v>
      </c>
      <c r="K127" s="158" t="s">
        <v>239</v>
      </c>
      <c r="L127" s="153" t="s">
        <v>206</v>
      </c>
      <c r="M127" s="391"/>
      <c r="N127" s="67">
        <v>44483</v>
      </c>
      <c r="O127" s="228"/>
      <c r="P127" s="106"/>
      <c r="Q127" s="75"/>
      <c r="R127" s="75"/>
      <c r="S127" s="75"/>
      <c r="T127" s="42"/>
      <c r="U127" s="63"/>
      <c r="V127" s="52"/>
      <c r="X127" s="35"/>
    </row>
    <row r="128" spans="2:24" x14ac:dyDescent="0.25">
      <c r="B128" s="405"/>
      <c r="C128" s="90">
        <v>2</v>
      </c>
      <c r="D128" s="204" t="s">
        <v>146</v>
      </c>
      <c r="E128" s="204"/>
      <c r="F128" s="204"/>
      <c r="G128" s="204"/>
      <c r="H128" s="99" t="str">
        <f>CONCATENATE($L$7,"-",LEFT(C128,3),"-",LEFT(D128,3),LEFT(I128,3),"-",LEFT(J128,7),"-",6)</f>
        <v>CGK-2-MEJKER-1/2 BIR-6</v>
      </c>
      <c r="I128" s="159" t="s">
        <v>147</v>
      </c>
      <c r="J128" s="158" t="s">
        <v>176</v>
      </c>
      <c r="K128" s="158" t="s">
        <v>239</v>
      </c>
      <c r="L128" s="153" t="s">
        <v>206</v>
      </c>
      <c r="M128" s="391"/>
      <c r="N128" s="67">
        <v>44483</v>
      </c>
      <c r="O128" s="228"/>
      <c r="P128" s="106"/>
      <c r="Q128" s="75"/>
      <c r="R128" s="75"/>
      <c r="S128" s="75"/>
      <c r="T128" s="42"/>
      <c r="U128" s="63"/>
      <c r="V128" s="52"/>
      <c r="X128" s="35"/>
    </row>
    <row r="129" spans="2:24" x14ac:dyDescent="0.25">
      <c r="B129" s="405"/>
      <c r="C129" s="90">
        <v>2</v>
      </c>
      <c r="D129" s="204" t="s">
        <v>146</v>
      </c>
      <c r="E129" s="204"/>
      <c r="F129" s="204"/>
      <c r="G129" s="204"/>
      <c r="H129" s="99" t="str">
        <f>CONCATENATE($L$7,"-",LEFT(C129,3),"-",LEFT(D129,3),LEFT(I129,3),"-",LEFT(J129,7),"-",7)</f>
        <v>CGK-2-MEJKER-1/2 BIR-7</v>
      </c>
      <c r="I129" s="159" t="s">
        <v>147</v>
      </c>
      <c r="J129" s="158" t="s">
        <v>176</v>
      </c>
      <c r="K129" s="158" t="s">
        <v>425</v>
      </c>
      <c r="L129" s="153" t="s">
        <v>206</v>
      </c>
      <c r="M129" s="391"/>
      <c r="N129" s="67">
        <v>44483</v>
      </c>
      <c r="O129" s="228"/>
      <c r="P129" s="106"/>
      <c r="Q129" s="75"/>
      <c r="R129" s="75"/>
      <c r="S129" s="75"/>
      <c r="T129" s="42"/>
      <c r="U129" s="63"/>
      <c r="V129" s="52"/>
      <c r="X129" s="35"/>
    </row>
    <row r="130" spans="2:24" x14ac:dyDescent="0.25">
      <c r="B130" s="405"/>
      <c r="C130" s="90">
        <v>2</v>
      </c>
      <c r="D130" s="204" t="s">
        <v>146</v>
      </c>
      <c r="E130" s="204"/>
      <c r="F130" s="204"/>
      <c r="G130" s="204"/>
      <c r="H130" s="99" t="str">
        <f>CONCATENATE($L$7,"-",LEFT(C130,3),"-",LEFT(D130,3),LEFT(I130,3),"-",LEFT(J130,7),"-",8)</f>
        <v>CGK-2-MEJKER-1/2 BIR-8</v>
      </c>
      <c r="I130" s="159" t="s">
        <v>147</v>
      </c>
      <c r="J130" s="158" t="s">
        <v>176</v>
      </c>
      <c r="K130" s="158" t="s">
        <v>425</v>
      </c>
      <c r="L130" s="153" t="s">
        <v>206</v>
      </c>
      <c r="M130" s="391"/>
      <c r="N130" s="67">
        <v>44483</v>
      </c>
      <c r="O130" s="228"/>
      <c r="P130" s="106"/>
      <c r="Q130" s="75"/>
      <c r="R130" s="75"/>
      <c r="S130" s="75"/>
      <c r="T130" s="42"/>
      <c r="U130" s="63"/>
      <c r="V130" s="52"/>
      <c r="X130" s="35"/>
    </row>
    <row r="131" spans="2:24" x14ac:dyDescent="0.25">
      <c r="B131" s="405"/>
      <c r="C131" s="90">
        <v>2</v>
      </c>
      <c r="D131" s="204" t="s">
        <v>146</v>
      </c>
      <c r="E131" s="204"/>
      <c r="F131" s="204"/>
      <c r="G131" s="204"/>
      <c r="H131" s="99" t="str">
        <f>CONCATENATE($L$7,"-",LEFT(C131,3),"-",LEFT(D131,3),LEFT(I131,3),"-",LEFT(J131,7),"-",9)</f>
        <v>CGK-2-MEJKER-1/2 BIR-9</v>
      </c>
      <c r="I131" s="159" t="s">
        <v>147</v>
      </c>
      <c r="J131" s="158" t="s">
        <v>176</v>
      </c>
      <c r="K131" s="158" t="s">
        <v>417</v>
      </c>
      <c r="L131" s="153" t="s">
        <v>206</v>
      </c>
      <c r="M131" s="391"/>
      <c r="N131" s="67">
        <v>44483</v>
      </c>
      <c r="O131" s="228"/>
      <c r="P131" s="106"/>
      <c r="Q131" s="75"/>
      <c r="R131" s="75"/>
      <c r="S131" s="75"/>
      <c r="T131" s="42"/>
      <c r="U131" s="63"/>
      <c r="V131" s="52"/>
      <c r="X131" s="35"/>
    </row>
    <row r="132" spans="2:24" x14ac:dyDescent="0.25">
      <c r="B132" s="405"/>
      <c r="C132" s="90">
        <v>2</v>
      </c>
      <c r="D132" s="204" t="s">
        <v>146</v>
      </c>
      <c r="E132" s="204"/>
      <c r="F132" s="204"/>
      <c r="G132" s="204"/>
      <c r="H132" s="99" t="str">
        <f>CONCATENATE($L$7,"-",LEFT(C132,3),"-",LEFT(D132,3),LEFT(I132,3),"-",LEFT(J132,7),"-",10)</f>
        <v>CGK-2-MEJKER-1/2 BIR-10</v>
      </c>
      <c r="I132" s="159" t="s">
        <v>147</v>
      </c>
      <c r="J132" s="158" t="s">
        <v>176</v>
      </c>
      <c r="K132" s="158" t="s">
        <v>417</v>
      </c>
      <c r="L132" s="153" t="s">
        <v>206</v>
      </c>
      <c r="M132" s="391"/>
      <c r="N132" s="67">
        <v>44483</v>
      </c>
      <c r="O132" s="228"/>
      <c r="P132" s="106"/>
      <c r="Q132" s="75"/>
      <c r="R132" s="75"/>
      <c r="S132" s="75"/>
      <c r="T132" s="42"/>
      <c r="U132" s="63"/>
      <c r="V132" s="52"/>
      <c r="X132" s="35"/>
    </row>
    <row r="133" spans="2:24" x14ac:dyDescent="0.25">
      <c r="B133" s="405"/>
      <c r="C133" s="90">
        <v>2</v>
      </c>
      <c r="D133" s="204" t="s">
        <v>146</v>
      </c>
      <c r="E133" s="204"/>
      <c r="F133" s="204"/>
      <c r="G133" s="204"/>
      <c r="H133" s="99" t="str">
        <f>CONCATENATE($L$7,"-",LEFT(C133,3),"-",LEFT(D133,3),LEFT(I133,3),"-",LEFT(J133,7),"-",11)</f>
        <v>CGK-2-MEJKER-1/2 BIR-11</v>
      </c>
      <c r="I133" s="159" t="s">
        <v>147</v>
      </c>
      <c r="J133" s="158" t="s">
        <v>176</v>
      </c>
      <c r="K133" s="158" t="s">
        <v>426</v>
      </c>
      <c r="L133" s="153" t="s">
        <v>206</v>
      </c>
      <c r="M133" s="391"/>
      <c r="N133" s="67">
        <v>44483</v>
      </c>
      <c r="O133" s="228"/>
      <c r="P133" s="106"/>
      <c r="Q133" s="75"/>
      <c r="R133" s="75"/>
      <c r="S133" s="75"/>
      <c r="T133" s="42"/>
      <c r="U133" s="63"/>
      <c r="V133" s="52"/>
      <c r="X133" s="35"/>
    </row>
    <row r="134" spans="2:24" x14ac:dyDescent="0.25">
      <c r="B134" s="405"/>
      <c r="C134" s="90">
        <v>2</v>
      </c>
      <c r="D134" s="204" t="s">
        <v>146</v>
      </c>
      <c r="E134" s="204"/>
      <c r="F134" s="204"/>
      <c r="G134" s="204"/>
      <c r="H134" s="99" t="str">
        <f>CONCATENATE($L$7,"-",LEFT(C134,3),"-",LEFT(D134,3),LEFT(I134,3),"-",LEFT(J134,7),"-",12)</f>
        <v>CGK-2-MEJKER-1/2 BIR-12</v>
      </c>
      <c r="I134" s="159" t="s">
        <v>147</v>
      </c>
      <c r="J134" s="158" t="s">
        <v>176</v>
      </c>
      <c r="K134" s="158" t="s">
        <v>426</v>
      </c>
      <c r="L134" s="153" t="s">
        <v>206</v>
      </c>
      <c r="M134" s="391"/>
      <c r="N134" s="67">
        <v>44483</v>
      </c>
      <c r="O134" s="228"/>
      <c r="P134" s="106"/>
      <c r="Q134" s="75"/>
      <c r="R134" s="75"/>
      <c r="S134" s="75"/>
      <c r="T134" s="42"/>
      <c r="U134" s="63"/>
      <c r="V134" s="52"/>
      <c r="X134" s="35"/>
    </row>
    <row r="135" spans="2:24" x14ac:dyDescent="0.25">
      <c r="B135" s="405"/>
      <c r="C135" s="90">
        <v>2</v>
      </c>
      <c r="D135" s="204" t="s">
        <v>146</v>
      </c>
      <c r="E135" s="204"/>
      <c r="F135" s="204"/>
      <c r="G135" s="204"/>
      <c r="H135" s="99" t="str">
        <f>CONCATENATE($L$7,"-",LEFT(C135,3),"-",LEFT(D135,3),LEFT(I135,3),"-",LEFT(J135,7),"-",13)</f>
        <v>CGK-2-MEJKER-1/2 BIR-13</v>
      </c>
      <c r="I135" s="159" t="s">
        <v>147</v>
      </c>
      <c r="J135" s="158" t="s">
        <v>176</v>
      </c>
      <c r="K135" s="158" t="s">
        <v>426</v>
      </c>
      <c r="L135" s="153" t="s">
        <v>206</v>
      </c>
      <c r="M135" s="391"/>
      <c r="N135" s="67">
        <v>44483</v>
      </c>
      <c r="O135" s="228"/>
      <c r="P135" s="106"/>
      <c r="Q135" s="75"/>
      <c r="R135" s="75"/>
      <c r="S135" s="75"/>
      <c r="T135" s="42"/>
      <c r="U135" s="63"/>
      <c r="V135" s="52"/>
      <c r="X135" s="35"/>
    </row>
    <row r="136" spans="2:24" x14ac:dyDescent="0.25">
      <c r="B136" s="405"/>
      <c r="C136" s="90">
        <v>2</v>
      </c>
      <c r="D136" s="204" t="s">
        <v>146</v>
      </c>
      <c r="E136" s="204"/>
      <c r="F136" s="204"/>
      <c r="G136" s="204"/>
      <c r="H136" s="99" t="str">
        <f>CONCATENATE($L$7,"-",LEFT(C136,3),"-",LEFT(D136,3),LEFT(I136,3),"-",LEFT(J136,7),"-",14)</f>
        <v>CGK-2-MEJKER-1/2 BIR-14</v>
      </c>
      <c r="I136" s="159" t="s">
        <v>147</v>
      </c>
      <c r="J136" s="158" t="s">
        <v>176</v>
      </c>
      <c r="K136" s="158" t="s">
        <v>426</v>
      </c>
      <c r="L136" s="153" t="s">
        <v>206</v>
      </c>
      <c r="M136" s="391"/>
      <c r="N136" s="67">
        <v>44483</v>
      </c>
      <c r="O136" s="228"/>
      <c r="P136" s="106"/>
      <c r="Q136" s="75"/>
      <c r="R136" s="75"/>
      <c r="S136" s="75"/>
      <c r="T136" s="42"/>
      <c r="U136" s="63"/>
      <c r="V136" s="52"/>
      <c r="X136" s="35"/>
    </row>
    <row r="137" spans="2:24" x14ac:dyDescent="0.25">
      <c r="B137" s="405"/>
      <c r="C137" s="90">
        <v>2</v>
      </c>
      <c r="D137" s="204" t="s">
        <v>146</v>
      </c>
      <c r="E137" s="204"/>
      <c r="F137" s="204"/>
      <c r="G137" s="204"/>
      <c r="H137" s="99" t="str">
        <f>CONCATENATE($L$7,"-",LEFT(C137,3),"-",LEFT(D137,3),LEFT(I137,3),"-",LEFT(J137,7),"-",15)</f>
        <v>CGK-2-MEJKER-1/2 BIR-15</v>
      </c>
      <c r="I137" s="159" t="s">
        <v>147</v>
      </c>
      <c r="J137" s="158" t="s">
        <v>176</v>
      </c>
      <c r="K137" s="158" t="s">
        <v>426</v>
      </c>
      <c r="L137" s="153" t="s">
        <v>206</v>
      </c>
      <c r="M137" s="391"/>
      <c r="N137" s="67">
        <v>44483</v>
      </c>
      <c r="O137" s="228"/>
      <c r="P137" s="106"/>
      <c r="Q137" s="75"/>
      <c r="R137" s="75"/>
      <c r="S137" s="75"/>
      <c r="T137" s="42"/>
      <c r="U137" s="63"/>
      <c r="V137" s="52"/>
      <c r="X137" s="35"/>
    </row>
    <row r="138" spans="2:24" x14ac:dyDescent="0.25">
      <c r="B138" s="405"/>
      <c r="C138" s="90">
        <v>2</v>
      </c>
      <c r="D138" s="204" t="s">
        <v>146</v>
      </c>
      <c r="E138" s="204"/>
      <c r="F138" s="204"/>
      <c r="G138" s="204"/>
      <c r="H138" s="99" t="str">
        <f>CONCATENATE($L$7,"-",LEFT(C138,3),"-",LEFT(D138,3),LEFT(I138,3),"-",LEFT(J138,7),"-",16)</f>
        <v>CGK-2-MEJKER-1/2 BIR-16</v>
      </c>
      <c r="I138" s="159" t="s">
        <v>147</v>
      </c>
      <c r="J138" s="158" t="s">
        <v>176</v>
      </c>
      <c r="K138" s="158" t="s">
        <v>426</v>
      </c>
      <c r="L138" s="153" t="s">
        <v>206</v>
      </c>
      <c r="M138" s="391"/>
      <c r="N138" s="67">
        <v>44483</v>
      </c>
      <c r="O138" s="228"/>
      <c r="P138" s="106"/>
      <c r="Q138" s="75"/>
      <c r="R138" s="75"/>
      <c r="S138" s="75"/>
      <c r="T138" s="42"/>
      <c r="U138" s="63"/>
      <c r="V138" s="52"/>
      <c r="X138" s="35"/>
    </row>
    <row r="139" spans="2:24" x14ac:dyDescent="0.25">
      <c r="B139" s="405"/>
      <c r="C139" s="90">
        <v>2</v>
      </c>
      <c r="D139" s="204" t="s">
        <v>146</v>
      </c>
      <c r="E139" s="204"/>
      <c r="F139" s="204"/>
      <c r="G139" s="204"/>
      <c r="H139" s="99" t="str">
        <f>CONCATENATE($L$7,"-",LEFT(C139,3),"-",LEFT(D139,3),LEFT(I139,3),"-",LEFT(J139,7),"-",17)</f>
        <v>CGK-2-MEJKER-1/2 BIR-17</v>
      </c>
      <c r="I139" s="159" t="s">
        <v>147</v>
      </c>
      <c r="J139" s="158" t="s">
        <v>176</v>
      </c>
      <c r="K139" s="158" t="s">
        <v>427</v>
      </c>
      <c r="L139" s="153" t="s">
        <v>206</v>
      </c>
      <c r="M139" s="391"/>
      <c r="N139" s="67">
        <v>44483</v>
      </c>
      <c r="O139" s="228"/>
      <c r="P139" s="106"/>
      <c r="Q139" s="75"/>
      <c r="R139" s="75"/>
      <c r="S139" s="75"/>
      <c r="T139" s="42"/>
      <c r="U139" s="63"/>
      <c r="V139" s="52"/>
      <c r="X139" s="35"/>
    </row>
    <row r="140" spans="2:24" x14ac:dyDescent="0.25">
      <c r="B140" s="405"/>
      <c r="C140" s="90">
        <v>2</v>
      </c>
      <c r="D140" s="204" t="s">
        <v>146</v>
      </c>
      <c r="E140" s="204"/>
      <c r="F140" s="204"/>
      <c r="G140" s="204"/>
      <c r="H140" s="99" t="str">
        <f>CONCATENATE($L$7,"-",LEFT(C140,3),"-",LEFT(D140,3),LEFT(I140,3),"-",LEFT(J140,7),"-",18)</f>
        <v>CGK-2-MEJKER-1/2 BIR-18</v>
      </c>
      <c r="I140" s="159" t="s">
        <v>147</v>
      </c>
      <c r="J140" s="158" t="s">
        <v>176</v>
      </c>
      <c r="K140" s="158" t="s">
        <v>429</v>
      </c>
      <c r="L140" s="153" t="s">
        <v>206</v>
      </c>
      <c r="M140" s="391"/>
      <c r="N140" s="67">
        <v>44483</v>
      </c>
      <c r="O140" s="228"/>
      <c r="P140" s="106"/>
      <c r="Q140" s="75"/>
      <c r="R140" s="75"/>
      <c r="S140" s="75"/>
      <c r="T140" s="42"/>
      <c r="U140" s="63"/>
      <c r="V140" s="52"/>
      <c r="X140" s="35"/>
    </row>
    <row r="141" spans="2:24" x14ac:dyDescent="0.25">
      <c r="B141" s="405"/>
      <c r="C141" s="90">
        <v>2</v>
      </c>
      <c r="D141" s="204" t="s">
        <v>146</v>
      </c>
      <c r="E141" s="204"/>
      <c r="F141" s="204"/>
      <c r="G141" s="204"/>
      <c r="H141" s="99" t="str">
        <f>CONCATENATE($L$7,"-",LEFT(C141,3),"-",LEFT(D141,3),LEFT(I141,3),"-",LEFT(J141,7),"-",19)</f>
        <v>CGK-2-MEJKER-1/2 BIR-19</v>
      </c>
      <c r="I141" s="159" t="s">
        <v>147</v>
      </c>
      <c r="J141" s="158" t="s">
        <v>176</v>
      </c>
      <c r="K141" s="158" t="s">
        <v>429</v>
      </c>
      <c r="L141" s="153" t="s">
        <v>206</v>
      </c>
      <c r="M141" s="391"/>
      <c r="N141" s="67">
        <v>44483</v>
      </c>
      <c r="O141" s="228"/>
      <c r="P141" s="106"/>
      <c r="Q141" s="75"/>
      <c r="R141" s="75"/>
      <c r="S141" s="75"/>
      <c r="T141" s="42"/>
      <c r="U141" s="63"/>
      <c r="V141" s="52"/>
      <c r="X141" s="35"/>
    </row>
    <row r="142" spans="2:24" x14ac:dyDescent="0.25">
      <c r="B142" s="405"/>
      <c r="C142" s="90">
        <v>2</v>
      </c>
      <c r="D142" s="204" t="s">
        <v>146</v>
      </c>
      <c r="E142" s="204"/>
      <c r="F142" s="204"/>
      <c r="G142" s="204"/>
      <c r="H142" s="99" t="str">
        <f>CONCATENATE($L$7,"-",LEFT(C142,3),"-",LEFT(D142,3),LEFT(I142,3),"-",LEFT(J142,7),"-",20)</f>
        <v>CGK-2-MEJKER-1/2 BIR-20</v>
      </c>
      <c r="I142" s="159" t="s">
        <v>147</v>
      </c>
      <c r="J142" s="158" t="s">
        <v>176</v>
      </c>
      <c r="K142" s="158" t="s">
        <v>429</v>
      </c>
      <c r="L142" s="153" t="s">
        <v>206</v>
      </c>
      <c r="M142" s="391"/>
      <c r="N142" s="67">
        <v>44483</v>
      </c>
      <c r="O142" s="228"/>
      <c r="P142" s="106"/>
      <c r="Q142" s="75"/>
      <c r="R142" s="75"/>
      <c r="S142" s="75"/>
      <c r="T142" s="42"/>
      <c r="U142" s="63"/>
      <c r="V142" s="52"/>
      <c r="X142" s="35"/>
    </row>
    <row r="143" spans="2:24" x14ac:dyDescent="0.25">
      <c r="B143" s="405"/>
      <c r="C143" s="90">
        <v>2</v>
      </c>
      <c r="D143" s="204" t="s">
        <v>146</v>
      </c>
      <c r="E143" s="204"/>
      <c r="F143" s="204"/>
      <c r="G143" s="204"/>
      <c r="H143" s="99" t="str">
        <f>CONCATENATE($L$7,"-",LEFT(C143,3),"-",LEFT(D143,3),LEFT(I143,3),"-",LEFT(J143,7),"-",21)</f>
        <v>CGK-2-MEJKER-1/2 BIR-21</v>
      </c>
      <c r="I143" s="159" t="s">
        <v>147</v>
      </c>
      <c r="J143" s="158" t="s">
        <v>176</v>
      </c>
      <c r="K143" s="158" t="s">
        <v>420</v>
      </c>
      <c r="L143" s="153" t="s">
        <v>206</v>
      </c>
      <c r="M143" s="391"/>
      <c r="N143" s="67">
        <v>44483</v>
      </c>
      <c r="O143" s="228"/>
      <c r="P143" s="106"/>
      <c r="Q143" s="75"/>
      <c r="R143" s="75"/>
      <c r="S143" s="75"/>
      <c r="T143" s="42"/>
      <c r="U143" s="63"/>
      <c r="V143" s="52"/>
      <c r="X143" s="35"/>
    </row>
    <row r="144" spans="2:24" x14ac:dyDescent="0.25">
      <c r="B144" s="405"/>
      <c r="C144" s="90">
        <v>2</v>
      </c>
      <c r="D144" s="204" t="s">
        <v>146</v>
      </c>
      <c r="E144" s="204"/>
      <c r="F144" s="204"/>
      <c r="G144" s="204"/>
      <c r="H144" s="99" t="str">
        <f>CONCATENATE($L$7,"-",LEFT(C144,3),"-",LEFT(D144,3),LEFT(I144,3),"-",LEFT(J144,7),"-",22)</f>
        <v>CGK-2-MEJKER-1/2 BIR-22</v>
      </c>
      <c r="I144" s="159" t="s">
        <v>147</v>
      </c>
      <c r="J144" s="158" t="s">
        <v>176</v>
      </c>
      <c r="K144" s="158" t="s">
        <v>420</v>
      </c>
      <c r="L144" s="153" t="s">
        <v>206</v>
      </c>
      <c r="M144" s="391"/>
      <c r="N144" s="67">
        <v>44483</v>
      </c>
      <c r="O144" s="228"/>
      <c r="P144" s="106"/>
      <c r="Q144" s="75"/>
      <c r="R144" s="75"/>
      <c r="S144" s="75"/>
      <c r="T144" s="42"/>
      <c r="U144" s="63"/>
      <c r="V144" s="52"/>
      <c r="X144" s="35"/>
    </row>
    <row r="145" spans="2:24" x14ac:dyDescent="0.25">
      <c r="B145" s="405"/>
      <c r="C145" s="90">
        <v>2</v>
      </c>
      <c r="D145" s="204" t="s">
        <v>146</v>
      </c>
      <c r="E145" s="204"/>
      <c r="F145" s="204"/>
      <c r="G145" s="204"/>
      <c r="H145" s="99" t="str">
        <f>CONCATENATE($L$7,"-",LEFT(C145,3),"-",LEFT(D145,3),LEFT(I145,3),"-",LEFT(J145,7),"-",23)</f>
        <v>CGK-2-MEJKER-1/2 BIR-23</v>
      </c>
      <c r="I145" s="159" t="s">
        <v>147</v>
      </c>
      <c r="J145" s="158" t="s">
        <v>176</v>
      </c>
      <c r="K145" s="158" t="s">
        <v>420</v>
      </c>
      <c r="L145" s="153" t="s">
        <v>206</v>
      </c>
      <c r="M145" s="391"/>
      <c r="N145" s="67">
        <v>44483</v>
      </c>
      <c r="O145" s="228"/>
      <c r="P145" s="106"/>
      <c r="Q145" s="75"/>
      <c r="R145" s="75"/>
      <c r="S145" s="75"/>
      <c r="T145" s="42"/>
      <c r="U145" s="63"/>
      <c r="V145" s="52"/>
      <c r="X145" s="35"/>
    </row>
    <row r="146" spans="2:24" x14ac:dyDescent="0.25">
      <c r="B146" s="405"/>
      <c r="C146" s="90">
        <v>2</v>
      </c>
      <c r="D146" s="204" t="s">
        <v>146</v>
      </c>
      <c r="E146" s="204"/>
      <c r="F146" s="204"/>
      <c r="G146" s="204"/>
      <c r="H146" s="99" t="str">
        <f>CONCATENATE($L$7,"-",LEFT(C146,3),"-",LEFT(D146,3),LEFT(I146,3),"-",LEFT(J146,7),"-",24)</f>
        <v>CGK-2-MEJKER-1/2 BIR-24</v>
      </c>
      <c r="I146" s="159" t="s">
        <v>147</v>
      </c>
      <c r="J146" s="158" t="s">
        <v>176</v>
      </c>
      <c r="K146" s="158" t="s">
        <v>420</v>
      </c>
      <c r="L146" s="153" t="s">
        <v>206</v>
      </c>
      <c r="M146" s="391"/>
      <c r="N146" s="67">
        <v>44483</v>
      </c>
      <c r="O146" s="228"/>
      <c r="P146" s="106"/>
      <c r="Q146" s="75"/>
      <c r="R146" s="75"/>
      <c r="S146" s="75"/>
      <c r="T146" s="42"/>
      <c r="U146" s="63"/>
      <c r="V146" s="52"/>
      <c r="X146" s="35"/>
    </row>
    <row r="147" spans="2:24" x14ac:dyDescent="0.25">
      <c r="B147" s="405"/>
      <c r="C147" s="90">
        <v>2</v>
      </c>
      <c r="D147" s="204" t="s">
        <v>146</v>
      </c>
      <c r="E147" s="204"/>
      <c r="F147" s="204"/>
      <c r="G147" s="204"/>
      <c r="H147" s="99" t="str">
        <f>CONCATENATE($L$7,"-",LEFT(C147,3),"-",LEFT(D147,3),LEFT(I147,3),"-",LEFT(J147,7),"-",25)</f>
        <v>CGK-2-MEJKER-1/2 BIR-25</v>
      </c>
      <c r="I147" s="159" t="s">
        <v>147</v>
      </c>
      <c r="J147" s="158" t="s">
        <v>176</v>
      </c>
      <c r="K147" s="158" t="s">
        <v>421</v>
      </c>
      <c r="L147" s="153" t="s">
        <v>206</v>
      </c>
      <c r="M147" s="391"/>
      <c r="N147" s="67">
        <v>44483</v>
      </c>
      <c r="O147" s="228"/>
      <c r="P147" s="106"/>
      <c r="Q147" s="75"/>
      <c r="R147" s="75"/>
      <c r="S147" s="75"/>
      <c r="T147" s="42"/>
      <c r="U147" s="63"/>
      <c r="V147" s="52"/>
      <c r="X147" s="35"/>
    </row>
    <row r="148" spans="2:24" x14ac:dyDescent="0.25">
      <c r="B148" s="405"/>
      <c r="C148" s="90">
        <v>2</v>
      </c>
      <c r="D148" s="204" t="s">
        <v>146</v>
      </c>
      <c r="E148" s="204"/>
      <c r="F148" s="204"/>
      <c r="G148" s="204"/>
      <c r="H148" s="99" t="str">
        <f>CONCATENATE($L$7,"-",LEFT(C148,3),"-",LEFT(D148,3),LEFT(I148,3),"-",LEFT(J148,7),"-",26)</f>
        <v>CGK-2-MEJKER-1/2 BIR-26</v>
      </c>
      <c r="I148" s="159" t="s">
        <v>147</v>
      </c>
      <c r="J148" s="158" t="s">
        <v>176</v>
      </c>
      <c r="K148" s="158" t="s">
        <v>421</v>
      </c>
      <c r="L148" s="153" t="s">
        <v>206</v>
      </c>
      <c r="M148" s="391"/>
      <c r="N148" s="67">
        <v>44483</v>
      </c>
      <c r="O148" s="228"/>
      <c r="P148" s="106"/>
      <c r="Q148" s="75"/>
      <c r="R148" s="75"/>
      <c r="S148" s="75"/>
      <c r="T148" s="42"/>
      <c r="U148" s="63"/>
      <c r="V148" s="52"/>
      <c r="X148" s="35"/>
    </row>
    <row r="149" spans="2:24" x14ac:dyDescent="0.25">
      <c r="B149" s="405"/>
      <c r="C149" s="90">
        <v>2</v>
      </c>
      <c r="D149" s="204" t="s">
        <v>146</v>
      </c>
      <c r="E149" s="204"/>
      <c r="F149" s="204"/>
      <c r="G149" s="204"/>
      <c r="H149" s="99" t="str">
        <f>CONCATENATE($L$7,"-",LEFT(C149,3),"-",LEFT(D149,3),LEFT(I149,3),"-",LEFT(J149,7),"-",27)</f>
        <v>CGK-2-MEJKER-1/2 BIR-27</v>
      </c>
      <c r="I149" s="159" t="s">
        <v>147</v>
      </c>
      <c r="J149" s="158" t="s">
        <v>176</v>
      </c>
      <c r="K149" s="158" t="s">
        <v>421</v>
      </c>
      <c r="L149" s="153" t="s">
        <v>206</v>
      </c>
      <c r="M149" s="391"/>
      <c r="N149" s="67">
        <v>44483</v>
      </c>
      <c r="O149" s="228"/>
      <c r="P149" s="106"/>
      <c r="Q149" s="75"/>
      <c r="R149" s="75"/>
      <c r="S149" s="75"/>
      <c r="T149" s="42"/>
      <c r="U149" s="63"/>
      <c r="V149" s="52"/>
      <c r="X149" s="35"/>
    </row>
    <row r="150" spans="2:24" x14ac:dyDescent="0.25">
      <c r="B150" s="405"/>
      <c r="C150" s="90">
        <v>2</v>
      </c>
      <c r="D150" s="204" t="s">
        <v>146</v>
      </c>
      <c r="E150" s="204"/>
      <c r="F150" s="204"/>
      <c r="G150" s="204"/>
      <c r="H150" s="99" t="str">
        <f>CONCATENATE($L$7,"-",LEFT(C150,3),"-",LEFT(D150,3),LEFT(I150,3),"-",LEFT(J150,7),"-",28)</f>
        <v>CGK-2-MEJKER-1/2 BIR-28</v>
      </c>
      <c r="I150" s="159" t="s">
        <v>147</v>
      </c>
      <c r="J150" s="158" t="s">
        <v>176</v>
      </c>
      <c r="K150" s="158" t="s">
        <v>421</v>
      </c>
      <c r="L150" s="153" t="s">
        <v>206</v>
      </c>
      <c r="M150" s="391"/>
      <c r="N150" s="67">
        <v>44483</v>
      </c>
      <c r="O150" s="228"/>
      <c r="P150" s="106"/>
      <c r="Q150" s="75"/>
      <c r="R150" s="75"/>
      <c r="S150" s="75"/>
      <c r="T150" s="42"/>
      <c r="U150" s="63"/>
      <c r="V150" s="52"/>
      <c r="X150" s="35"/>
    </row>
    <row r="151" spans="2:24" x14ac:dyDescent="0.25">
      <c r="B151" s="405"/>
      <c r="C151" s="90">
        <v>2</v>
      </c>
      <c r="D151" s="204" t="s">
        <v>146</v>
      </c>
      <c r="E151" s="204"/>
      <c r="F151" s="204"/>
      <c r="G151" s="204"/>
      <c r="H151" s="99" t="str">
        <f>CONCATENATE($L$7,"-",LEFT(C151,3),"-",LEFT(D151,3),LEFT(I151,3),"-",LEFT(J151,7),"-",29)</f>
        <v>CGK-2-MEJKER-1/2 BIR-29</v>
      </c>
      <c r="I151" s="159" t="s">
        <v>147</v>
      </c>
      <c r="J151" s="158" t="s">
        <v>176</v>
      </c>
      <c r="K151" s="158" t="s">
        <v>421</v>
      </c>
      <c r="L151" s="153" t="s">
        <v>206</v>
      </c>
      <c r="M151" s="391"/>
      <c r="N151" s="67">
        <v>44483</v>
      </c>
      <c r="O151" s="228"/>
      <c r="P151" s="106"/>
      <c r="Q151" s="75"/>
      <c r="R151" s="75"/>
      <c r="S151" s="75"/>
      <c r="T151" s="42"/>
      <c r="U151" s="63"/>
      <c r="V151" s="52"/>
      <c r="X151" s="35"/>
    </row>
    <row r="152" spans="2:24" x14ac:dyDescent="0.25">
      <c r="B152" s="405"/>
      <c r="C152" s="90">
        <v>2</v>
      </c>
      <c r="D152" s="204" t="s">
        <v>146</v>
      </c>
      <c r="E152" s="204"/>
      <c r="F152" s="204"/>
      <c r="G152" s="204"/>
      <c r="H152" s="99" t="str">
        <f>CONCATENATE($L$7,"-",LEFT(C152,3),"-",LEFT(D152,3),LEFT(I152,3),"-",LEFT(J152,7),"-",30)</f>
        <v>CGK-2-MEJKER-1/2 BIR-30</v>
      </c>
      <c r="I152" s="159" t="s">
        <v>147</v>
      </c>
      <c r="J152" s="158" t="s">
        <v>176</v>
      </c>
      <c r="K152" s="158" t="s">
        <v>383</v>
      </c>
      <c r="L152" s="153" t="s">
        <v>206</v>
      </c>
      <c r="M152" s="391"/>
      <c r="N152" s="67">
        <v>44483</v>
      </c>
      <c r="O152" s="228"/>
      <c r="P152" s="106"/>
      <c r="Q152" s="75"/>
      <c r="R152" s="75"/>
      <c r="S152" s="75"/>
      <c r="T152" s="42"/>
      <c r="U152" s="63"/>
      <c r="V152" s="52"/>
      <c r="X152" s="35"/>
    </row>
    <row r="153" spans="2:24" x14ac:dyDescent="0.25">
      <c r="B153" s="405"/>
      <c r="C153" s="90">
        <v>2</v>
      </c>
      <c r="D153" s="204" t="s">
        <v>146</v>
      </c>
      <c r="E153" s="204"/>
      <c r="F153" s="204"/>
      <c r="G153" s="204"/>
      <c r="H153" s="99" t="str">
        <f>CONCATENATE($L$7,"-",LEFT(C153,3),"-",LEFT(D153,3),LEFT(I153,3),"-",LEFT(J153,7),"-",31)</f>
        <v>CGK-2-MEJKER-1/2 BIR-31</v>
      </c>
      <c r="I153" s="159" t="s">
        <v>147</v>
      </c>
      <c r="J153" s="158" t="s">
        <v>176</v>
      </c>
      <c r="K153" s="158" t="s">
        <v>383</v>
      </c>
      <c r="L153" s="153" t="s">
        <v>206</v>
      </c>
      <c r="M153" s="391"/>
      <c r="N153" s="67">
        <v>44483</v>
      </c>
      <c r="O153" s="228"/>
      <c r="P153" s="106"/>
      <c r="Q153" s="75"/>
      <c r="R153" s="75"/>
      <c r="S153" s="75"/>
      <c r="T153" s="42"/>
      <c r="U153" s="63"/>
      <c r="V153" s="52"/>
      <c r="X153" s="35"/>
    </row>
    <row r="154" spans="2:24" x14ac:dyDescent="0.25">
      <c r="B154" s="405"/>
      <c r="C154" s="90">
        <v>2</v>
      </c>
      <c r="D154" s="204" t="s">
        <v>146</v>
      </c>
      <c r="E154" s="204"/>
      <c r="F154" s="204"/>
      <c r="G154" s="204"/>
      <c r="H154" s="99" t="str">
        <f>CONCATENATE($L$7,"-",LEFT(C154,3),"-",LEFT(D154,3),LEFT(I154,3),"-",LEFT(J154,7),"-",32)</f>
        <v>CGK-2-MEJKER-1/2 BIR-32</v>
      </c>
      <c r="I154" s="159" t="s">
        <v>147</v>
      </c>
      <c r="J154" s="158" t="s">
        <v>176</v>
      </c>
      <c r="K154" s="158" t="s">
        <v>441</v>
      </c>
      <c r="L154" s="153" t="s">
        <v>206</v>
      </c>
      <c r="M154" s="391"/>
      <c r="N154" s="67">
        <v>44483</v>
      </c>
      <c r="O154" s="228"/>
      <c r="P154" s="106"/>
      <c r="Q154" s="75"/>
      <c r="R154" s="75"/>
      <c r="S154" s="75"/>
      <c r="T154" s="42"/>
      <c r="U154" s="63"/>
      <c r="V154" s="52"/>
      <c r="X154" s="35"/>
    </row>
    <row r="155" spans="2:24" x14ac:dyDescent="0.25">
      <c r="B155" s="405"/>
      <c r="C155" s="90">
        <v>2</v>
      </c>
      <c r="D155" s="204" t="s">
        <v>146</v>
      </c>
      <c r="E155" s="204"/>
      <c r="F155" s="204"/>
      <c r="G155" s="204"/>
      <c r="H155" s="99" t="str">
        <f>CONCATENATE($L$7,"-",LEFT(C155,3),"-",LEFT(D155,3),LEFT(I155,3),"-",LEFT(J155,7),"-",33)</f>
        <v>CGK-2-MEJKER-1/2 BIR-33</v>
      </c>
      <c r="I155" s="159" t="s">
        <v>147</v>
      </c>
      <c r="J155" s="158" t="s">
        <v>176</v>
      </c>
      <c r="K155" s="158" t="s">
        <v>441</v>
      </c>
      <c r="L155" s="153" t="s">
        <v>206</v>
      </c>
      <c r="M155" s="391"/>
      <c r="N155" s="67">
        <v>44483</v>
      </c>
      <c r="O155" s="228"/>
      <c r="P155" s="106"/>
      <c r="Q155" s="75"/>
      <c r="R155" s="75"/>
      <c r="S155" s="75"/>
      <c r="T155" s="42"/>
      <c r="U155" s="63"/>
      <c r="V155" s="52"/>
      <c r="X155" s="35"/>
    </row>
    <row r="156" spans="2:24" x14ac:dyDescent="0.25">
      <c r="B156" s="405"/>
      <c r="C156" s="90">
        <v>2</v>
      </c>
      <c r="D156" s="204" t="s">
        <v>146</v>
      </c>
      <c r="E156" s="204"/>
      <c r="F156" s="204"/>
      <c r="G156" s="204"/>
      <c r="H156" s="99" t="str">
        <f>CONCATENATE($L$7,"-",LEFT(C156,3),"-",LEFT(D156,3),LEFT(I156,3),"-",LEFT(J156,7),"-",34)</f>
        <v>CGK-2-MEJKER-1/2 BIR-34</v>
      </c>
      <c r="I156" s="159" t="s">
        <v>147</v>
      </c>
      <c r="J156" s="158" t="s">
        <v>176</v>
      </c>
      <c r="K156" s="158" t="s">
        <v>441</v>
      </c>
      <c r="L156" s="153" t="s">
        <v>206</v>
      </c>
      <c r="M156" s="391"/>
      <c r="N156" s="67">
        <v>44483</v>
      </c>
      <c r="O156" s="228"/>
      <c r="P156" s="106"/>
      <c r="Q156" s="75"/>
      <c r="R156" s="75"/>
      <c r="S156" s="75"/>
      <c r="T156" s="42"/>
      <c r="U156" s="63"/>
      <c r="V156" s="52"/>
      <c r="X156" s="35"/>
    </row>
    <row r="157" spans="2:24" x14ac:dyDescent="0.25">
      <c r="B157" s="405"/>
      <c r="C157" s="90">
        <v>2</v>
      </c>
      <c r="D157" s="204" t="s">
        <v>146</v>
      </c>
      <c r="E157" s="204"/>
      <c r="F157" s="204"/>
      <c r="G157" s="204"/>
      <c r="H157" s="99" t="str">
        <f>CONCATENATE($L$7,"-",LEFT(C157,3),"-",LEFT(D157,3),LEFT(I157,3),"-",LEFT(J157,7),"-",35)</f>
        <v>CGK-2-MEJKER-1/2 BIR-35</v>
      </c>
      <c r="I157" s="159" t="s">
        <v>147</v>
      </c>
      <c r="J157" s="158" t="s">
        <v>176</v>
      </c>
      <c r="K157" s="158" t="s">
        <v>441</v>
      </c>
      <c r="L157" s="153" t="s">
        <v>206</v>
      </c>
      <c r="M157" s="391"/>
      <c r="N157" s="67">
        <v>44483</v>
      </c>
      <c r="O157" s="228"/>
      <c r="P157" s="106"/>
      <c r="Q157" s="75"/>
      <c r="R157" s="75"/>
      <c r="S157" s="75"/>
      <c r="T157" s="42"/>
      <c r="U157" s="63"/>
      <c r="V157" s="52"/>
      <c r="X157" s="35"/>
    </row>
    <row r="158" spans="2:24" x14ac:dyDescent="0.25">
      <c r="B158" s="405"/>
      <c r="C158" s="90">
        <v>2</v>
      </c>
      <c r="D158" s="204" t="s">
        <v>146</v>
      </c>
      <c r="E158" s="204"/>
      <c r="F158" s="204"/>
      <c r="G158" s="204"/>
      <c r="H158" s="99" t="str">
        <f>CONCATENATE($L$7,"-",LEFT(C158,3),"-",LEFT(D158,3),LEFT(I158,3),"-",LEFT(J158,7),"-",36)</f>
        <v>CGK-2-MEJKER-1/2 BIR-36</v>
      </c>
      <c r="I158" s="159" t="s">
        <v>147</v>
      </c>
      <c r="J158" s="158" t="s">
        <v>176</v>
      </c>
      <c r="K158" s="158" t="s">
        <v>406</v>
      </c>
      <c r="L158" s="153" t="s">
        <v>206</v>
      </c>
      <c r="M158" s="391"/>
      <c r="N158" s="67">
        <v>44483</v>
      </c>
      <c r="O158" s="228"/>
      <c r="P158" s="106"/>
      <c r="Q158" s="75"/>
      <c r="R158" s="75"/>
      <c r="S158" s="75"/>
      <c r="T158" s="42"/>
      <c r="U158" s="63"/>
      <c r="V158" s="52"/>
      <c r="X158" s="35"/>
    </row>
    <row r="159" spans="2:24" x14ac:dyDescent="0.25">
      <c r="B159" s="405"/>
      <c r="C159" s="90">
        <v>2</v>
      </c>
      <c r="D159" s="204" t="s">
        <v>146</v>
      </c>
      <c r="E159" s="204"/>
      <c r="F159" s="204"/>
      <c r="G159" s="204"/>
      <c r="H159" s="99" t="str">
        <f>CONCATENATE($L$7,"-",LEFT(C159,3),"-",LEFT(D159,3),LEFT(I159,3),"-",LEFT(J159,7),"-",37)</f>
        <v>CGK-2-MEJKER-1/2 BIR-37</v>
      </c>
      <c r="I159" s="159" t="s">
        <v>147</v>
      </c>
      <c r="J159" s="158" t="s">
        <v>176</v>
      </c>
      <c r="K159" s="158" t="s">
        <v>406</v>
      </c>
      <c r="L159" s="153" t="s">
        <v>206</v>
      </c>
      <c r="M159" s="391"/>
      <c r="N159" s="67">
        <v>44483</v>
      </c>
      <c r="O159" s="228"/>
      <c r="P159" s="106"/>
      <c r="Q159" s="75"/>
      <c r="R159" s="75"/>
      <c r="S159" s="75"/>
      <c r="T159" s="42"/>
      <c r="U159" s="63"/>
      <c r="V159" s="52"/>
      <c r="X159" s="35"/>
    </row>
    <row r="160" spans="2:24" x14ac:dyDescent="0.25">
      <c r="B160" s="405"/>
      <c r="C160" s="90">
        <v>2</v>
      </c>
      <c r="D160" s="204" t="s">
        <v>146</v>
      </c>
      <c r="E160" s="204"/>
      <c r="F160" s="204"/>
      <c r="G160" s="204"/>
      <c r="H160" s="99" t="str">
        <f>CONCATENATE($L$7,"-",LEFT(C160,3),"-",LEFT(D160,3),LEFT(I160,3),"-",LEFT(J160,7),"-",38)</f>
        <v>CGK-2-MEJKER-1/2 BIR-38</v>
      </c>
      <c r="I160" s="159" t="s">
        <v>147</v>
      </c>
      <c r="J160" s="158" t="s">
        <v>176</v>
      </c>
      <c r="K160" s="158" t="s">
        <v>406</v>
      </c>
      <c r="L160" s="153" t="s">
        <v>206</v>
      </c>
      <c r="M160" s="391"/>
      <c r="N160" s="67">
        <v>44483</v>
      </c>
      <c r="O160" s="228"/>
      <c r="P160" s="106"/>
      <c r="Q160" s="75"/>
      <c r="R160" s="75"/>
      <c r="S160" s="75"/>
      <c r="T160" s="42"/>
      <c r="U160" s="63"/>
      <c r="V160" s="52"/>
      <c r="X160" s="35"/>
    </row>
    <row r="161" spans="2:24" x14ac:dyDescent="0.25">
      <c r="B161" s="405"/>
      <c r="C161" s="90">
        <v>2</v>
      </c>
      <c r="D161" s="204" t="s">
        <v>146</v>
      </c>
      <c r="E161" s="204"/>
      <c r="F161" s="204"/>
      <c r="G161" s="204"/>
      <c r="H161" s="99" t="str">
        <f>CONCATENATE($L$7,"-",LEFT(C161,3),"-",LEFT(D161,3),LEFT(I161,3),"-",LEFT(J161,7),"-",39)</f>
        <v>CGK-2-MEJKER-1/2 BIR-39</v>
      </c>
      <c r="I161" s="159" t="s">
        <v>147</v>
      </c>
      <c r="J161" s="158" t="s">
        <v>176</v>
      </c>
      <c r="K161" s="158" t="s">
        <v>406</v>
      </c>
      <c r="L161" s="153" t="s">
        <v>206</v>
      </c>
      <c r="M161" s="391"/>
      <c r="N161" s="67">
        <v>44483</v>
      </c>
      <c r="O161" s="228"/>
      <c r="P161" s="106"/>
      <c r="Q161" s="75"/>
      <c r="R161" s="75"/>
      <c r="S161" s="75"/>
      <c r="T161" s="42"/>
      <c r="U161" s="63"/>
      <c r="V161" s="52"/>
      <c r="X161" s="35"/>
    </row>
    <row r="162" spans="2:24" x14ac:dyDescent="0.25">
      <c r="B162" s="405"/>
      <c r="C162" s="90">
        <v>2</v>
      </c>
      <c r="D162" s="204" t="s">
        <v>146</v>
      </c>
      <c r="E162" s="204"/>
      <c r="F162" s="204"/>
      <c r="G162" s="204"/>
      <c r="H162" s="99" t="str">
        <f>CONCATENATE($L$7,"-",LEFT(C162,3),"-",LEFT(D162,3),LEFT(I162,3),"-",LEFT(J162,7),"-",40)</f>
        <v>CGK-2-MEJKER-1/2 BIR-40</v>
      </c>
      <c r="I162" s="159" t="s">
        <v>147</v>
      </c>
      <c r="J162" s="158" t="s">
        <v>176</v>
      </c>
      <c r="K162" s="158" t="s">
        <v>406</v>
      </c>
      <c r="L162" s="153" t="s">
        <v>206</v>
      </c>
      <c r="M162" s="391"/>
      <c r="N162" s="67">
        <v>44483</v>
      </c>
      <c r="O162" s="228"/>
      <c r="P162" s="106"/>
      <c r="Q162" s="75"/>
      <c r="R162" s="75"/>
      <c r="S162" s="75"/>
      <c r="T162" s="42"/>
      <c r="U162" s="63"/>
      <c r="V162" s="52"/>
      <c r="X162" s="35"/>
    </row>
    <row r="163" spans="2:24" x14ac:dyDescent="0.25">
      <c r="B163" s="405"/>
      <c r="C163" s="90">
        <v>2</v>
      </c>
      <c r="D163" s="204" t="s">
        <v>146</v>
      </c>
      <c r="E163" s="204"/>
      <c r="F163" s="204"/>
      <c r="G163" s="204"/>
      <c r="H163" s="99" t="str">
        <f>CONCATENATE($L$7,"-",LEFT(C163,3),"-",LEFT(D163,3),LEFT(I163,3),"-",LEFT(J163,7),"-",41)</f>
        <v>CGK-2-MEJKER-1/2 BIR-41</v>
      </c>
      <c r="I163" s="159" t="s">
        <v>147</v>
      </c>
      <c r="J163" s="158" t="s">
        <v>176</v>
      </c>
      <c r="K163" s="158" t="s">
        <v>428</v>
      </c>
      <c r="L163" s="153" t="s">
        <v>206</v>
      </c>
      <c r="M163" s="391"/>
      <c r="N163" s="67">
        <v>44483</v>
      </c>
      <c r="O163" s="228"/>
      <c r="P163" s="106"/>
      <c r="Q163" s="75"/>
      <c r="R163" s="75"/>
      <c r="S163" s="75"/>
      <c r="T163" s="42"/>
      <c r="U163" s="63"/>
      <c r="V163" s="52"/>
      <c r="X163" s="35"/>
    </row>
    <row r="164" spans="2:24" x14ac:dyDescent="0.25">
      <c r="B164" s="405"/>
      <c r="C164" s="90">
        <v>2</v>
      </c>
      <c r="D164" s="204" t="s">
        <v>146</v>
      </c>
      <c r="E164" s="204"/>
      <c r="F164" s="204"/>
      <c r="G164" s="204"/>
      <c r="H164" s="99" t="str">
        <f>CONCATENATE($L$7,"-",LEFT(C164,3),"-",LEFT(D164,3),LEFT(I164,3),"-",LEFT(J164,7),"-",42)</f>
        <v>CGK-2-MEJKER-1/2 BIR-42</v>
      </c>
      <c r="I164" s="159" t="s">
        <v>147</v>
      </c>
      <c r="J164" s="158" t="s">
        <v>176</v>
      </c>
      <c r="K164" s="158" t="s">
        <v>428</v>
      </c>
      <c r="L164" s="153" t="s">
        <v>206</v>
      </c>
      <c r="M164" s="391"/>
      <c r="N164" s="67">
        <v>44483</v>
      </c>
      <c r="O164" s="228"/>
      <c r="P164" s="106"/>
      <c r="Q164" s="75"/>
      <c r="R164" s="75"/>
      <c r="S164" s="75"/>
      <c r="T164" s="42"/>
      <c r="U164" s="63"/>
      <c r="V164" s="52"/>
      <c r="X164" s="35"/>
    </row>
    <row r="165" spans="2:24" x14ac:dyDescent="0.25">
      <c r="B165" s="405"/>
      <c r="C165" s="90">
        <v>2</v>
      </c>
      <c r="D165" s="204" t="s">
        <v>146</v>
      </c>
      <c r="E165" s="204"/>
      <c r="F165" s="204"/>
      <c r="G165" s="204"/>
      <c r="H165" s="99" t="str">
        <f>CONCATENATE($L$7,"-",LEFT(C165,3),"-",LEFT(D165,3),LEFT(I165,3),"-",LEFT(J165,7),"-",43)</f>
        <v>CGK-2-MEJKER-1/2 BIR-43</v>
      </c>
      <c r="I165" s="159" t="s">
        <v>147</v>
      </c>
      <c r="J165" s="158" t="s">
        <v>176</v>
      </c>
      <c r="K165" s="158" t="s">
        <v>435</v>
      </c>
      <c r="L165" s="153" t="s">
        <v>206</v>
      </c>
      <c r="M165" s="391"/>
      <c r="N165" s="67">
        <v>44483</v>
      </c>
      <c r="O165" s="228"/>
      <c r="P165" s="106"/>
      <c r="Q165" s="75"/>
      <c r="R165" s="75"/>
      <c r="S165" s="75"/>
      <c r="T165" s="42"/>
      <c r="U165" s="63"/>
      <c r="V165" s="52"/>
      <c r="X165" s="35"/>
    </row>
    <row r="166" spans="2:24" x14ac:dyDescent="0.25">
      <c r="B166" s="405"/>
      <c r="C166" s="90">
        <v>2</v>
      </c>
      <c r="D166" s="204" t="s">
        <v>146</v>
      </c>
      <c r="E166" s="204"/>
      <c r="F166" s="204"/>
      <c r="G166" s="204"/>
      <c r="H166" s="99" t="str">
        <f>CONCATENATE($L$7,"-",LEFT(C166,3),"-",LEFT(D166,3),LEFT(I166,3),"-",LEFT(J166,7),"-",44)</f>
        <v>CGK-2-MEJKER-1/2 BIR-44</v>
      </c>
      <c r="I166" s="159" t="s">
        <v>147</v>
      </c>
      <c r="J166" s="158" t="s">
        <v>176</v>
      </c>
      <c r="K166" s="158" t="s">
        <v>435</v>
      </c>
      <c r="L166" s="153" t="s">
        <v>206</v>
      </c>
      <c r="M166" s="391"/>
      <c r="N166" s="67">
        <v>44483</v>
      </c>
      <c r="O166" s="228"/>
      <c r="P166" s="106"/>
      <c r="Q166" s="75"/>
      <c r="R166" s="75"/>
      <c r="S166" s="75"/>
      <c r="T166" s="42"/>
      <c r="U166" s="63"/>
      <c r="V166" s="52"/>
      <c r="X166" s="35"/>
    </row>
    <row r="167" spans="2:24" x14ac:dyDescent="0.25">
      <c r="B167" s="405"/>
      <c r="C167" s="90">
        <v>2</v>
      </c>
      <c r="D167" s="204" t="s">
        <v>146</v>
      </c>
      <c r="E167" s="204"/>
      <c r="F167" s="204"/>
      <c r="G167" s="204"/>
      <c r="H167" s="99" t="str">
        <f>CONCATENATE($L$7,"-",LEFT(C167,3),"-",LEFT(D167,3),LEFT(I167,3),"-",LEFT(J167,7),"-",45)</f>
        <v>CGK-2-MEJKER-1/2 BIR-45</v>
      </c>
      <c r="I167" s="159" t="s">
        <v>147</v>
      </c>
      <c r="J167" s="158" t="s">
        <v>176</v>
      </c>
      <c r="K167" s="158" t="s">
        <v>435</v>
      </c>
      <c r="L167" s="153" t="s">
        <v>206</v>
      </c>
      <c r="M167" s="391"/>
      <c r="N167" s="67">
        <v>44483</v>
      </c>
      <c r="O167" s="228"/>
      <c r="P167" s="106"/>
      <c r="Q167" s="75"/>
      <c r="R167" s="75"/>
      <c r="S167" s="75"/>
      <c r="T167" s="42"/>
      <c r="U167" s="63"/>
      <c r="V167" s="52"/>
      <c r="X167" s="35"/>
    </row>
    <row r="168" spans="2:24" x14ac:dyDescent="0.25">
      <c r="B168" s="405"/>
      <c r="C168" s="90">
        <v>2</v>
      </c>
      <c r="D168" s="204" t="s">
        <v>146</v>
      </c>
      <c r="E168" s="204"/>
      <c r="F168" s="204"/>
      <c r="G168" s="204"/>
      <c r="H168" s="99" t="str">
        <f>CONCATENATE($L$7,"-",LEFT(C168,3),"-",LEFT(D168,3),LEFT(I168,3),"-",LEFT(J168,7),"-",46)</f>
        <v>CGK-2-MEJKER-1/2 BIR-46</v>
      </c>
      <c r="I168" s="159" t="s">
        <v>147</v>
      </c>
      <c r="J168" s="158" t="s">
        <v>176</v>
      </c>
      <c r="K168" s="158" t="s">
        <v>442</v>
      </c>
      <c r="L168" s="153" t="s">
        <v>206</v>
      </c>
      <c r="M168" s="391"/>
      <c r="N168" s="67">
        <v>44483</v>
      </c>
      <c r="O168" s="228"/>
      <c r="P168" s="106"/>
      <c r="Q168" s="75"/>
      <c r="R168" s="75"/>
      <c r="S168" s="75"/>
      <c r="T168" s="42"/>
      <c r="U168" s="63"/>
      <c r="V168" s="52"/>
      <c r="X168" s="35"/>
    </row>
    <row r="169" spans="2:24" x14ac:dyDescent="0.25">
      <c r="B169" s="405"/>
      <c r="C169" s="90">
        <v>2</v>
      </c>
      <c r="D169" s="204" t="s">
        <v>146</v>
      </c>
      <c r="E169" s="204"/>
      <c r="F169" s="204"/>
      <c r="G169" s="204"/>
      <c r="H169" s="99" t="str">
        <f>CONCATENATE($L$7,"-",LEFT(C169,3),"-",LEFT(D169,3),LEFT(I169,3),"-",LEFT(J169,7),"-",47)</f>
        <v>CGK-2-MEJKER-1/2 BIR-47</v>
      </c>
      <c r="I169" s="159" t="s">
        <v>147</v>
      </c>
      <c r="J169" s="158" t="s">
        <v>176</v>
      </c>
      <c r="K169" s="158" t="s">
        <v>442</v>
      </c>
      <c r="L169" s="153" t="s">
        <v>206</v>
      </c>
      <c r="M169" s="391"/>
      <c r="N169" s="67">
        <v>44483</v>
      </c>
      <c r="O169" s="228"/>
      <c r="P169" s="106"/>
      <c r="Q169" s="75"/>
      <c r="R169" s="75"/>
      <c r="S169" s="75"/>
      <c r="T169" s="42"/>
      <c r="U169" s="63"/>
      <c r="V169" s="52"/>
      <c r="X169" s="35"/>
    </row>
    <row r="170" spans="2:24" x14ac:dyDescent="0.25">
      <c r="B170" s="405"/>
      <c r="C170" s="90">
        <v>2</v>
      </c>
      <c r="D170" s="204" t="s">
        <v>146</v>
      </c>
      <c r="E170" s="204"/>
      <c r="F170" s="204"/>
      <c r="G170" s="204"/>
      <c r="H170" s="99" t="str">
        <f>CONCATENATE($L$7,"-",LEFT(C170,3),"-",LEFT(D170,3),LEFT(I170,3),"-",LEFT(J170,7),"-",48)</f>
        <v>CGK-2-MEJKER-1/2 BIR-48</v>
      </c>
      <c r="I170" s="159" t="s">
        <v>147</v>
      </c>
      <c r="J170" s="158" t="s">
        <v>176</v>
      </c>
      <c r="K170" s="158" t="s">
        <v>442</v>
      </c>
      <c r="L170" s="153" t="s">
        <v>206</v>
      </c>
      <c r="M170" s="391"/>
      <c r="N170" s="67">
        <v>44483</v>
      </c>
      <c r="O170" s="228"/>
      <c r="P170" s="106"/>
      <c r="Q170" s="75"/>
      <c r="R170" s="75"/>
      <c r="S170" s="75"/>
      <c r="T170" s="42"/>
      <c r="U170" s="63"/>
      <c r="V170" s="52"/>
      <c r="X170" s="35"/>
    </row>
    <row r="171" spans="2:24" x14ac:dyDescent="0.25">
      <c r="B171" s="405"/>
      <c r="C171" s="90">
        <v>2</v>
      </c>
      <c r="D171" s="204" t="s">
        <v>146</v>
      </c>
      <c r="E171" s="204"/>
      <c r="F171" s="204"/>
      <c r="G171" s="204"/>
      <c r="H171" s="99" t="str">
        <f>CONCATENATE($L$7,"-",LEFT(C171,3),"-",LEFT(D171,3),LEFT(I171,3),"-",LEFT(J171,7),"-",49)</f>
        <v>CGK-2-MEJKER-1/2 BIR-49</v>
      </c>
      <c r="I171" s="159" t="s">
        <v>147</v>
      </c>
      <c r="J171" s="158" t="s">
        <v>176</v>
      </c>
      <c r="K171" s="158" t="s">
        <v>434</v>
      </c>
      <c r="L171" s="153" t="s">
        <v>206</v>
      </c>
      <c r="M171" s="392"/>
      <c r="N171" s="67">
        <v>44483</v>
      </c>
      <c r="O171" s="228"/>
      <c r="P171" s="106"/>
      <c r="Q171" s="75"/>
      <c r="R171" s="75"/>
      <c r="S171" s="75"/>
      <c r="T171" s="42"/>
      <c r="U171" s="63"/>
      <c r="V171" s="52"/>
      <c r="X171" s="35"/>
    </row>
    <row r="172" spans="2:24" x14ac:dyDescent="0.25">
      <c r="B172" s="405"/>
      <c r="C172" s="90">
        <v>2</v>
      </c>
      <c r="D172" s="204" t="s">
        <v>146</v>
      </c>
      <c r="E172" s="204"/>
      <c r="F172" s="204"/>
      <c r="G172" s="204"/>
      <c r="H172" s="99" t="str">
        <f>CONCATENATE($L$7,"-",LEFT(C172,3),"-",LEFT(D172,3),LEFT(I172,3),"-",LEFT(J172,7),"-",1)</f>
        <v>CGK-2-MEJKER-CREDENZ-1</v>
      </c>
      <c r="I172" s="159" t="s">
        <v>147</v>
      </c>
      <c r="J172" s="158" t="s">
        <v>149</v>
      </c>
      <c r="K172" s="360" t="s">
        <v>359</v>
      </c>
      <c r="L172" s="153" t="s">
        <v>206</v>
      </c>
      <c r="M172" s="296">
        <v>0</v>
      </c>
      <c r="N172" s="67">
        <v>44483</v>
      </c>
      <c r="O172" s="228"/>
      <c r="P172" s="106" t="s">
        <v>73</v>
      </c>
      <c r="Q172" s="75"/>
      <c r="R172" s="75"/>
      <c r="S172" s="75"/>
      <c r="T172" s="42"/>
      <c r="U172" s="63"/>
      <c r="V172" s="52"/>
      <c r="X172" s="35"/>
    </row>
    <row r="173" spans="2:24" x14ac:dyDescent="0.25">
      <c r="B173" s="405"/>
      <c r="C173" s="90">
        <v>2</v>
      </c>
      <c r="D173" s="203" t="s">
        <v>146</v>
      </c>
      <c r="E173" s="204"/>
      <c r="F173" s="204"/>
      <c r="G173" s="204"/>
      <c r="H173" s="99" t="str">
        <f>CONCATENATE($L$7,"-",LEFT(C173,3),"-",LEFT(D173,3),LEFT(I173,3),"-",LEFT(J173,7),"-",1)</f>
        <v>CGK-2-MEJRAP-BIG-1</v>
      </c>
      <c r="I173" s="149" t="s">
        <v>174</v>
      </c>
      <c r="J173" s="151" t="s">
        <v>218</v>
      </c>
      <c r="K173" s="158" t="s">
        <v>431</v>
      </c>
      <c r="L173" s="153" t="s">
        <v>206</v>
      </c>
      <c r="M173" s="390">
        <f>'[1]TOTAL R. ATAS'!$F$29</f>
        <v>2</v>
      </c>
      <c r="N173" s="67">
        <v>44483</v>
      </c>
      <c r="O173" s="228"/>
      <c r="P173" s="106" t="s">
        <v>73</v>
      </c>
      <c r="Q173" s="59"/>
      <c r="R173" s="59"/>
      <c r="S173" s="59"/>
      <c r="T173" s="40"/>
      <c r="U173" s="43"/>
      <c r="V173" s="50"/>
      <c r="X173" s="35"/>
    </row>
    <row r="174" spans="2:24" x14ac:dyDescent="0.25">
      <c r="B174" s="405"/>
      <c r="C174" s="90">
        <v>2</v>
      </c>
      <c r="D174" s="203" t="s">
        <v>146</v>
      </c>
      <c r="E174" s="204"/>
      <c r="F174" s="204"/>
      <c r="G174" s="204"/>
      <c r="H174" s="99" t="str">
        <f>CONCATENATE($L$7,"-",LEFT(C174,3),"-",LEFT(D174,3),LEFT(I174,3),"-",LEFT(J174,7),"-",2)</f>
        <v>CGK-2-MEJRAP-BIG-2</v>
      </c>
      <c r="I174" s="149" t="s">
        <v>174</v>
      </c>
      <c r="J174" s="151" t="s">
        <v>218</v>
      </c>
      <c r="K174" s="158" t="s">
        <v>365</v>
      </c>
      <c r="L174" s="153" t="s">
        <v>206</v>
      </c>
      <c r="M174" s="391"/>
      <c r="N174" s="67">
        <v>44483</v>
      </c>
      <c r="O174" s="228"/>
      <c r="P174" s="106"/>
      <c r="Q174" s="59"/>
      <c r="R174" s="59"/>
      <c r="S174" s="59"/>
      <c r="T174" s="40"/>
      <c r="U174" s="43"/>
      <c r="V174" s="50"/>
      <c r="X174" s="35"/>
    </row>
    <row r="175" spans="2:24" x14ac:dyDescent="0.25">
      <c r="B175" s="405"/>
      <c r="C175" s="90">
        <v>2</v>
      </c>
      <c r="D175" s="203" t="s">
        <v>146</v>
      </c>
      <c r="E175" s="204"/>
      <c r="F175" s="204"/>
      <c r="G175" s="204"/>
      <c r="H175" s="99" t="str">
        <f>CONCATENATE($L$7,"-",LEFT(C175,3),"-",LEFT(D175,3),LEFT(I175,3),"-",LEFT(J175,3))</f>
        <v>CGK-2-MEJRAP-SMA</v>
      </c>
      <c r="I175" s="149" t="s">
        <v>174</v>
      </c>
      <c r="J175" s="151" t="s">
        <v>138</v>
      </c>
      <c r="K175" s="360" t="s">
        <v>359</v>
      </c>
      <c r="L175" s="153" t="s">
        <v>206</v>
      </c>
      <c r="M175" s="238">
        <f>'[1]TOTAL R. ATAS'!$F$30</f>
        <v>0</v>
      </c>
      <c r="N175" s="67">
        <v>44483</v>
      </c>
      <c r="O175" s="228"/>
      <c r="P175" s="106" t="s">
        <v>73</v>
      </c>
      <c r="Q175" s="59"/>
      <c r="R175" s="59"/>
      <c r="S175" s="59"/>
      <c r="T175" s="40"/>
      <c r="U175" s="43"/>
      <c r="V175" s="50"/>
      <c r="X175" s="35"/>
    </row>
    <row r="176" spans="2:24" ht="15.75" customHeight="1" x14ac:dyDescent="0.25">
      <c r="B176" s="405"/>
      <c r="C176" s="90">
        <v>2</v>
      </c>
      <c r="D176" s="203" t="s">
        <v>146</v>
      </c>
      <c r="E176" s="204"/>
      <c r="F176" s="204"/>
      <c r="G176" s="204"/>
      <c r="H176" s="99" t="str">
        <f>CONCATENATE($L$7,"-",LEFT(C176,3),"-",LEFT(D176,3),LEFT(I176,3),"-",LEFT(J176,3))</f>
        <v>CGK-2-MEJBUL-MED</v>
      </c>
      <c r="I176" s="149" t="s">
        <v>148</v>
      </c>
      <c r="J176" s="151" t="s">
        <v>219</v>
      </c>
      <c r="K176" s="360" t="s">
        <v>359</v>
      </c>
      <c r="L176" s="153" t="s">
        <v>206</v>
      </c>
      <c r="M176" s="238">
        <f>'[1]TOTAL R. ATAS'!$F$31</f>
        <v>0</v>
      </c>
      <c r="N176" s="67">
        <v>44483</v>
      </c>
      <c r="O176" s="228"/>
      <c r="P176" s="107" t="s">
        <v>73</v>
      </c>
      <c r="Q176" s="59"/>
      <c r="R176" s="59"/>
      <c r="S176" s="59"/>
      <c r="T176" s="40"/>
      <c r="U176" s="43"/>
      <c r="V176" s="50"/>
      <c r="X176" s="35"/>
    </row>
    <row r="177" spans="2:24" ht="15.75" customHeight="1" x14ac:dyDescent="0.25">
      <c r="B177" s="405"/>
      <c r="C177" s="90">
        <v>2</v>
      </c>
      <c r="D177" s="203" t="s">
        <v>146</v>
      </c>
      <c r="E177" s="204"/>
      <c r="F177" s="204"/>
      <c r="G177" s="204"/>
      <c r="H177" s="99" t="str">
        <f>CONCATENATE($L$7,"-",LEFT(C177,3),"-",LEFT(D177,3),LEFT(I177,3),"-",LEFT(J177,3))</f>
        <v>CGK-2-MEJRAI-BLA</v>
      </c>
      <c r="I177" s="149" t="s">
        <v>462</v>
      </c>
      <c r="J177" s="151" t="s">
        <v>310</v>
      </c>
      <c r="K177" s="158" t="s">
        <v>463</v>
      </c>
      <c r="L177" s="153" t="s">
        <v>206</v>
      </c>
      <c r="M177" s="238">
        <v>1</v>
      </c>
      <c r="N177" s="67">
        <v>44483</v>
      </c>
      <c r="O177" s="228"/>
      <c r="P177" s="107" t="s">
        <v>73</v>
      </c>
      <c r="Q177" s="60"/>
      <c r="R177" s="60"/>
      <c r="S177" s="60"/>
      <c r="T177" s="41"/>
      <c r="U177" s="37"/>
      <c r="V177" s="51"/>
      <c r="X177" s="35"/>
    </row>
    <row r="178" spans="2:24" ht="15.75" customHeight="1" x14ac:dyDescent="0.25">
      <c r="B178" s="405"/>
      <c r="C178" s="90">
        <v>2</v>
      </c>
      <c r="D178" s="203" t="s">
        <v>146</v>
      </c>
      <c r="E178" s="204"/>
      <c r="F178" s="204"/>
      <c r="G178" s="204"/>
      <c r="H178" s="99" t="str">
        <f>CONCATENATE($L$7,"-",LEFT(C178,3),"-",LEFT(D178,3),LEFT(I178,3),"-",LEFT(J178,3))</f>
        <v>CGK-2-MEJREC-BIG</v>
      </c>
      <c r="I178" s="149" t="s">
        <v>461</v>
      </c>
      <c r="J178" s="151" t="s">
        <v>218</v>
      </c>
      <c r="K178" s="158" t="s">
        <v>444</v>
      </c>
      <c r="L178" s="153" t="s">
        <v>206</v>
      </c>
      <c r="M178" s="358">
        <v>1</v>
      </c>
      <c r="N178" s="67">
        <v>44483</v>
      </c>
      <c r="O178" s="228"/>
      <c r="P178" s="107"/>
      <c r="Q178" s="60"/>
      <c r="R178" s="60"/>
      <c r="S178" s="60"/>
      <c r="T178" s="41"/>
      <c r="U178" s="37"/>
      <c r="V178" s="51"/>
      <c r="X178" s="35"/>
    </row>
    <row r="179" spans="2:24" x14ac:dyDescent="0.25">
      <c r="B179" s="405"/>
      <c r="C179" s="90">
        <v>2</v>
      </c>
      <c r="D179" s="203" t="s">
        <v>150</v>
      </c>
      <c r="E179" s="204"/>
      <c r="F179" s="204"/>
      <c r="G179" s="204"/>
      <c r="H179" s="99" t="str">
        <f>CONCATENATE($L$7,"-",LEFT(C179,3),"-",LEFT(D179,3),LEFT(I179,3),"-",LEFT(J179,3),"-",1)</f>
        <v>CGK-2-KURDIR-DIR-1</v>
      </c>
      <c r="I179" s="149" t="s">
        <v>151</v>
      </c>
      <c r="J179" s="151" t="s">
        <v>151</v>
      </c>
      <c r="K179" s="158" t="s">
        <v>355</v>
      </c>
      <c r="L179" s="153" t="s">
        <v>206</v>
      </c>
      <c r="M179" s="390">
        <f>'[1]TOTAL R. ATAS'!$F$33</f>
        <v>2</v>
      </c>
      <c r="N179" s="67">
        <v>44483</v>
      </c>
      <c r="O179" s="228"/>
      <c r="P179" s="107" t="s">
        <v>73</v>
      </c>
      <c r="Q179" s="60"/>
      <c r="R179" s="60"/>
      <c r="S179" s="60"/>
      <c r="T179" s="41"/>
      <c r="U179" s="37"/>
      <c r="V179" s="51"/>
      <c r="X179" s="35"/>
    </row>
    <row r="180" spans="2:24" x14ac:dyDescent="0.25">
      <c r="B180" s="405"/>
      <c r="C180" s="90">
        <v>2</v>
      </c>
      <c r="D180" s="203" t="s">
        <v>150</v>
      </c>
      <c r="E180" s="204"/>
      <c r="F180" s="204"/>
      <c r="G180" s="204"/>
      <c r="H180" s="99" t="str">
        <f>CONCATENATE($L$7,"-",LEFT(C180,3),"-",LEFT(D180,3),LEFT(I180,3),"-",LEFT(J180,3),"-",2)</f>
        <v>CGK-2-KURDIR-DIR-2</v>
      </c>
      <c r="I180" s="149" t="s">
        <v>151</v>
      </c>
      <c r="J180" s="151" t="s">
        <v>151</v>
      </c>
      <c r="K180" s="158" t="s">
        <v>239</v>
      </c>
      <c r="L180" s="153" t="s">
        <v>206</v>
      </c>
      <c r="M180" s="392"/>
      <c r="N180" s="67">
        <v>44483</v>
      </c>
      <c r="O180" s="228"/>
      <c r="P180" s="107"/>
      <c r="Q180" s="60"/>
      <c r="R180" s="60"/>
      <c r="S180" s="60"/>
      <c r="T180" s="41"/>
      <c r="U180" s="37"/>
      <c r="V180" s="51"/>
      <c r="X180" s="35"/>
    </row>
    <row r="181" spans="2:24" x14ac:dyDescent="0.25">
      <c r="B181" s="405"/>
      <c r="C181" s="90">
        <v>2</v>
      </c>
      <c r="D181" s="203" t="s">
        <v>150</v>
      </c>
      <c r="E181" s="204"/>
      <c r="F181" s="204"/>
      <c r="G181" s="204"/>
      <c r="H181" s="99" t="str">
        <f>CONCATENATE($L$7,"-",LEFT(C181,3),"-",LEFT(D181,3),LEFT(I181,3),"-",LEFT(J181,3),"-",1)</f>
        <v>CGK-2-KURSTA-STA-1</v>
      </c>
      <c r="I181" s="149" t="s">
        <v>152</v>
      </c>
      <c r="J181" s="151" t="s">
        <v>152</v>
      </c>
      <c r="K181" s="158" t="s">
        <v>431</v>
      </c>
      <c r="L181" s="153" t="s">
        <v>206</v>
      </c>
      <c r="M181" s="390">
        <v>56</v>
      </c>
      <c r="N181" s="67">
        <v>44483</v>
      </c>
      <c r="O181" s="228"/>
      <c r="P181" s="107" t="s">
        <v>73</v>
      </c>
      <c r="Q181" s="60"/>
      <c r="R181" s="60"/>
      <c r="S181" s="60"/>
      <c r="T181" s="41"/>
      <c r="U181" s="37"/>
      <c r="V181" s="51"/>
      <c r="X181" s="35"/>
    </row>
    <row r="182" spans="2:24" x14ac:dyDescent="0.25">
      <c r="B182" s="405"/>
      <c r="C182" s="90">
        <v>2</v>
      </c>
      <c r="D182" s="203" t="s">
        <v>150</v>
      </c>
      <c r="E182" s="204"/>
      <c r="F182" s="204"/>
      <c r="G182" s="204"/>
      <c r="H182" s="99" t="str">
        <f>CONCATENATE($L$7,"-",LEFT(C182,3),"-",LEFT(D182,3),LEFT(I182,3),"-",LEFT(J182,3),"-",2)</f>
        <v>CGK-2-KURSTA-STA-2</v>
      </c>
      <c r="I182" s="149" t="s">
        <v>152</v>
      </c>
      <c r="J182" s="151" t="s">
        <v>152</v>
      </c>
      <c r="K182" s="158" t="s">
        <v>431</v>
      </c>
      <c r="L182" s="153" t="s">
        <v>206</v>
      </c>
      <c r="M182" s="391"/>
      <c r="N182" s="67">
        <v>44483</v>
      </c>
      <c r="O182" s="228"/>
      <c r="P182" s="107"/>
      <c r="Q182" s="60"/>
      <c r="R182" s="60"/>
      <c r="S182" s="60"/>
      <c r="T182" s="41"/>
      <c r="U182" s="37"/>
      <c r="V182" s="51"/>
      <c r="X182" s="35"/>
    </row>
    <row r="183" spans="2:24" x14ac:dyDescent="0.25">
      <c r="B183" s="405"/>
      <c r="C183" s="90">
        <v>2</v>
      </c>
      <c r="D183" s="203" t="s">
        <v>150</v>
      </c>
      <c r="E183" s="204"/>
      <c r="F183" s="204"/>
      <c r="G183" s="204"/>
      <c r="H183" s="99" t="str">
        <f>CONCATENATE($L$7,"-",LEFT(C183,3),"-",LEFT(D183,3),LEFT(I183,3),"-",LEFT(J183,3),"-",3)</f>
        <v>CGK-2-KURSTA-STA-3</v>
      </c>
      <c r="I183" s="149" t="s">
        <v>152</v>
      </c>
      <c r="J183" s="151" t="s">
        <v>152</v>
      </c>
      <c r="K183" s="158" t="s">
        <v>431</v>
      </c>
      <c r="L183" s="153" t="s">
        <v>206</v>
      </c>
      <c r="M183" s="391"/>
      <c r="N183" s="67">
        <v>44483</v>
      </c>
      <c r="O183" s="228"/>
      <c r="P183" s="107"/>
      <c r="Q183" s="60"/>
      <c r="R183" s="60"/>
      <c r="S183" s="60"/>
      <c r="T183" s="41"/>
      <c r="U183" s="37"/>
      <c r="V183" s="51"/>
      <c r="X183" s="35"/>
    </row>
    <row r="184" spans="2:24" x14ac:dyDescent="0.25">
      <c r="B184" s="405"/>
      <c r="C184" s="90">
        <v>2</v>
      </c>
      <c r="D184" s="203" t="s">
        <v>150</v>
      </c>
      <c r="E184" s="204"/>
      <c r="F184" s="204"/>
      <c r="G184" s="204"/>
      <c r="H184" s="99" t="str">
        <f>CONCATENATE($L$7,"-",LEFT(C184,3),"-",LEFT(D184,3),LEFT(I184,3),"-",LEFT(J184,3),"-",4)</f>
        <v>CGK-2-KURSTA-STA-4</v>
      </c>
      <c r="I184" s="149" t="s">
        <v>152</v>
      </c>
      <c r="J184" s="151" t="s">
        <v>152</v>
      </c>
      <c r="K184" s="158" t="s">
        <v>431</v>
      </c>
      <c r="L184" s="153" t="s">
        <v>206</v>
      </c>
      <c r="M184" s="391"/>
      <c r="N184" s="67">
        <v>44483</v>
      </c>
      <c r="O184" s="228"/>
      <c r="P184" s="107"/>
      <c r="Q184" s="60"/>
      <c r="R184" s="60"/>
      <c r="S184" s="60"/>
      <c r="T184" s="41"/>
      <c r="U184" s="37"/>
      <c r="V184" s="51"/>
      <c r="X184" s="35"/>
    </row>
    <row r="185" spans="2:24" x14ac:dyDescent="0.25">
      <c r="B185" s="405"/>
      <c r="C185" s="90">
        <v>2</v>
      </c>
      <c r="D185" s="203" t="s">
        <v>150</v>
      </c>
      <c r="E185" s="204"/>
      <c r="F185" s="204"/>
      <c r="G185" s="204"/>
      <c r="H185" s="99" t="str">
        <f>CONCATENATE($L$7,"-",LEFT(C185,3),"-",LEFT(D185,3),LEFT(I185,3),"-",LEFT(J185,3),"-",5)</f>
        <v>CGK-2-KURSTA-STA-5</v>
      </c>
      <c r="I185" s="149" t="s">
        <v>152</v>
      </c>
      <c r="J185" s="151" t="s">
        <v>152</v>
      </c>
      <c r="K185" s="158" t="s">
        <v>431</v>
      </c>
      <c r="L185" s="153" t="s">
        <v>206</v>
      </c>
      <c r="M185" s="391"/>
      <c r="N185" s="67">
        <v>44483</v>
      </c>
      <c r="O185" s="228"/>
      <c r="P185" s="107"/>
      <c r="Q185" s="60"/>
      <c r="R185" s="60"/>
      <c r="S185" s="60"/>
      <c r="T185" s="41"/>
      <c r="U185" s="37"/>
      <c r="V185" s="51"/>
      <c r="X185" s="35"/>
    </row>
    <row r="186" spans="2:24" x14ac:dyDescent="0.25">
      <c r="B186" s="405"/>
      <c r="C186" s="90">
        <v>2</v>
      </c>
      <c r="D186" s="203" t="s">
        <v>150</v>
      </c>
      <c r="E186" s="204"/>
      <c r="F186" s="204"/>
      <c r="G186" s="204"/>
      <c r="H186" s="99" t="str">
        <f>CONCATENATE($L$7,"-",LEFT(C186,3),"-",LEFT(D186,3),LEFT(I186,3),"-",LEFT(J186,3),"-",6)</f>
        <v>CGK-2-KURSTA-STA-6</v>
      </c>
      <c r="I186" s="149" t="s">
        <v>152</v>
      </c>
      <c r="J186" s="151" t="s">
        <v>152</v>
      </c>
      <c r="K186" s="158" t="s">
        <v>431</v>
      </c>
      <c r="L186" s="153" t="s">
        <v>206</v>
      </c>
      <c r="M186" s="391"/>
      <c r="N186" s="67">
        <v>44483</v>
      </c>
      <c r="O186" s="228"/>
      <c r="P186" s="107"/>
      <c r="Q186" s="60"/>
      <c r="R186" s="60"/>
      <c r="S186" s="60"/>
      <c r="T186" s="41"/>
      <c r="U186" s="37"/>
      <c r="V186" s="51"/>
      <c r="X186" s="35"/>
    </row>
    <row r="187" spans="2:24" x14ac:dyDescent="0.25">
      <c r="B187" s="405"/>
      <c r="C187" s="90">
        <v>2</v>
      </c>
      <c r="D187" s="203" t="s">
        <v>150</v>
      </c>
      <c r="E187" s="204"/>
      <c r="F187" s="204"/>
      <c r="G187" s="204"/>
      <c r="H187" s="99" t="str">
        <f>CONCATENATE($L$7,"-",LEFT(C187,3),"-",LEFT(D187,3),LEFT(I187,3),"-",LEFT(J187,3),"-",7)</f>
        <v>CGK-2-KURSTA-STA-7</v>
      </c>
      <c r="I187" s="149" t="s">
        <v>152</v>
      </c>
      <c r="J187" s="151" t="s">
        <v>152</v>
      </c>
      <c r="K187" s="158" t="s">
        <v>431</v>
      </c>
      <c r="L187" s="153" t="s">
        <v>206</v>
      </c>
      <c r="M187" s="391"/>
      <c r="N187" s="67">
        <v>44483</v>
      </c>
      <c r="O187" s="228"/>
      <c r="P187" s="107"/>
      <c r="Q187" s="60"/>
      <c r="R187" s="60"/>
      <c r="S187" s="60"/>
      <c r="T187" s="41"/>
      <c r="U187" s="37"/>
      <c r="V187" s="51"/>
      <c r="X187" s="35"/>
    </row>
    <row r="188" spans="2:24" x14ac:dyDescent="0.25">
      <c r="B188" s="405"/>
      <c r="C188" s="90">
        <v>2</v>
      </c>
      <c r="D188" s="203" t="s">
        <v>150</v>
      </c>
      <c r="E188" s="204"/>
      <c r="F188" s="204"/>
      <c r="G188" s="204"/>
      <c r="H188" s="99" t="str">
        <f>CONCATENATE($L$7,"-",LEFT(C188,3),"-",LEFT(D188,3),LEFT(I188,3),"-",LEFT(J188,3),"-",8)</f>
        <v>CGK-2-KURSTA-STA-8</v>
      </c>
      <c r="I188" s="149" t="s">
        <v>152</v>
      </c>
      <c r="J188" s="151" t="s">
        <v>152</v>
      </c>
      <c r="K188" s="158" t="s">
        <v>431</v>
      </c>
      <c r="L188" s="153" t="s">
        <v>206</v>
      </c>
      <c r="M188" s="391"/>
      <c r="N188" s="67">
        <v>44483</v>
      </c>
      <c r="O188" s="228"/>
      <c r="P188" s="107"/>
      <c r="Q188" s="60"/>
      <c r="R188" s="60"/>
      <c r="S188" s="60"/>
      <c r="T188" s="41"/>
      <c r="U188" s="37"/>
      <c r="V188" s="51"/>
      <c r="X188" s="35"/>
    </row>
    <row r="189" spans="2:24" x14ac:dyDescent="0.25">
      <c r="B189" s="405"/>
      <c r="C189" s="90">
        <v>2</v>
      </c>
      <c r="D189" s="203" t="s">
        <v>150</v>
      </c>
      <c r="E189" s="204"/>
      <c r="F189" s="204"/>
      <c r="G189" s="204"/>
      <c r="H189" s="99" t="str">
        <f>CONCATENATE($L$7,"-",LEFT(C189,3),"-",LEFT(D189,3),LEFT(I189,3),"-",LEFT(J189,3),"-",9)</f>
        <v>CGK-2-KURSTA-STA-9</v>
      </c>
      <c r="I189" s="149" t="s">
        <v>152</v>
      </c>
      <c r="J189" s="151" t="s">
        <v>152</v>
      </c>
      <c r="K189" s="158" t="s">
        <v>365</v>
      </c>
      <c r="L189" s="153" t="s">
        <v>206</v>
      </c>
      <c r="M189" s="391"/>
      <c r="N189" s="67">
        <v>44483</v>
      </c>
      <c r="O189" s="228"/>
      <c r="P189" s="107"/>
      <c r="Q189" s="60"/>
      <c r="R189" s="60"/>
      <c r="S189" s="60"/>
      <c r="T189" s="41"/>
      <c r="U189" s="37"/>
      <c r="V189" s="51"/>
      <c r="X189" s="35"/>
    </row>
    <row r="190" spans="2:24" x14ac:dyDescent="0.25">
      <c r="B190" s="405"/>
      <c r="C190" s="90">
        <v>2</v>
      </c>
      <c r="D190" s="203" t="s">
        <v>150</v>
      </c>
      <c r="E190" s="204"/>
      <c r="F190" s="204"/>
      <c r="G190" s="204"/>
      <c r="H190" s="99" t="str">
        <f>CONCATENATE($L$7,"-",LEFT(C190,3),"-",LEFT(D190,3),LEFT(I190,3),"-",LEFT(J190,3),"-",10)</f>
        <v>CGK-2-KURSTA-STA-10</v>
      </c>
      <c r="I190" s="149" t="s">
        <v>152</v>
      </c>
      <c r="J190" s="151" t="s">
        <v>152</v>
      </c>
      <c r="K190" s="158" t="s">
        <v>365</v>
      </c>
      <c r="L190" s="153" t="s">
        <v>206</v>
      </c>
      <c r="M190" s="391"/>
      <c r="N190" s="67">
        <v>44483</v>
      </c>
      <c r="O190" s="228"/>
      <c r="P190" s="107"/>
      <c r="Q190" s="60"/>
      <c r="R190" s="60"/>
      <c r="S190" s="60"/>
      <c r="T190" s="41"/>
      <c r="U190" s="37"/>
      <c r="V190" s="51"/>
      <c r="X190" s="35"/>
    </row>
    <row r="191" spans="2:24" x14ac:dyDescent="0.25">
      <c r="B191" s="405"/>
      <c r="C191" s="90">
        <v>2</v>
      </c>
      <c r="D191" s="203" t="s">
        <v>150</v>
      </c>
      <c r="E191" s="204"/>
      <c r="F191" s="204"/>
      <c r="G191" s="204"/>
      <c r="H191" s="99" t="str">
        <f>CONCATENATE($L$7,"-",LEFT(C191,3),"-",LEFT(D191,3),LEFT(I191,3),"-",LEFT(J191,3),"-",11)</f>
        <v>CGK-2-KURSTA-STA-11</v>
      </c>
      <c r="I191" s="149" t="s">
        <v>152</v>
      </c>
      <c r="J191" s="151" t="s">
        <v>152</v>
      </c>
      <c r="K191" s="158" t="s">
        <v>365</v>
      </c>
      <c r="L191" s="153" t="s">
        <v>206</v>
      </c>
      <c r="M191" s="391"/>
      <c r="N191" s="67">
        <v>44483</v>
      </c>
      <c r="O191" s="228"/>
      <c r="P191" s="107"/>
      <c r="Q191" s="60"/>
      <c r="R191" s="60"/>
      <c r="S191" s="60"/>
      <c r="T191" s="41"/>
      <c r="U191" s="37"/>
      <c r="V191" s="51"/>
      <c r="X191" s="35"/>
    </row>
    <row r="192" spans="2:24" x14ac:dyDescent="0.25">
      <c r="B192" s="405"/>
      <c r="C192" s="90">
        <v>2</v>
      </c>
      <c r="D192" s="203" t="s">
        <v>150</v>
      </c>
      <c r="E192" s="204"/>
      <c r="F192" s="204"/>
      <c r="G192" s="204"/>
      <c r="H192" s="99" t="str">
        <f>CONCATENATE($L$7,"-",LEFT(C192,3),"-",LEFT(D192,3),LEFT(I192,3),"-",LEFT(J192,3),"-",12)</f>
        <v>CGK-2-KURSTA-STA-12</v>
      </c>
      <c r="I192" s="149" t="s">
        <v>152</v>
      </c>
      <c r="J192" s="151" t="s">
        <v>152</v>
      </c>
      <c r="K192" s="158" t="s">
        <v>365</v>
      </c>
      <c r="L192" s="153" t="s">
        <v>206</v>
      </c>
      <c r="M192" s="391"/>
      <c r="N192" s="67">
        <v>44483</v>
      </c>
      <c r="O192" s="228"/>
      <c r="P192" s="107"/>
      <c r="Q192" s="60"/>
      <c r="R192" s="60"/>
      <c r="S192" s="60"/>
      <c r="T192" s="41"/>
      <c r="U192" s="37"/>
      <c r="V192" s="51"/>
      <c r="X192" s="35"/>
    </row>
    <row r="193" spans="2:24" x14ac:dyDescent="0.25">
      <c r="B193" s="405"/>
      <c r="C193" s="90">
        <v>2</v>
      </c>
      <c r="D193" s="203" t="s">
        <v>150</v>
      </c>
      <c r="E193" s="204"/>
      <c r="F193" s="204"/>
      <c r="G193" s="204"/>
      <c r="H193" s="99" t="str">
        <f>CONCATENATE($L$7,"-",LEFT(C193,3),"-",LEFT(D193,3),LEFT(I193,3),"-",LEFT(J193,3),"-",13)</f>
        <v>CGK-2-KURSTA-STA-13</v>
      </c>
      <c r="I193" s="149" t="s">
        <v>152</v>
      </c>
      <c r="J193" s="151" t="s">
        <v>152</v>
      </c>
      <c r="K193" s="158" t="s">
        <v>365</v>
      </c>
      <c r="L193" s="153" t="s">
        <v>206</v>
      </c>
      <c r="M193" s="391"/>
      <c r="N193" s="67">
        <v>44483</v>
      </c>
      <c r="O193" s="228"/>
      <c r="P193" s="107"/>
      <c r="Q193" s="60"/>
      <c r="R193" s="60"/>
      <c r="S193" s="60"/>
      <c r="T193" s="41"/>
      <c r="U193" s="37"/>
      <c r="V193" s="51"/>
      <c r="X193" s="35"/>
    </row>
    <row r="194" spans="2:24" x14ac:dyDescent="0.25">
      <c r="B194" s="405"/>
      <c r="C194" s="90">
        <v>2</v>
      </c>
      <c r="D194" s="203" t="s">
        <v>150</v>
      </c>
      <c r="E194" s="204"/>
      <c r="F194" s="204"/>
      <c r="G194" s="204"/>
      <c r="H194" s="99" t="str">
        <f>CONCATENATE($L$7,"-",LEFT(C194,3),"-",LEFT(D194,3),LEFT(I194,3),"-",LEFT(J194,3),"-",14)</f>
        <v>CGK-2-KURSTA-STA-14</v>
      </c>
      <c r="I194" s="149" t="s">
        <v>152</v>
      </c>
      <c r="J194" s="151" t="s">
        <v>152</v>
      </c>
      <c r="K194" s="158" t="s">
        <v>365</v>
      </c>
      <c r="L194" s="153" t="s">
        <v>206</v>
      </c>
      <c r="M194" s="391"/>
      <c r="N194" s="67">
        <v>44483</v>
      </c>
      <c r="O194" s="228"/>
      <c r="P194" s="107"/>
      <c r="Q194" s="60"/>
      <c r="R194" s="60"/>
      <c r="S194" s="60"/>
      <c r="T194" s="41"/>
      <c r="U194" s="37"/>
      <c r="V194" s="51"/>
      <c r="X194" s="35"/>
    </row>
    <row r="195" spans="2:24" x14ac:dyDescent="0.25">
      <c r="B195" s="405"/>
      <c r="C195" s="90">
        <v>2</v>
      </c>
      <c r="D195" s="203" t="s">
        <v>150</v>
      </c>
      <c r="E195" s="204"/>
      <c r="F195" s="204"/>
      <c r="G195" s="204"/>
      <c r="H195" s="99" t="str">
        <f>CONCATENATE($L$7,"-",LEFT(C195,3),"-",LEFT(D195,3),LEFT(I195,3),"-",LEFT(J195,3),"-",15)</f>
        <v>CGK-2-KURSTA-STA-15</v>
      </c>
      <c r="I195" s="149" t="s">
        <v>152</v>
      </c>
      <c r="J195" s="151" t="s">
        <v>152</v>
      </c>
      <c r="K195" s="158" t="s">
        <v>365</v>
      </c>
      <c r="L195" s="153" t="s">
        <v>206</v>
      </c>
      <c r="M195" s="391"/>
      <c r="N195" s="67">
        <v>44483</v>
      </c>
      <c r="O195" s="228"/>
      <c r="P195" s="107"/>
      <c r="Q195" s="60"/>
      <c r="R195" s="60"/>
      <c r="S195" s="60"/>
      <c r="T195" s="41"/>
      <c r="U195" s="37"/>
      <c r="V195" s="51"/>
      <c r="X195" s="35"/>
    </row>
    <row r="196" spans="2:24" x14ac:dyDescent="0.25">
      <c r="B196" s="405"/>
      <c r="C196" s="90">
        <v>2</v>
      </c>
      <c r="D196" s="203" t="s">
        <v>150</v>
      </c>
      <c r="E196" s="204"/>
      <c r="F196" s="204"/>
      <c r="G196" s="204"/>
      <c r="H196" s="99" t="str">
        <f>CONCATENATE($L$7,"-",LEFT(C196,3),"-",LEFT(D196,3),LEFT(I196,3),"-",LEFT(J196,3),"-",16)</f>
        <v>CGK-2-KURSTA-STA-16</v>
      </c>
      <c r="I196" s="149" t="s">
        <v>152</v>
      </c>
      <c r="J196" s="151" t="s">
        <v>152</v>
      </c>
      <c r="K196" s="158" t="s">
        <v>365</v>
      </c>
      <c r="L196" s="153" t="s">
        <v>206</v>
      </c>
      <c r="M196" s="391"/>
      <c r="N196" s="67">
        <v>44483</v>
      </c>
      <c r="O196" s="228"/>
      <c r="P196" s="107"/>
      <c r="Q196" s="60"/>
      <c r="R196" s="60"/>
      <c r="S196" s="60"/>
      <c r="T196" s="41"/>
      <c r="U196" s="37"/>
      <c r="V196" s="51"/>
      <c r="X196" s="35"/>
    </row>
    <row r="197" spans="2:24" x14ac:dyDescent="0.25">
      <c r="B197" s="405"/>
      <c r="C197" s="90">
        <v>2</v>
      </c>
      <c r="D197" s="203" t="s">
        <v>150</v>
      </c>
      <c r="E197" s="204"/>
      <c r="F197" s="204"/>
      <c r="G197" s="204"/>
      <c r="H197" s="99" t="str">
        <f>CONCATENATE($L$7,"-",LEFT(C197,3),"-",LEFT(D197,3),LEFT(I197,3),"-",LEFT(J197,3),"-",17)</f>
        <v>CGK-2-KURSTA-STA-17</v>
      </c>
      <c r="I197" s="149" t="s">
        <v>152</v>
      </c>
      <c r="J197" s="151" t="s">
        <v>152</v>
      </c>
      <c r="K197" s="158" t="s">
        <v>365</v>
      </c>
      <c r="L197" s="153" t="s">
        <v>206</v>
      </c>
      <c r="M197" s="391"/>
      <c r="N197" s="67">
        <v>44483</v>
      </c>
      <c r="O197" s="228"/>
      <c r="P197" s="107"/>
      <c r="Q197" s="60"/>
      <c r="R197" s="60"/>
      <c r="S197" s="60"/>
      <c r="T197" s="41"/>
      <c r="U197" s="37"/>
      <c r="V197" s="51"/>
      <c r="X197" s="35"/>
    </row>
    <row r="198" spans="2:24" x14ac:dyDescent="0.25">
      <c r="B198" s="405"/>
      <c r="C198" s="90">
        <v>2</v>
      </c>
      <c r="D198" s="203" t="s">
        <v>150</v>
      </c>
      <c r="E198" s="204"/>
      <c r="F198" s="204"/>
      <c r="G198" s="204"/>
      <c r="H198" s="99" t="str">
        <f>CONCATENATE($L$7,"-",LEFT(C198,3),"-",LEFT(D198,3),LEFT(I198,3),"-",LEFT(J198,3),"-",18)</f>
        <v>CGK-2-KURSTA-STA-18</v>
      </c>
      <c r="I198" s="149" t="s">
        <v>152</v>
      </c>
      <c r="J198" s="151" t="s">
        <v>152</v>
      </c>
      <c r="K198" s="158" t="s">
        <v>423</v>
      </c>
      <c r="L198" s="153" t="s">
        <v>206</v>
      </c>
      <c r="M198" s="391"/>
      <c r="N198" s="67">
        <v>44483</v>
      </c>
      <c r="O198" s="228"/>
      <c r="P198" s="107"/>
      <c r="Q198" s="60"/>
      <c r="R198" s="60"/>
      <c r="S198" s="60"/>
      <c r="T198" s="41"/>
      <c r="U198" s="37"/>
      <c r="V198" s="51"/>
      <c r="X198" s="35"/>
    </row>
    <row r="199" spans="2:24" x14ac:dyDescent="0.25">
      <c r="B199" s="405"/>
      <c r="C199" s="90">
        <v>2</v>
      </c>
      <c r="D199" s="203" t="s">
        <v>150</v>
      </c>
      <c r="E199" s="204"/>
      <c r="F199" s="204"/>
      <c r="G199" s="204"/>
      <c r="H199" s="99" t="str">
        <f>CONCATENATE($L$7,"-",LEFT(C199,3),"-",LEFT(D199,3),LEFT(I199,3),"-",LEFT(J199,3),"-",19)</f>
        <v>CGK-2-KURSTA-STA-19</v>
      </c>
      <c r="I199" s="149" t="s">
        <v>152</v>
      </c>
      <c r="J199" s="151" t="s">
        <v>152</v>
      </c>
      <c r="K199" s="158" t="s">
        <v>423</v>
      </c>
      <c r="L199" s="153" t="s">
        <v>206</v>
      </c>
      <c r="M199" s="391"/>
      <c r="N199" s="67">
        <v>44483</v>
      </c>
      <c r="O199" s="228"/>
      <c r="P199" s="107"/>
      <c r="Q199" s="60"/>
      <c r="R199" s="60"/>
      <c r="S199" s="60"/>
      <c r="T199" s="41"/>
      <c r="U199" s="37"/>
      <c r="V199" s="51"/>
      <c r="X199" s="35"/>
    </row>
    <row r="200" spans="2:24" x14ac:dyDescent="0.25">
      <c r="B200" s="405"/>
      <c r="C200" s="90">
        <v>2</v>
      </c>
      <c r="D200" s="203" t="s">
        <v>150</v>
      </c>
      <c r="E200" s="204"/>
      <c r="F200" s="204"/>
      <c r="G200" s="204"/>
      <c r="H200" s="99" t="str">
        <f>CONCATENATE($L$7,"-",LEFT(C200,3),"-",LEFT(D200,3),LEFT(I200,3),"-",LEFT(J200,3),"-",20)</f>
        <v>CGK-2-KURSTA-STA-20</v>
      </c>
      <c r="I200" s="149" t="s">
        <v>152</v>
      </c>
      <c r="J200" s="151" t="s">
        <v>152</v>
      </c>
      <c r="K200" s="158" t="s">
        <v>423</v>
      </c>
      <c r="L200" s="153" t="s">
        <v>206</v>
      </c>
      <c r="M200" s="391"/>
      <c r="N200" s="67">
        <v>44483</v>
      </c>
      <c r="O200" s="228"/>
      <c r="P200" s="107"/>
      <c r="Q200" s="60"/>
      <c r="R200" s="60"/>
      <c r="S200" s="60"/>
      <c r="T200" s="41"/>
      <c r="U200" s="37"/>
      <c r="V200" s="51"/>
      <c r="X200" s="35"/>
    </row>
    <row r="201" spans="2:24" x14ac:dyDescent="0.25">
      <c r="B201" s="405"/>
      <c r="C201" s="90">
        <v>2</v>
      </c>
      <c r="D201" s="203" t="s">
        <v>150</v>
      </c>
      <c r="E201" s="204"/>
      <c r="F201" s="204"/>
      <c r="G201" s="204"/>
      <c r="H201" s="99" t="str">
        <f>CONCATENATE($L$7,"-",LEFT(C201,3),"-",LEFT(D201,3),LEFT(I201,3),"-",LEFT(J201,3),"-",21)</f>
        <v>CGK-2-KURSTA-STA-21</v>
      </c>
      <c r="I201" s="149" t="s">
        <v>152</v>
      </c>
      <c r="J201" s="151" t="s">
        <v>152</v>
      </c>
      <c r="K201" s="158" t="s">
        <v>423</v>
      </c>
      <c r="L201" s="153" t="s">
        <v>206</v>
      </c>
      <c r="M201" s="391"/>
      <c r="N201" s="67">
        <v>44483</v>
      </c>
      <c r="O201" s="228"/>
      <c r="P201" s="107"/>
      <c r="Q201" s="60"/>
      <c r="R201" s="60"/>
      <c r="S201" s="60"/>
      <c r="T201" s="41"/>
      <c r="U201" s="37"/>
      <c r="V201" s="51"/>
      <c r="X201" s="35"/>
    </row>
    <row r="202" spans="2:24" x14ac:dyDescent="0.25">
      <c r="B202" s="405"/>
      <c r="C202" s="90">
        <v>2</v>
      </c>
      <c r="D202" s="203" t="s">
        <v>150</v>
      </c>
      <c r="E202" s="204"/>
      <c r="F202" s="204"/>
      <c r="G202" s="204"/>
      <c r="H202" s="99" t="str">
        <f>CONCATENATE($L$7,"-",LEFT(C202,3),"-",LEFT(D202,3),LEFT(I202,3),"-",LEFT(J202,3),"-",22)</f>
        <v>CGK-2-KURSTA-STA-22</v>
      </c>
      <c r="I202" s="149" t="s">
        <v>152</v>
      </c>
      <c r="J202" s="151" t="s">
        <v>152</v>
      </c>
      <c r="K202" s="158" t="s">
        <v>424</v>
      </c>
      <c r="L202" s="153" t="s">
        <v>206</v>
      </c>
      <c r="M202" s="391"/>
      <c r="N202" s="67">
        <v>44483</v>
      </c>
      <c r="O202" s="228"/>
      <c r="P202" s="107"/>
      <c r="Q202" s="60"/>
      <c r="R202" s="60"/>
      <c r="S202" s="60"/>
      <c r="T202" s="41"/>
      <c r="U202" s="37"/>
      <c r="V202" s="51"/>
      <c r="X202" s="35"/>
    </row>
    <row r="203" spans="2:24" x14ac:dyDescent="0.25">
      <c r="B203" s="405"/>
      <c r="C203" s="90">
        <v>2</v>
      </c>
      <c r="D203" s="203" t="s">
        <v>150</v>
      </c>
      <c r="E203" s="204"/>
      <c r="F203" s="204"/>
      <c r="G203" s="204"/>
      <c r="H203" s="99" t="str">
        <f>CONCATENATE($L$7,"-",LEFT(C203,3),"-",LEFT(D203,3),LEFT(I203,3),"-",LEFT(J203,3),"-",23)</f>
        <v>CGK-2-KURSTA-STA-23</v>
      </c>
      <c r="I203" s="149" t="s">
        <v>152</v>
      </c>
      <c r="J203" s="151" t="s">
        <v>152</v>
      </c>
      <c r="K203" s="158" t="s">
        <v>424</v>
      </c>
      <c r="L203" s="153" t="s">
        <v>206</v>
      </c>
      <c r="M203" s="391"/>
      <c r="N203" s="67">
        <v>44483</v>
      </c>
      <c r="O203" s="228"/>
      <c r="P203" s="107"/>
      <c r="Q203" s="60"/>
      <c r="R203" s="60"/>
      <c r="S203" s="60"/>
      <c r="T203" s="41"/>
      <c r="U203" s="37"/>
      <c r="V203" s="51"/>
      <c r="X203" s="35"/>
    </row>
    <row r="204" spans="2:24" x14ac:dyDescent="0.25">
      <c r="B204" s="405"/>
      <c r="C204" s="90">
        <v>2</v>
      </c>
      <c r="D204" s="203" t="s">
        <v>150</v>
      </c>
      <c r="E204" s="204"/>
      <c r="F204" s="204"/>
      <c r="G204" s="204"/>
      <c r="H204" s="99" t="str">
        <f>CONCATENATE($L$7,"-",LEFT(C204,3),"-",LEFT(D204,3),LEFT(I204,3),"-",LEFT(J204,3),"-",24)</f>
        <v>CGK-2-KURSTA-STA-24</v>
      </c>
      <c r="I204" s="149" t="s">
        <v>152</v>
      </c>
      <c r="J204" s="151" t="s">
        <v>152</v>
      </c>
      <c r="K204" s="158" t="s">
        <v>424</v>
      </c>
      <c r="L204" s="153" t="s">
        <v>206</v>
      </c>
      <c r="M204" s="391"/>
      <c r="N204" s="67">
        <v>44483</v>
      </c>
      <c r="O204" s="228"/>
      <c r="P204" s="107"/>
      <c r="Q204" s="60"/>
      <c r="R204" s="60"/>
      <c r="S204" s="60"/>
      <c r="T204" s="41"/>
      <c r="U204" s="37"/>
      <c r="V204" s="51"/>
      <c r="X204" s="35"/>
    </row>
    <row r="205" spans="2:24" x14ac:dyDescent="0.25">
      <c r="B205" s="405"/>
      <c r="C205" s="90">
        <v>2</v>
      </c>
      <c r="D205" s="203" t="s">
        <v>150</v>
      </c>
      <c r="E205" s="204"/>
      <c r="F205" s="204"/>
      <c r="G205" s="204"/>
      <c r="H205" s="99" t="str">
        <f>CONCATENATE($L$7,"-",LEFT(C205,3),"-",LEFT(D205,3),LEFT(I205,3),"-",LEFT(J205,3),"-",25)</f>
        <v>CGK-2-KURSTA-STA-25</v>
      </c>
      <c r="I205" s="149" t="s">
        <v>152</v>
      </c>
      <c r="J205" s="151" t="s">
        <v>152</v>
      </c>
      <c r="K205" s="158" t="s">
        <v>424</v>
      </c>
      <c r="L205" s="153" t="s">
        <v>206</v>
      </c>
      <c r="M205" s="391"/>
      <c r="N205" s="67">
        <v>44483</v>
      </c>
      <c r="O205" s="228"/>
      <c r="P205" s="107"/>
      <c r="Q205" s="60"/>
      <c r="R205" s="60"/>
      <c r="S205" s="60"/>
      <c r="T205" s="41"/>
      <c r="U205" s="37"/>
      <c r="V205" s="51"/>
      <c r="X205" s="35"/>
    </row>
    <row r="206" spans="2:24" x14ac:dyDescent="0.25">
      <c r="B206" s="405"/>
      <c r="C206" s="90">
        <v>2</v>
      </c>
      <c r="D206" s="203" t="s">
        <v>150</v>
      </c>
      <c r="E206" s="204"/>
      <c r="F206" s="204"/>
      <c r="G206" s="204"/>
      <c r="H206" s="99" t="str">
        <f>CONCATENATE($L$7,"-",LEFT(C206,3),"-",LEFT(D206,3),LEFT(I206,3),"-",LEFT(J206,3),"-",26)</f>
        <v>CGK-2-KURSTA-STA-26</v>
      </c>
      <c r="I206" s="149" t="s">
        <v>152</v>
      </c>
      <c r="J206" s="151" t="s">
        <v>152</v>
      </c>
      <c r="K206" s="158" t="s">
        <v>433</v>
      </c>
      <c r="L206" s="153" t="s">
        <v>206</v>
      </c>
      <c r="M206" s="391"/>
      <c r="N206" s="67">
        <v>44483</v>
      </c>
      <c r="O206" s="228"/>
      <c r="P206" s="107"/>
      <c r="Q206" s="60"/>
      <c r="R206" s="60"/>
      <c r="S206" s="60"/>
      <c r="T206" s="41"/>
      <c r="U206" s="37"/>
      <c r="V206" s="51"/>
      <c r="X206" s="35"/>
    </row>
    <row r="207" spans="2:24" x14ac:dyDescent="0.25">
      <c r="B207" s="405"/>
      <c r="C207" s="90">
        <v>2</v>
      </c>
      <c r="D207" s="203" t="s">
        <v>150</v>
      </c>
      <c r="E207" s="204"/>
      <c r="F207" s="204"/>
      <c r="G207" s="204"/>
      <c r="H207" s="99" t="str">
        <f>CONCATENATE($L$7,"-",LEFT(C207,3),"-",LEFT(D207,3),LEFT(I207,3),"-",LEFT(J207,3),"-",27)</f>
        <v>CGK-2-KURSTA-STA-27</v>
      </c>
      <c r="I207" s="149" t="s">
        <v>152</v>
      </c>
      <c r="J207" s="151" t="s">
        <v>152</v>
      </c>
      <c r="K207" s="158" t="s">
        <v>433</v>
      </c>
      <c r="L207" s="153" t="s">
        <v>206</v>
      </c>
      <c r="M207" s="391"/>
      <c r="N207" s="67">
        <v>44483</v>
      </c>
      <c r="O207" s="228"/>
      <c r="P207" s="107"/>
      <c r="Q207" s="60"/>
      <c r="R207" s="60"/>
      <c r="S207" s="60"/>
      <c r="T207" s="41"/>
      <c r="U207" s="37"/>
      <c r="V207" s="51"/>
      <c r="X207" s="35"/>
    </row>
    <row r="208" spans="2:24" x14ac:dyDescent="0.25">
      <c r="B208" s="405"/>
      <c r="C208" s="90">
        <v>2</v>
      </c>
      <c r="D208" s="203" t="s">
        <v>150</v>
      </c>
      <c r="E208" s="204"/>
      <c r="F208" s="204"/>
      <c r="G208" s="204"/>
      <c r="H208" s="99" t="str">
        <f>CONCATENATE($L$7,"-",LEFT(C208,3),"-",LEFT(D208,3),LEFT(I208,3),"-",LEFT(J208,3),"-",28)</f>
        <v>CGK-2-KURSTA-STA-28</v>
      </c>
      <c r="I208" s="149" t="s">
        <v>152</v>
      </c>
      <c r="J208" s="151" t="s">
        <v>152</v>
      </c>
      <c r="K208" s="158" t="s">
        <v>433</v>
      </c>
      <c r="L208" s="153" t="s">
        <v>206</v>
      </c>
      <c r="M208" s="391"/>
      <c r="N208" s="67">
        <v>44483</v>
      </c>
      <c r="O208" s="228"/>
      <c r="P208" s="107"/>
      <c r="Q208" s="60"/>
      <c r="R208" s="60"/>
      <c r="S208" s="60"/>
      <c r="T208" s="41"/>
      <c r="U208" s="37"/>
      <c r="V208" s="51"/>
      <c r="X208" s="35"/>
    </row>
    <row r="209" spans="2:24" x14ac:dyDescent="0.25">
      <c r="B209" s="405"/>
      <c r="C209" s="90">
        <v>2</v>
      </c>
      <c r="D209" s="203" t="s">
        <v>150</v>
      </c>
      <c r="E209" s="204"/>
      <c r="F209" s="204"/>
      <c r="G209" s="204"/>
      <c r="H209" s="99" t="str">
        <f>CONCATENATE($L$7,"-",LEFT(C209,3),"-",LEFT(D209,3),LEFT(I209,3),"-",LEFT(J209,3),"-",29)</f>
        <v>CGK-2-KURSTA-STA-29</v>
      </c>
      <c r="I209" s="149" t="s">
        <v>152</v>
      </c>
      <c r="J209" s="151" t="s">
        <v>152</v>
      </c>
      <c r="K209" s="158" t="s">
        <v>239</v>
      </c>
      <c r="L209" s="153" t="s">
        <v>206</v>
      </c>
      <c r="M209" s="391"/>
      <c r="N209" s="67">
        <v>44483</v>
      </c>
      <c r="O209" s="228"/>
      <c r="P209" s="107"/>
      <c r="Q209" s="60"/>
      <c r="R209" s="60"/>
      <c r="S209" s="60"/>
      <c r="T209" s="41"/>
      <c r="U209" s="37"/>
      <c r="V209" s="51"/>
      <c r="X209" s="35"/>
    </row>
    <row r="210" spans="2:24" x14ac:dyDescent="0.25">
      <c r="B210" s="405"/>
      <c r="C210" s="90">
        <v>2</v>
      </c>
      <c r="D210" s="203" t="s">
        <v>150</v>
      </c>
      <c r="E210" s="204"/>
      <c r="F210" s="204"/>
      <c r="G210" s="204"/>
      <c r="H210" s="99" t="str">
        <f>CONCATENATE($L$7,"-",LEFT(C210,3),"-",LEFT(D210,3),LEFT(I210,3),"-",LEFT(J210,3),"-",30)</f>
        <v>CGK-2-KURSTA-STA-30</v>
      </c>
      <c r="I210" s="149" t="s">
        <v>152</v>
      </c>
      <c r="J210" s="151" t="s">
        <v>152</v>
      </c>
      <c r="K210" s="158" t="s">
        <v>239</v>
      </c>
      <c r="L210" s="153" t="s">
        <v>206</v>
      </c>
      <c r="M210" s="391"/>
      <c r="N210" s="67">
        <v>44483</v>
      </c>
      <c r="O210" s="228"/>
      <c r="P210" s="107"/>
      <c r="Q210" s="60"/>
      <c r="R210" s="60"/>
      <c r="S210" s="60"/>
      <c r="T210" s="41"/>
      <c r="U210" s="37"/>
      <c r="V210" s="51"/>
      <c r="X210" s="35"/>
    </row>
    <row r="211" spans="2:24" x14ac:dyDescent="0.25">
      <c r="B211" s="405"/>
      <c r="C211" s="90">
        <v>2</v>
      </c>
      <c r="D211" s="203" t="s">
        <v>150</v>
      </c>
      <c r="E211" s="204"/>
      <c r="F211" s="204"/>
      <c r="G211" s="204"/>
      <c r="H211" s="99" t="str">
        <f>CONCATENATE($L$7,"-",LEFT(C211,3),"-",LEFT(D211,3),LEFT(I211,3),"-",LEFT(J211,3),"-",31)</f>
        <v>CGK-2-KURSTA-STA-31</v>
      </c>
      <c r="I211" s="149" t="s">
        <v>152</v>
      </c>
      <c r="J211" s="151" t="s">
        <v>152</v>
      </c>
      <c r="K211" s="158" t="s">
        <v>239</v>
      </c>
      <c r="L211" s="153" t="s">
        <v>206</v>
      </c>
      <c r="M211" s="391"/>
      <c r="N211" s="67">
        <v>44483</v>
      </c>
      <c r="O211" s="228"/>
      <c r="P211" s="107"/>
      <c r="Q211" s="60"/>
      <c r="R211" s="60"/>
      <c r="S211" s="60"/>
      <c r="T211" s="41"/>
      <c r="U211" s="37"/>
      <c r="V211" s="51"/>
      <c r="X211" s="35"/>
    </row>
    <row r="212" spans="2:24" x14ac:dyDescent="0.25">
      <c r="B212" s="405"/>
      <c r="C212" s="90">
        <v>2</v>
      </c>
      <c r="D212" s="203" t="s">
        <v>150</v>
      </c>
      <c r="E212" s="204"/>
      <c r="F212" s="204"/>
      <c r="G212" s="204"/>
      <c r="H212" s="99" t="str">
        <f>CONCATENATE($L$7,"-",LEFT(C212,3),"-",LEFT(D212,3),LEFT(I212,3),"-",LEFT(J212,3),"-",32)</f>
        <v>CGK-2-KURSTA-STA-32</v>
      </c>
      <c r="I212" s="149" t="s">
        <v>152</v>
      </c>
      <c r="J212" s="151" t="s">
        <v>152</v>
      </c>
      <c r="K212" s="158" t="s">
        <v>395</v>
      </c>
      <c r="L212" s="153" t="s">
        <v>206</v>
      </c>
      <c r="M212" s="391"/>
      <c r="N212" s="67">
        <v>44483</v>
      </c>
      <c r="O212" s="228"/>
      <c r="P212" s="107"/>
      <c r="Q212" s="60"/>
      <c r="R212" s="60"/>
      <c r="S212" s="60"/>
      <c r="T212" s="41"/>
      <c r="U212" s="37"/>
      <c r="V212" s="51"/>
      <c r="X212" s="35"/>
    </row>
    <row r="213" spans="2:24" x14ac:dyDescent="0.25">
      <c r="B213" s="405"/>
      <c r="C213" s="90">
        <v>2</v>
      </c>
      <c r="D213" s="203" t="s">
        <v>150</v>
      </c>
      <c r="E213" s="204"/>
      <c r="F213" s="204"/>
      <c r="G213" s="204"/>
      <c r="H213" s="99" t="str">
        <f>CONCATENATE($L$7,"-",LEFT(C213,3),"-",LEFT(D213,3),LEFT(I213,3),"-",LEFT(J213,3),"-",33)</f>
        <v>CGK-2-KURSTA-STA-33</v>
      </c>
      <c r="I213" s="149" t="s">
        <v>152</v>
      </c>
      <c r="J213" s="151" t="s">
        <v>152</v>
      </c>
      <c r="K213" s="158" t="s">
        <v>395</v>
      </c>
      <c r="L213" s="153" t="s">
        <v>206</v>
      </c>
      <c r="M213" s="391"/>
      <c r="N213" s="67">
        <v>44483</v>
      </c>
      <c r="O213" s="228"/>
      <c r="P213" s="107"/>
      <c r="Q213" s="60"/>
      <c r="R213" s="60"/>
      <c r="S213" s="60"/>
      <c r="T213" s="41"/>
      <c r="U213" s="37"/>
      <c r="V213" s="51"/>
      <c r="X213" s="35"/>
    </row>
    <row r="214" spans="2:24" x14ac:dyDescent="0.25">
      <c r="B214" s="405"/>
      <c r="C214" s="90">
        <v>2</v>
      </c>
      <c r="D214" s="203" t="s">
        <v>150</v>
      </c>
      <c r="E214" s="204"/>
      <c r="F214" s="204"/>
      <c r="G214" s="204"/>
      <c r="H214" s="99" t="str">
        <f>CONCATENATE($L$7,"-",LEFT(C214,3),"-",LEFT(D214,3),LEFT(I214,3),"-",LEFT(J214,3),"-",34)</f>
        <v>CGK-2-KURSTA-STA-34</v>
      </c>
      <c r="I214" s="149" t="s">
        <v>152</v>
      </c>
      <c r="J214" s="151" t="s">
        <v>152</v>
      </c>
      <c r="K214" s="158" t="s">
        <v>395</v>
      </c>
      <c r="L214" s="153" t="s">
        <v>206</v>
      </c>
      <c r="M214" s="391"/>
      <c r="N214" s="67">
        <v>44483</v>
      </c>
      <c r="O214" s="228"/>
      <c r="P214" s="107"/>
      <c r="Q214" s="60"/>
      <c r="R214" s="60"/>
      <c r="S214" s="60"/>
      <c r="T214" s="41"/>
      <c r="U214" s="37"/>
      <c r="V214" s="51"/>
      <c r="X214" s="35"/>
    </row>
    <row r="215" spans="2:24" x14ac:dyDescent="0.25">
      <c r="B215" s="405"/>
      <c r="C215" s="90">
        <v>2</v>
      </c>
      <c r="D215" s="203" t="s">
        <v>150</v>
      </c>
      <c r="E215" s="204"/>
      <c r="F215" s="204"/>
      <c r="G215" s="204"/>
      <c r="H215" s="99" t="str">
        <f>CONCATENATE($L$7,"-",LEFT(C215,3),"-",LEFT(D215,3),LEFT(I215,3),"-",LEFT(J215,3),"-",35)</f>
        <v>CGK-2-KURSTA-STA-35</v>
      </c>
      <c r="I215" s="149" t="s">
        <v>152</v>
      </c>
      <c r="J215" s="151" t="s">
        <v>152</v>
      </c>
      <c r="K215" s="158" t="s">
        <v>395</v>
      </c>
      <c r="L215" s="153" t="s">
        <v>206</v>
      </c>
      <c r="M215" s="391"/>
      <c r="N215" s="67">
        <v>44483</v>
      </c>
      <c r="O215" s="228"/>
      <c r="P215" s="107"/>
      <c r="Q215" s="60"/>
      <c r="R215" s="60"/>
      <c r="S215" s="60"/>
      <c r="T215" s="41"/>
      <c r="U215" s="37"/>
      <c r="V215" s="51"/>
      <c r="X215" s="35"/>
    </row>
    <row r="216" spans="2:24" x14ac:dyDescent="0.25">
      <c r="B216" s="405"/>
      <c r="C216" s="90">
        <v>2</v>
      </c>
      <c r="D216" s="203" t="s">
        <v>150</v>
      </c>
      <c r="E216" s="204"/>
      <c r="F216" s="204"/>
      <c r="G216" s="204"/>
      <c r="H216" s="99" t="str">
        <f>CONCATENATE($L$7,"-",LEFT(C216,3),"-",LEFT(D216,3),LEFT(I216,3),"-",LEFT(J216,3),"-",36)</f>
        <v>CGK-2-KURSTA-STA-36</v>
      </c>
      <c r="I216" s="149" t="s">
        <v>152</v>
      </c>
      <c r="J216" s="151" t="s">
        <v>152</v>
      </c>
      <c r="K216" s="158" t="s">
        <v>419</v>
      </c>
      <c r="L216" s="153" t="s">
        <v>206</v>
      </c>
      <c r="M216" s="391"/>
      <c r="N216" s="67">
        <v>44483</v>
      </c>
      <c r="O216" s="228"/>
      <c r="P216" s="107"/>
      <c r="Q216" s="60"/>
      <c r="R216" s="60"/>
      <c r="S216" s="60"/>
      <c r="T216" s="41"/>
      <c r="U216" s="37"/>
      <c r="V216" s="51"/>
      <c r="X216" s="35"/>
    </row>
    <row r="217" spans="2:24" x14ac:dyDescent="0.25">
      <c r="B217" s="405"/>
      <c r="C217" s="90">
        <v>2</v>
      </c>
      <c r="D217" s="203" t="s">
        <v>150</v>
      </c>
      <c r="E217" s="204"/>
      <c r="F217" s="204"/>
      <c r="G217" s="204"/>
      <c r="H217" s="99" t="str">
        <f>CONCATENATE($L$7,"-",LEFT(C217,3),"-",LEFT(D217,3),LEFT(I217,3),"-",LEFT(J217,3),"-",37)</f>
        <v>CGK-2-KURSTA-STA-37</v>
      </c>
      <c r="I217" s="149" t="s">
        <v>152</v>
      </c>
      <c r="J217" s="151" t="s">
        <v>152</v>
      </c>
      <c r="K217" s="158" t="s">
        <v>420</v>
      </c>
      <c r="L217" s="153" t="s">
        <v>206</v>
      </c>
      <c r="M217" s="391"/>
      <c r="N217" s="67">
        <v>44483</v>
      </c>
      <c r="O217" s="228"/>
      <c r="P217" s="107"/>
      <c r="Q217" s="60"/>
      <c r="R217" s="60"/>
      <c r="S217" s="60"/>
      <c r="T217" s="41"/>
      <c r="U217" s="37"/>
      <c r="V217" s="51"/>
      <c r="X217" s="35"/>
    </row>
    <row r="218" spans="2:24" x14ac:dyDescent="0.25">
      <c r="B218" s="405"/>
      <c r="C218" s="90">
        <v>2</v>
      </c>
      <c r="D218" s="203" t="s">
        <v>150</v>
      </c>
      <c r="E218" s="204"/>
      <c r="F218" s="204"/>
      <c r="G218" s="204"/>
      <c r="H218" s="99" t="str">
        <f>CONCATENATE($L$7,"-",LEFT(C218,3),"-",LEFT(D218,3),LEFT(I218,3),"-",LEFT(J218,3),"-",38)</f>
        <v>CGK-2-KURSTA-STA-38</v>
      </c>
      <c r="I218" s="149" t="s">
        <v>152</v>
      </c>
      <c r="J218" s="151" t="s">
        <v>152</v>
      </c>
      <c r="K218" s="158" t="s">
        <v>421</v>
      </c>
      <c r="L218" s="153" t="s">
        <v>206</v>
      </c>
      <c r="M218" s="391"/>
      <c r="N218" s="67">
        <v>44483</v>
      </c>
      <c r="O218" s="228"/>
      <c r="P218" s="107"/>
      <c r="Q218" s="60"/>
      <c r="R218" s="60"/>
      <c r="S218" s="60"/>
      <c r="T218" s="41"/>
      <c r="U218" s="37"/>
      <c r="V218" s="51"/>
      <c r="X218" s="35"/>
    </row>
    <row r="219" spans="2:24" x14ac:dyDescent="0.25">
      <c r="B219" s="405"/>
      <c r="C219" s="90">
        <v>2</v>
      </c>
      <c r="D219" s="203" t="s">
        <v>150</v>
      </c>
      <c r="E219" s="204"/>
      <c r="F219" s="204"/>
      <c r="G219" s="204"/>
      <c r="H219" s="99" t="str">
        <f>CONCATENATE($L$7,"-",LEFT(C219,3),"-",LEFT(D219,3),LEFT(I219,3),"-",LEFT(J219,3),"-",39)</f>
        <v>CGK-2-KURSTA-STA-39</v>
      </c>
      <c r="I219" s="149" t="s">
        <v>152</v>
      </c>
      <c r="J219" s="151" t="s">
        <v>152</v>
      </c>
      <c r="K219" s="158" t="s">
        <v>421</v>
      </c>
      <c r="L219" s="153" t="s">
        <v>206</v>
      </c>
      <c r="M219" s="391"/>
      <c r="N219" s="67">
        <v>44483</v>
      </c>
      <c r="O219" s="228"/>
      <c r="P219" s="107"/>
      <c r="Q219" s="60"/>
      <c r="R219" s="60"/>
      <c r="S219" s="60"/>
      <c r="T219" s="41"/>
      <c r="U219" s="37"/>
      <c r="V219" s="51"/>
      <c r="X219" s="35"/>
    </row>
    <row r="220" spans="2:24" x14ac:dyDescent="0.25">
      <c r="B220" s="405"/>
      <c r="C220" s="90">
        <v>2</v>
      </c>
      <c r="D220" s="203" t="s">
        <v>150</v>
      </c>
      <c r="E220" s="204"/>
      <c r="F220" s="204"/>
      <c r="G220" s="204"/>
      <c r="H220" s="99" t="str">
        <f>CONCATENATE($L$7,"-",LEFT(C220,3),"-",LEFT(D220,3),LEFT(I220,3),"-",LEFT(J220,3),"-",40)</f>
        <v>CGK-2-KURSTA-STA-40</v>
      </c>
      <c r="I220" s="149" t="s">
        <v>152</v>
      </c>
      <c r="J220" s="151" t="s">
        <v>152</v>
      </c>
      <c r="K220" s="158" t="s">
        <v>441</v>
      </c>
      <c r="L220" s="153" t="s">
        <v>206</v>
      </c>
      <c r="M220" s="391"/>
      <c r="N220" s="67">
        <v>44483</v>
      </c>
      <c r="O220" s="228"/>
      <c r="P220" s="107"/>
      <c r="Q220" s="60"/>
      <c r="R220" s="60"/>
      <c r="S220" s="60"/>
      <c r="T220" s="41"/>
      <c r="U220" s="37"/>
      <c r="V220" s="51"/>
      <c r="X220" s="35"/>
    </row>
    <row r="221" spans="2:24" x14ac:dyDescent="0.25">
      <c r="B221" s="405"/>
      <c r="C221" s="90">
        <v>2</v>
      </c>
      <c r="D221" s="203" t="s">
        <v>150</v>
      </c>
      <c r="E221" s="204"/>
      <c r="F221" s="204"/>
      <c r="G221" s="204"/>
      <c r="H221" s="99" t="str">
        <f>CONCATENATE($L$7,"-",LEFT(C221,3),"-",LEFT(D221,3),LEFT(I221,3),"-",LEFT(J221,3),"-",41)</f>
        <v>CGK-2-KURSTA-STA-41</v>
      </c>
      <c r="I221" s="149" t="s">
        <v>152</v>
      </c>
      <c r="J221" s="151" t="s">
        <v>152</v>
      </c>
      <c r="K221" s="158" t="s">
        <v>441</v>
      </c>
      <c r="L221" s="153" t="s">
        <v>206</v>
      </c>
      <c r="M221" s="391"/>
      <c r="N221" s="67">
        <v>44483</v>
      </c>
      <c r="O221" s="228"/>
      <c r="P221" s="107"/>
      <c r="Q221" s="60"/>
      <c r="R221" s="60"/>
      <c r="S221" s="60"/>
      <c r="T221" s="41"/>
      <c r="U221" s="37"/>
      <c r="V221" s="51"/>
      <c r="X221" s="35"/>
    </row>
    <row r="222" spans="2:24" x14ac:dyDescent="0.25">
      <c r="B222" s="405"/>
      <c r="C222" s="90">
        <v>2</v>
      </c>
      <c r="D222" s="203" t="s">
        <v>150</v>
      </c>
      <c r="E222" s="204"/>
      <c r="F222" s="204"/>
      <c r="G222" s="204"/>
      <c r="H222" s="99" t="str">
        <f>CONCATENATE($L$7,"-",LEFT(C222,3),"-",LEFT(D222,3),LEFT(I222,3),"-",LEFT(J222,3),"-",42)</f>
        <v>CGK-2-KURSTA-STA-42</v>
      </c>
      <c r="I222" s="149" t="s">
        <v>152</v>
      </c>
      <c r="J222" s="151" t="s">
        <v>152</v>
      </c>
      <c r="K222" s="158" t="s">
        <v>441</v>
      </c>
      <c r="L222" s="153" t="s">
        <v>206</v>
      </c>
      <c r="M222" s="391"/>
      <c r="N222" s="67">
        <v>44483</v>
      </c>
      <c r="O222" s="228"/>
      <c r="P222" s="107"/>
      <c r="Q222" s="60"/>
      <c r="R222" s="60"/>
      <c r="S222" s="60"/>
      <c r="T222" s="41"/>
      <c r="U222" s="37"/>
      <c r="V222" s="51"/>
      <c r="X222" s="35"/>
    </row>
    <row r="223" spans="2:24" x14ac:dyDescent="0.25">
      <c r="B223" s="405"/>
      <c r="C223" s="90">
        <v>2</v>
      </c>
      <c r="D223" s="203" t="s">
        <v>150</v>
      </c>
      <c r="E223" s="204"/>
      <c r="F223" s="204"/>
      <c r="G223" s="204"/>
      <c r="H223" s="99" t="str">
        <f>CONCATENATE($L$7,"-",LEFT(C223,3),"-",LEFT(D223,3),LEFT(I223,3),"-",LEFT(J223,3),"-",43)</f>
        <v>CGK-2-KURSTA-STA-43</v>
      </c>
      <c r="I223" s="149" t="s">
        <v>152</v>
      </c>
      <c r="J223" s="151" t="s">
        <v>152</v>
      </c>
      <c r="K223" s="158" t="s">
        <v>441</v>
      </c>
      <c r="L223" s="153" t="s">
        <v>206</v>
      </c>
      <c r="M223" s="391"/>
      <c r="N223" s="67">
        <v>44483</v>
      </c>
      <c r="O223" s="228"/>
      <c r="P223" s="107"/>
      <c r="Q223" s="60"/>
      <c r="R223" s="60"/>
      <c r="S223" s="60"/>
      <c r="T223" s="41"/>
      <c r="U223" s="37"/>
      <c r="V223" s="51"/>
      <c r="X223" s="35"/>
    </row>
    <row r="224" spans="2:24" x14ac:dyDescent="0.25">
      <c r="B224" s="405"/>
      <c r="C224" s="90">
        <v>2</v>
      </c>
      <c r="D224" s="203" t="s">
        <v>150</v>
      </c>
      <c r="E224" s="204"/>
      <c r="F224" s="204"/>
      <c r="G224" s="204"/>
      <c r="H224" s="99" t="str">
        <f>CONCATENATE($L$7,"-",LEFT(C224,3),"-",LEFT(D224,3),LEFT(I224,3),"-",LEFT(J224,3),"-",44)</f>
        <v>CGK-2-KURSTA-STA-44</v>
      </c>
      <c r="I224" s="149" t="s">
        <v>152</v>
      </c>
      <c r="J224" s="151" t="s">
        <v>152</v>
      </c>
      <c r="K224" s="158" t="s">
        <v>443</v>
      </c>
      <c r="L224" s="153" t="s">
        <v>206</v>
      </c>
      <c r="M224" s="391"/>
      <c r="N224" s="67">
        <v>44483</v>
      </c>
      <c r="O224" s="228"/>
      <c r="P224" s="107"/>
      <c r="Q224" s="60"/>
      <c r="R224" s="60"/>
      <c r="S224" s="60"/>
      <c r="T224" s="41"/>
      <c r="U224" s="37"/>
      <c r="V224" s="51"/>
      <c r="X224" s="35"/>
    </row>
    <row r="225" spans="2:24" x14ac:dyDescent="0.25">
      <c r="B225" s="405"/>
      <c r="C225" s="90">
        <v>2</v>
      </c>
      <c r="D225" s="203" t="s">
        <v>150</v>
      </c>
      <c r="E225" s="204"/>
      <c r="F225" s="204"/>
      <c r="G225" s="204"/>
      <c r="H225" s="99" t="str">
        <f>CONCATENATE($L$7,"-",LEFT(C225,3),"-",LEFT(D225,3),LEFT(I225,3),"-",LEFT(J225,3),"-",45)</f>
        <v>CGK-2-KURSTA-STA-45</v>
      </c>
      <c r="I225" s="149" t="s">
        <v>152</v>
      </c>
      <c r="J225" s="151" t="s">
        <v>152</v>
      </c>
      <c r="K225" s="158" t="s">
        <v>443</v>
      </c>
      <c r="L225" s="153" t="s">
        <v>206</v>
      </c>
      <c r="M225" s="391"/>
      <c r="N225" s="67">
        <v>44483</v>
      </c>
      <c r="O225" s="228"/>
      <c r="P225" s="107"/>
      <c r="Q225" s="60"/>
      <c r="R225" s="60"/>
      <c r="S225" s="60"/>
      <c r="T225" s="41"/>
      <c r="U225" s="37"/>
      <c r="V225" s="51"/>
      <c r="X225" s="35"/>
    </row>
    <row r="226" spans="2:24" x14ac:dyDescent="0.25">
      <c r="B226" s="405"/>
      <c r="C226" s="90">
        <v>2</v>
      </c>
      <c r="D226" s="203" t="s">
        <v>150</v>
      </c>
      <c r="E226" s="204"/>
      <c r="F226" s="204"/>
      <c r="G226" s="204"/>
      <c r="H226" s="99" t="str">
        <f>CONCATENATE($L$7,"-",LEFT(C226,3),"-",LEFT(D226,3),LEFT(I226,3),"-",LEFT(J226,3),"-",46)</f>
        <v>CGK-2-KURSTA-STA-46</v>
      </c>
      <c r="I226" s="149" t="s">
        <v>152</v>
      </c>
      <c r="J226" s="151" t="s">
        <v>152</v>
      </c>
      <c r="K226" s="158" t="s">
        <v>417</v>
      </c>
      <c r="L226" s="153" t="s">
        <v>206</v>
      </c>
      <c r="M226" s="391"/>
      <c r="N226" s="67">
        <v>44483</v>
      </c>
      <c r="O226" s="228"/>
      <c r="P226" s="107"/>
      <c r="Q226" s="60"/>
      <c r="R226" s="60"/>
      <c r="S226" s="60"/>
      <c r="T226" s="41"/>
      <c r="U226" s="37"/>
      <c r="V226" s="51"/>
      <c r="X226" s="35"/>
    </row>
    <row r="227" spans="2:24" x14ac:dyDescent="0.25">
      <c r="B227" s="405"/>
      <c r="C227" s="90">
        <v>2</v>
      </c>
      <c r="D227" s="203" t="s">
        <v>150</v>
      </c>
      <c r="E227" s="204"/>
      <c r="F227" s="204"/>
      <c r="G227" s="204"/>
      <c r="H227" s="99" t="str">
        <f>CONCATENATE($L$7,"-",LEFT(C227,3),"-",LEFT(D227,3),LEFT(I227,3),"-",LEFT(J227,3),"-",47)</f>
        <v>CGK-2-KURSTA-STA-47</v>
      </c>
      <c r="I227" s="149" t="s">
        <v>152</v>
      </c>
      <c r="J227" s="151" t="s">
        <v>152</v>
      </c>
      <c r="K227" s="158" t="s">
        <v>417</v>
      </c>
      <c r="L227" s="153" t="s">
        <v>206</v>
      </c>
      <c r="M227" s="391"/>
      <c r="N227" s="67">
        <v>44483</v>
      </c>
      <c r="O227" s="228"/>
      <c r="P227" s="107"/>
      <c r="Q227" s="60"/>
      <c r="R227" s="60"/>
      <c r="S227" s="60"/>
      <c r="T227" s="41"/>
      <c r="U227" s="37"/>
      <c r="V227" s="51"/>
      <c r="X227" s="35"/>
    </row>
    <row r="228" spans="2:24" x14ac:dyDescent="0.25">
      <c r="B228" s="405"/>
      <c r="C228" s="90">
        <v>2</v>
      </c>
      <c r="D228" s="203" t="s">
        <v>150</v>
      </c>
      <c r="E228" s="204"/>
      <c r="F228" s="204"/>
      <c r="G228" s="204"/>
      <c r="H228" s="99" t="str">
        <f>CONCATENATE($L$7,"-",LEFT(C228,3),"-",LEFT(D228,3),LEFT(I228,3),"-",LEFT(J228,3),"-",48)</f>
        <v>CGK-2-KURSTA-STA-48</v>
      </c>
      <c r="I228" s="149" t="s">
        <v>152</v>
      </c>
      <c r="J228" s="151" t="s">
        <v>152</v>
      </c>
      <c r="K228" s="158" t="s">
        <v>417</v>
      </c>
      <c r="L228" s="153" t="s">
        <v>206</v>
      </c>
      <c r="M228" s="391"/>
      <c r="N228" s="67">
        <v>44483</v>
      </c>
      <c r="O228" s="228"/>
      <c r="P228" s="107"/>
      <c r="Q228" s="60"/>
      <c r="R228" s="60"/>
      <c r="S228" s="60"/>
      <c r="T228" s="41"/>
      <c r="U228" s="37"/>
      <c r="V228" s="51"/>
      <c r="X228" s="35"/>
    </row>
    <row r="229" spans="2:24" x14ac:dyDescent="0.25">
      <c r="B229" s="405"/>
      <c r="C229" s="90">
        <v>2</v>
      </c>
      <c r="D229" s="203" t="s">
        <v>150</v>
      </c>
      <c r="E229" s="204"/>
      <c r="F229" s="204"/>
      <c r="G229" s="204"/>
      <c r="H229" s="99" t="str">
        <f>CONCATENATE($L$7,"-",LEFT(C229,3),"-",LEFT(D229,3),LEFT(I229,3),"-",LEFT(J229,3),"-",49)</f>
        <v>CGK-2-KURSTA-STA-49</v>
      </c>
      <c r="I229" s="149" t="s">
        <v>152</v>
      </c>
      <c r="J229" s="151" t="s">
        <v>152</v>
      </c>
      <c r="K229" s="158" t="s">
        <v>426</v>
      </c>
      <c r="L229" s="153" t="s">
        <v>206</v>
      </c>
      <c r="M229" s="391"/>
      <c r="N229" s="67">
        <v>44483</v>
      </c>
      <c r="O229" s="228"/>
      <c r="P229" s="107"/>
      <c r="Q229" s="60"/>
      <c r="R229" s="60"/>
      <c r="S229" s="60"/>
      <c r="T229" s="41"/>
      <c r="U229" s="37"/>
      <c r="V229" s="51"/>
      <c r="X229" s="35"/>
    </row>
    <row r="230" spans="2:24" x14ac:dyDescent="0.25">
      <c r="B230" s="405"/>
      <c r="C230" s="90">
        <v>2</v>
      </c>
      <c r="D230" s="203" t="s">
        <v>150</v>
      </c>
      <c r="E230" s="204"/>
      <c r="F230" s="204"/>
      <c r="G230" s="204"/>
      <c r="H230" s="99" t="str">
        <f>CONCATENATE($L$7,"-",LEFT(C230,3),"-",LEFT(D230,3),LEFT(I230,3),"-",LEFT(J230,3),"-",50)</f>
        <v>CGK-2-KURSTA-STA-50</v>
      </c>
      <c r="I230" s="149" t="s">
        <v>152</v>
      </c>
      <c r="J230" s="151" t="s">
        <v>152</v>
      </c>
      <c r="K230" s="158" t="s">
        <v>426</v>
      </c>
      <c r="L230" s="153" t="s">
        <v>206</v>
      </c>
      <c r="M230" s="391"/>
      <c r="N230" s="67">
        <v>44483</v>
      </c>
      <c r="O230" s="228"/>
      <c r="P230" s="107"/>
      <c r="Q230" s="60"/>
      <c r="R230" s="60"/>
      <c r="S230" s="60"/>
      <c r="T230" s="41"/>
      <c r="U230" s="37"/>
      <c r="V230" s="51"/>
      <c r="X230" s="35"/>
    </row>
    <row r="231" spans="2:24" x14ac:dyDescent="0.25">
      <c r="B231" s="405"/>
      <c r="C231" s="90">
        <v>2</v>
      </c>
      <c r="D231" s="203" t="s">
        <v>150</v>
      </c>
      <c r="E231" s="204"/>
      <c r="F231" s="204"/>
      <c r="G231" s="204"/>
      <c r="H231" s="99" t="str">
        <f>CONCATENATE($L$7,"-",LEFT(C231,3),"-",LEFT(D231,3),LEFT(I231,3),"-",LEFT(J231,3),"-",51)</f>
        <v>CGK-2-KURSTA-STA-51</v>
      </c>
      <c r="I231" s="149" t="s">
        <v>152</v>
      </c>
      <c r="J231" s="151" t="s">
        <v>152</v>
      </c>
      <c r="K231" s="158" t="s">
        <v>426</v>
      </c>
      <c r="L231" s="153" t="s">
        <v>206</v>
      </c>
      <c r="M231" s="391"/>
      <c r="N231" s="67">
        <v>44483</v>
      </c>
      <c r="O231" s="228"/>
      <c r="P231" s="107"/>
      <c r="Q231" s="60"/>
      <c r="R231" s="60"/>
      <c r="S231" s="60"/>
      <c r="T231" s="41"/>
      <c r="U231" s="37"/>
      <c r="V231" s="51"/>
      <c r="X231" s="35"/>
    </row>
    <row r="232" spans="2:24" x14ac:dyDescent="0.25">
      <c r="B232" s="405"/>
      <c r="C232" s="90">
        <v>2</v>
      </c>
      <c r="D232" s="203" t="s">
        <v>150</v>
      </c>
      <c r="E232" s="204"/>
      <c r="F232" s="204"/>
      <c r="G232" s="204"/>
      <c r="H232" s="99" t="str">
        <f>CONCATENATE($L$7,"-",LEFT(C232,3),"-",LEFT(D232,3),LEFT(I232,3),"-",LEFT(J232,3),"-",52)</f>
        <v>CGK-2-KURSTA-STA-52</v>
      </c>
      <c r="I232" s="149" t="s">
        <v>152</v>
      </c>
      <c r="J232" s="151" t="s">
        <v>152</v>
      </c>
      <c r="K232" s="158" t="s">
        <v>426</v>
      </c>
      <c r="L232" s="153" t="s">
        <v>206</v>
      </c>
      <c r="M232" s="391"/>
      <c r="N232" s="67">
        <v>44483</v>
      </c>
      <c r="O232" s="228"/>
      <c r="P232" s="107"/>
      <c r="Q232" s="60"/>
      <c r="R232" s="60"/>
      <c r="S232" s="60"/>
      <c r="T232" s="41"/>
      <c r="U232" s="37"/>
      <c r="V232" s="51"/>
      <c r="X232" s="35"/>
    </row>
    <row r="233" spans="2:24" x14ac:dyDescent="0.25">
      <c r="B233" s="405"/>
      <c r="C233" s="90">
        <v>2</v>
      </c>
      <c r="D233" s="203" t="s">
        <v>150</v>
      </c>
      <c r="E233" s="204"/>
      <c r="F233" s="204"/>
      <c r="G233" s="204"/>
      <c r="H233" s="99" t="str">
        <f>CONCATENATE($L$7,"-",LEFT(C233,3),"-",LEFT(D233,3),LEFT(I233,3),"-",LEFT(J233,3),"-",53)</f>
        <v>CGK-2-KURSTA-STA-53</v>
      </c>
      <c r="I233" s="149" t="s">
        <v>152</v>
      </c>
      <c r="J233" s="151" t="s">
        <v>152</v>
      </c>
      <c r="K233" s="158" t="s">
        <v>426</v>
      </c>
      <c r="L233" s="153" t="s">
        <v>206</v>
      </c>
      <c r="M233" s="391"/>
      <c r="N233" s="67">
        <v>44483</v>
      </c>
      <c r="O233" s="228"/>
      <c r="P233" s="107"/>
      <c r="Q233" s="60"/>
      <c r="R233" s="60"/>
      <c r="S233" s="60"/>
      <c r="T233" s="41"/>
      <c r="U233" s="37"/>
      <c r="V233" s="51"/>
      <c r="X233" s="35"/>
    </row>
    <row r="234" spans="2:24" x14ac:dyDescent="0.25">
      <c r="B234" s="405"/>
      <c r="C234" s="90">
        <v>2</v>
      </c>
      <c r="D234" s="203" t="s">
        <v>150</v>
      </c>
      <c r="E234" s="204"/>
      <c r="F234" s="204"/>
      <c r="G234" s="204"/>
      <c r="H234" s="99" t="str">
        <f>CONCATENATE($L$7,"-",LEFT(C234,3),"-",LEFT(D234,3),LEFT(I234,3),"-",LEFT(J234,3),"-",54)</f>
        <v>CGK-2-KURSTA-STA-54</v>
      </c>
      <c r="I234" s="149" t="s">
        <v>152</v>
      </c>
      <c r="J234" s="151" t="s">
        <v>152</v>
      </c>
      <c r="K234" s="158" t="s">
        <v>425</v>
      </c>
      <c r="L234" s="153" t="s">
        <v>206</v>
      </c>
      <c r="M234" s="391"/>
      <c r="N234" s="67">
        <v>44483</v>
      </c>
      <c r="O234" s="228"/>
      <c r="P234" s="107"/>
      <c r="Q234" s="60"/>
      <c r="R234" s="60"/>
      <c r="S234" s="60"/>
      <c r="T234" s="41"/>
      <c r="U234" s="37"/>
      <c r="V234" s="51"/>
      <c r="X234" s="35"/>
    </row>
    <row r="235" spans="2:24" x14ac:dyDescent="0.25">
      <c r="B235" s="405"/>
      <c r="C235" s="90">
        <v>2</v>
      </c>
      <c r="D235" s="203" t="s">
        <v>150</v>
      </c>
      <c r="E235" s="204"/>
      <c r="F235" s="204"/>
      <c r="G235" s="204"/>
      <c r="H235" s="99" t="str">
        <f>CONCATENATE($L$7,"-",LEFT(C235,3),"-",LEFT(D235,3),LEFT(I235,3),"-",LEFT(J235,3),"-",55)</f>
        <v>CGK-2-KURSTA-STA-55</v>
      </c>
      <c r="I235" s="149" t="s">
        <v>152</v>
      </c>
      <c r="J235" s="151" t="s">
        <v>152</v>
      </c>
      <c r="K235" s="158" t="s">
        <v>429</v>
      </c>
      <c r="L235" s="153" t="s">
        <v>206</v>
      </c>
      <c r="M235" s="391"/>
      <c r="N235" s="67">
        <v>44483</v>
      </c>
      <c r="O235" s="228"/>
      <c r="P235" s="107"/>
      <c r="Q235" s="60"/>
      <c r="R235" s="60"/>
      <c r="S235" s="60"/>
      <c r="T235" s="41"/>
      <c r="U235" s="37"/>
      <c r="V235" s="51"/>
      <c r="X235" s="35"/>
    </row>
    <row r="236" spans="2:24" x14ac:dyDescent="0.25">
      <c r="B236" s="405"/>
      <c r="C236" s="90">
        <v>2</v>
      </c>
      <c r="D236" s="203" t="s">
        <v>150</v>
      </c>
      <c r="E236" s="204"/>
      <c r="F236" s="204"/>
      <c r="G236" s="204"/>
      <c r="H236" s="99" t="str">
        <f>CONCATENATE($L$7,"-",LEFT(C236,3),"-",LEFT(D236,3),LEFT(I236,3),"-",LEFT(J236,3),"-",56)</f>
        <v>CGK-2-KURSTA-STA-56</v>
      </c>
      <c r="I236" s="149" t="s">
        <v>152</v>
      </c>
      <c r="J236" s="151" t="s">
        <v>152</v>
      </c>
      <c r="K236" s="158" t="s">
        <v>429</v>
      </c>
      <c r="L236" s="153" t="s">
        <v>206</v>
      </c>
      <c r="M236" s="392"/>
      <c r="N236" s="67">
        <v>44483</v>
      </c>
      <c r="O236" s="228"/>
      <c r="P236" s="107"/>
      <c r="Q236" s="60"/>
      <c r="R236" s="60"/>
      <c r="S236" s="60"/>
      <c r="T236" s="41"/>
      <c r="U236" s="37"/>
      <c r="V236" s="51"/>
      <c r="X236" s="35"/>
    </row>
    <row r="237" spans="2:24" x14ac:dyDescent="0.25">
      <c r="B237" s="405"/>
      <c r="C237" s="90">
        <v>2</v>
      </c>
      <c r="D237" s="203" t="s">
        <v>150</v>
      </c>
      <c r="E237" s="204"/>
      <c r="F237" s="204"/>
      <c r="G237" s="204"/>
      <c r="H237" s="99" t="str">
        <f t="shared" ref="H237:H282" si="3">CONCATENATE($L$7,"-",LEFT(C237,3),"-",LEFT(D237,3),LEFT(I237,3),"-",LEFT(J237,3))</f>
        <v>CGK-2-KURHAD-HAD</v>
      </c>
      <c r="I237" s="149" t="s">
        <v>153</v>
      </c>
      <c r="J237" s="151" t="s">
        <v>153</v>
      </c>
      <c r="K237" s="158" t="s">
        <v>419</v>
      </c>
      <c r="L237" s="153" t="s">
        <v>206</v>
      </c>
      <c r="M237" s="238">
        <f>'[1]TOTAL R. ATAS'!$F$35</f>
        <v>1</v>
      </c>
      <c r="N237" s="67">
        <v>44483</v>
      </c>
      <c r="O237" s="228"/>
      <c r="P237" s="107" t="s">
        <v>73</v>
      </c>
      <c r="Q237" s="60"/>
      <c r="R237" s="60"/>
      <c r="S237" s="60"/>
      <c r="T237" s="41"/>
      <c r="U237" s="37"/>
      <c r="V237" s="51"/>
      <c r="X237" s="35"/>
    </row>
    <row r="238" spans="2:24" x14ac:dyDescent="0.25">
      <c r="B238" s="405"/>
      <c r="C238" s="90">
        <v>2</v>
      </c>
      <c r="D238" s="203" t="s">
        <v>150</v>
      </c>
      <c r="E238" s="204"/>
      <c r="F238" s="204"/>
      <c r="G238" s="204"/>
      <c r="H238" s="99" t="str">
        <f t="shared" si="3"/>
        <v>CGK-2-KURNON-PLA</v>
      </c>
      <c r="I238" s="149" t="s">
        <v>154</v>
      </c>
      <c r="J238" s="151" t="s">
        <v>155</v>
      </c>
      <c r="K238" s="158" t="s">
        <v>431</v>
      </c>
      <c r="L238" s="153" t="s">
        <v>206</v>
      </c>
      <c r="M238" s="238">
        <f>'[1]TOTAL R. ATAS'!$F$39</f>
        <v>1</v>
      </c>
      <c r="N238" s="67">
        <v>44483</v>
      </c>
      <c r="O238" s="228"/>
      <c r="P238" s="107" t="s">
        <v>73</v>
      </c>
      <c r="Q238" s="60"/>
      <c r="R238" s="60"/>
      <c r="S238" s="60"/>
      <c r="T238" s="41"/>
      <c r="U238" s="37"/>
      <c r="V238" s="51"/>
      <c r="X238" s="35"/>
    </row>
    <row r="239" spans="2:24" x14ac:dyDescent="0.25">
      <c r="B239" s="405"/>
      <c r="C239" s="90">
        <v>2</v>
      </c>
      <c r="D239" s="203" t="s">
        <v>150</v>
      </c>
      <c r="E239" s="204"/>
      <c r="F239" s="204"/>
      <c r="G239" s="204"/>
      <c r="H239" s="99" t="str">
        <f t="shared" si="3"/>
        <v>CGK-2-KURNON-LIP</v>
      </c>
      <c r="I239" s="149" t="s">
        <v>154</v>
      </c>
      <c r="J239" s="151" t="s">
        <v>156</v>
      </c>
      <c r="K239" s="158" t="s">
        <v>359</v>
      </c>
      <c r="L239" s="153" t="s">
        <v>206</v>
      </c>
      <c r="M239" s="238">
        <f>'[1]TOTAL R. ATAS'!$F$38</f>
        <v>0</v>
      </c>
      <c r="N239" s="67">
        <v>44483</v>
      </c>
      <c r="O239" s="228"/>
      <c r="P239" s="107" t="s">
        <v>73</v>
      </c>
      <c r="Q239" s="60"/>
      <c r="R239" s="60"/>
      <c r="S239" s="60"/>
      <c r="T239" s="41"/>
      <c r="U239" s="37"/>
      <c r="V239" s="51"/>
      <c r="X239" s="35"/>
    </row>
    <row r="240" spans="2:24" x14ac:dyDescent="0.25">
      <c r="B240" s="405"/>
      <c r="C240" s="90">
        <v>2</v>
      </c>
      <c r="D240" s="203" t="s">
        <v>150</v>
      </c>
      <c r="E240" s="204"/>
      <c r="F240" s="204"/>
      <c r="G240" s="204"/>
      <c r="H240" s="99" t="str">
        <f>CONCATENATE($L$7,"-",LEFT(C240,3),"-",LEFT(D240,3),LEFT(I240,3),"-",LEFT(J240,3),"-",1)</f>
        <v>CGK-2-KURNON-STA-1</v>
      </c>
      <c r="I240" s="149" t="s">
        <v>154</v>
      </c>
      <c r="J240" s="151" t="s">
        <v>157</v>
      </c>
      <c r="K240" s="158" t="s">
        <v>432</v>
      </c>
      <c r="L240" s="153" t="s">
        <v>206</v>
      </c>
      <c r="M240" s="390">
        <v>41</v>
      </c>
      <c r="N240" s="67">
        <v>44483</v>
      </c>
      <c r="O240" s="228"/>
      <c r="P240" s="107" t="s">
        <v>73</v>
      </c>
      <c r="Q240" s="60"/>
      <c r="R240" s="60"/>
      <c r="S240" s="60"/>
      <c r="T240" s="41"/>
      <c r="U240" s="37"/>
      <c r="V240" s="51"/>
      <c r="X240" s="35"/>
    </row>
    <row r="241" spans="2:24" x14ac:dyDescent="0.25">
      <c r="B241" s="405"/>
      <c r="C241" s="90">
        <v>2</v>
      </c>
      <c r="D241" s="203" t="s">
        <v>150</v>
      </c>
      <c r="E241" s="204"/>
      <c r="F241" s="204"/>
      <c r="G241" s="204"/>
      <c r="H241" s="99" t="str">
        <f>CONCATENATE($L$7,"-",LEFT(C241,3),"-",LEFT(D241,3),LEFT(I241,3),"-",LEFT(J241,3),"-",2)</f>
        <v>CGK-2-KURNON-STA-2</v>
      </c>
      <c r="I241" s="149" t="s">
        <v>154</v>
      </c>
      <c r="J241" s="151" t="s">
        <v>157</v>
      </c>
      <c r="K241" s="158" t="s">
        <v>420</v>
      </c>
      <c r="L241" s="153" t="s">
        <v>206</v>
      </c>
      <c r="M241" s="391"/>
      <c r="N241" s="67">
        <v>44483</v>
      </c>
      <c r="O241" s="228"/>
      <c r="P241" s="107"/>
      <c r="Q241" s="60"/>
      <c r="R241" s="60"/>
      <c r="S241" s="60"/>
      <c r="T241" s="41"/>
      <c r="U241" s="37"/>
      <c r="V241" s="51"/>
      <c r="X241" s="35"/>
    </row>
    <row r="242" spans="2:24" x14ac:dyDescent="0.25">
      <c r="B242" s="405"/>
      <c r="C242" s="90">
        <v>2</v>
      </c>
      <c r="D242" s="203" t="s">
        <v>150</v>
      </c>
      <c r="E242" s="204"/>
      <c r="F242" s="204"/>
      <c r="G242" s="204"/>
      <c r="H242" s="99" t="str">
        <f>CONCATENATE($L$7,"-",LEFT(C242,3),"-",LEFT(D242,3),LEFT(I242,3),"-",LEFT(J242,3),"-",3)</f>
        <v>CGK-2-KURNON-STA-3</v>
      </c>
      <c r="I242" s="149" t="s">
        <v>154</v>
      </c>
      <c r="J242" s="151" t="s">
        <v>157</v>
      </c>
      <c r="K242" s="158" t="s">
        <v>420</v>
      </c>
      <c r="L242" s="153" t="s">
        <v>206</v>
      </c>
      <c r="M242" s="391"/>
      <c r="N242" s="67">
        <v>44483</v>
      </c>
      <c r="O242" s="228"/>
      <c r="P242" s="107"/>
      <c r="Q242" s="60"/>
      <c r="R242" s="60"/>
      <c r="S242" s="60"/>
      <c r="T242" s="41"/>
      <c r="U242" s="37"/>
      <c r="V242" s="51"/>
      <c r="X242" s="35"/>
    </row>
    <row r="243" spans="2:24" x14ac:dyDescent="0.25">
      <c r="B243" s="405"/>
      <c r="C243" s="90">
        <v>2</v>
      </c>
      <c r="D243" s="203" t="s">
        <v>150</v>
      </c>
      <c r="E243" s="204"/>
      <c r="F243" s="204"/>
      <c r="G243" s="204"/>
      <c r="H243" s="99" t="str">
        <f>CONCATENATE($L$7,"-",LEFT(C243,3),"-",LEFT(D243,3),LEFT(I243,3),"-",LEFT(J243,3),"-",4)</f>
        <v>CGK-2-KURNON-STA-4</v>
      </c>
      <c r="I243" s="149" t="s">
        <v>154</v>
      </c>
      <c r="J243" s="151" t="s">
        <v>157</v>
      </c>
      <c r="K243" s="158" t="s">
        <v>420</v>
      </c>
      <c r="L243" s="153" t="s">
        <v>206</v>
      </c>
      <c r="M243" s="391"/>
      <c r="N243" s="67">
        <v>44483</v>
      </c>
      <c r="O243" s="228"/>
      <c r="P243" s="107"/>
      <c r="Q243" s="60"/>
      <c r="R243" s="60"/>
      <c r="S243" s="60"/>
      <c r="T243" s="41"/>
      <c r="U243" s="37"/>
      <c r="V243" s="51"/>
      <c r="X243" s="35"/>
    </row>
    <row r="244" spans="2:24" x14ac:dyDescent="0.25">
      <c r="B244" s="405"/>
      <c r="C244" s="90">
        <v>2</v>
      </c>
      <c r="D244" s="203" t="s">
        <v>150</v>
      </c>
      <c r="E244" s="204"/>
      <c r="F244" s="204"/>
      <c r="G244" s="204"/>
      <c r="H244" s="99" t="str">
        <f>CONCATENATE($L$7,"-",LEFT(C244,3),"-",LEFT(D244,3),LEFT(I244,3),"-",LEFT(J244,3),"-",5)</f>
        <v>CGK-2-KURNON-STA-5</v>
      </c>
      <c r="I244" s="149" t="s">
        <v>154</v>
      </c>
      <c r="J244" s="151" t="s">
        <v>157</v>
      </c>
      <c r="K244" s="158" t="s">
        <v>421</v>
      </c>
      <c r="L244" s="153" t="s">
        <v>206</v>
      </c>
      <c r="M244" s="391"/>
      <c r="N244" s="67">
        <v>44483</v>
      </c>
      <c r="O244" s="228"/>
      <c r="P244" s="107"/>
      <c r="Q244" s="60"/>
      <c r="R244" s="60"/>
      <c r="S244" s="60"/>
      <c r="T244" s="41"/>
      <c r="U244" s="37"/>
      <c r="V244" s="51"/>
      <c r="X244" s="35"/>
    </row>
    <row r="245" spans="2:24" x14ac:dyDescent="0.25">
      <c r="B245" s="405"/>
      <c r="C245" s="90">
        <v>2</v>
      </c>
      <c r="D245" s="203" t="s">
        <v>150</v>
      </c>
      <c r="E245" s="204"/>
      <c r="F245" s="204"/>
      <c r="G245" s="204"/>
      <c r="H245" s="99" t="str">
        <f>CONCATENATE($L$7,"-",LEFT(C245,3),"-",LEFT(D245,3),LEFT(I245,3),"-",LEFT(J245,3),"-",6)</f>
        <v>CGK-2-KURNON-STA-6</v>
      </c>
      <c r="I245" s="149" t="s">
        <v>154</v>
      </c>
      <c r="J245" s="151" t="s">
        <v>157</v>
      </c>
      <c r="K245" s="158" t="s">
        <v>421</v>
      </c>
      <c r="L245" s="153" t="s">
        <v>206</v>
      </c>
      <c r="M245" s="391"/>
      <c r="N245" s="67">
        <v>44483</v>
      </c>
      <c r="O245" s="228"/>
      <c r="P245" s="107"/>
      <c r="Q245" s="60"/>
      <c r="R245" s="60"/>
      <c r="S245" s="60"/>
      <c r="T245" s="41"/>
      <c r="U245" s="37"/>
      <c r="V245" s="51"/>
      <c r="X245" s="35"/>
    </row>
    <row r="246" spans="2:24" x14ac:dyDescent="0.25">
      <c r="B246" s="405"/>
      <c r="C246" s="90">
        <v>2</v>
      </c>
      <c r="D246" s="203" t="s">
        <v>150</v>
      </c>
      <c r="E246" s="204"/>
      <c r="F246" s="204"/>
      <c r="G246" s="204"/>
      <c r="H246" s="99" t="str">
        <f>CONCATENATE($L$7,"-",LEFT(C246,3),"-",LEFT(D246,3),LEFT(I246,3),"-",LEFT(J246,3),"-",7)</f>
        <v>CGK-2-KURNON-STA-7</v>
      </c>
      <c r="I246" s="149" t="s">
        <v>154</v>
      </c>
      <c r="J246" s="151" t="s">
        <v>157</v>
      </c>
      <c r="K246" s="158" t="s">
        <v>421</v>
      </c>
      <c r="L246" s="153" t="s">
        <v>206</v>
      </c>
      <c r="M246" s="391"/>
      <c r="N246" s="67">
        <v>44483</v>
      </c>
      <c r="O246" s="228"/>
      <c r="P246" s="107"/>
      <c r="Q246" s="60"/>
      <c r="R246" s="60"/>
      <c r="S246" s="60"/>
      <c r="T246" s="41"/>
      <c r="U246" s="37"/>
      <c r="V246" s="51"/>
      <c r="X246" s="35"/>
    </row>
    <row r="247" spans="2:24" x14ac:dyDescent="0.25">
      <c r="B247" s="405"/>
      <c r="C247" s="90">
        <v>2</v>
      </c>
      <c r="D247" s="203" t="s">
        <v>150</v>
      </c>
      <c r="E247" s="204"/>
      <c r="F247" s="204"/>
      <c r="G247" s="204"/>
      <c r="H247" s="99" t="str">
        <f>CONCATENATE($L$7,"-",LEFT(C247,3),"-",LEFT(D247,3),LEFT(I247,3),"-",LEFT(J247,3),"-",8)</f>
        <v>CGK-2-KURNON-STA-8</v>
      </c>
      <c r="I247" s="149" t="s">
        <v>154</v>
      </c>
      <c r="J247" s="151" t="s">
        <v>157</v>
      </c>
      <c r="K247" s="158" t="s">
        <v>421</v>
      </c>
      <c r="L247" s="153" t="s">
        <v>206</v>
      </c>
      <c r="M247" s="391"/>
      <c r="N247" s="67">
        <v>44483</v>
      </c>
      <c r="O247" s="228"/>
      <c r="P247" s="107"/>
      <c r="Q247" s="60"/>
      <c r="R247" s="60"/>
      <c r="S247" s="60"/>
      <c r="T247" s="41"/>
      <c r="U247" s="37"/>
      <c r="V247" s="51"/>
      <c r="X247" s="35"/>
    </row>
    <row r="248" spans="2:24" x14ac:dyDescent="0.25">
      <c r="B248" s="405"/>
      <c r="C248" s="90">
        <v>2</v>
      </c>
      <c r="D248" s="203" t="s">
        <v>150</v>
      </c>
      <c r="E248" s="204"/>
      <c r="F248" s="204"/>
      <c r="G248" s="204"/>
      <c r="H248" s="99" t="str">
        <f>CONCATENATE($L$7,"-",LEFT(C248,3),"-",LEFT(D248,3),LEFT(I248,3),"-",LEFT(J248,3),"-",9)</f>
        <v>CGK-2-KURNON-STA-9</v>
      </c>
      <c r="I248" s="149" t="s">
        <v>154</v>
      </c>
      <c r="J248" s="151" t="s">
        <v>157</v>
      </c>
      <c r="K248" s="158" t="s">
        <v>421</v>
      </c>
      <c r="L248" s="153" t="s">
        <v>206</v>
      </c>
      <c r="M248" s="391"/>
      <c r="N248" s="67">
        <v>44483</v>
      </c>
      <c r="O248" s="228"/>
      <c r="P248" s="107"/>
      <c r="Q248" s="60"/>
      <c r="R248" s="60"/>
      <c r="S248" s="60"/>
      <c r="T248" s="41"/>
      <c r="U248" s="37"/>
      <c r="V248" s="51"/>
      <c r="X248" s="35"/>
    </row>
    <row r="249" spans="2:24" x14ac:dyDescent="0.25">
      <c r="B249" s="405"/>
      <c r="C249" s="90">
        <v>2</v>
      </c>
      <c r="D249" s="203" t="s">
        <v>150</v>
      </c>
      <c r="E249" s="204"/>
      <c r="F249" s="204"/>
      <c r="G249" s="204"/>
      <c r="H249" s="99" t="str">
        <f>CONCATENATE($L$7,"-",LEFT(C249,3),"-",LEFT(D249,3),LEFT(I249,3),"-",LEFT(J249,3),"-",10)</f>
        <v>CGK-2-KURNON-STA-10</v>
      </c>
      <c r="I249" s="149" t="s">
        <v>154</v>
      </c>
      <c r="J249" s="151" t="s">
        <v>157</v>
      </c>
      <c r="K249" s="158" t="s">
        <v>441</v>
      </c>
      <c r="L249" s="153" t="s">
        <v>206</v>
      </c>
      <c r="M249" s="391"/>
      <c r="N249" s="67">
        <v>44483</v>
      </c>
      <c r="O249" s="228"/>
      <c r="P249" s="107"/>
      <c r="Q249" s="60"/>
      <c r="R249" s="60"/>
      <c r="S249" s="60"/>
      <c r="T249" s="41"/>
      <c r="U249" s="37"/>
      <c r="V249" s="51"/>
      <c r="X249" s="35"/>
    </row>
    <row r="250" spans="2:24" x14ac:dyDescent="0.25">
      <c r="B250" s="405"/>
      <c r="C250" s="90">
        <v>2</v>
      </c>
      <c r="D250" s="203" t="s">
        <v>150</v>
      </c>
      <c r="E250" s="204"/>
      <c r="F250" s="204"/>
      <c r="G250" s="204"/>
      <c r="H250" s="99" t="str">
        <f>CONCATENATE($L$7,"-",LEFT(C250,3),"-",LEFT(D250,3),LEFT(I250,3),"-",LEFT(J250,3),"-",11)</f>
        <v>CGK-2-KURNON-STA-11</v>
      </c>
      <c r="I250" s="149" t="s">
        <v>154</v>
      </c>
      <c r="J250" s="151" t="s">
        <v>157</v>
      </c>
      <c r="K250" s="158" t="s">
        <v>441</v>
      </c>
      <c r="L250" s="153" t="s">
        <v>206</v>
      </c>
      <c r="M250" s="391"/>
      <c r="N250" s="67">
        <v>44483</v>
      </c>
      <c r="O250" s="228"/>
      <c r="P250" s="107"/>
      <c r="Q250" s="60"/>
      <c r="R250" s="60"/>
      <c r="S250" s="60"/>
      <c r="T250" s="41"/>
      <c r="U250" s="37"/>
      <c r="V250" s="51"/>
      <c r="X250" s="35"/>
    </row>
    <row r="251" spans="2:24" x14ac:dyDescent="0.25">
      <c r="B251" s="405"/>
      <c r="C251" s="90">
        <v>2</v>
      </c>
      <c r="D251" s="203" t="s">
        <v>150</v>
      </c>
      <c r="E251" s="204"/>
      <c r="F251" s="204"/>
      <c r="G251" s="204"/>
      <c r="H251" s="99" t="str">
        <f>CONCATENATE($L$7,"-",LEFT(C251,3),"-",LEFT(D251,3),LEFT(I251,3),"-",LEFT(J251,3),"-",12)</f>
        <v>CGK-2-KURNON-STA-12</v>
      </c>
      <c r="I251" s="149" t="s">
        <v>154</v>
      </c>
      <c r="J251" s="151" t="s">
        <v>157</v>
      </c>
      <c r="K251" s="158" t="s">
        <v>441</v>
      </c>
      <c r="L251" s="153" t="s">
        <v>206</v>
      </c>
      <c r="M251" s="391"/>
      <c r="N251" s="67">
        <v>44483</v>
      </c>
      <c r="O251" s="228"/>
      <c r="P251" s="107"/>
      <c r="Q251" s="60"/>
      <c r="R251" s="60"/>
      <c r="S251" s="60"/>
      <c r="T251" s="41"/>
      <c r="U251" s="37"/>
      <c r="V251" s="51"/>
      <c r="X251" s="35"/>
    </row>
    <row r="252" spans="2:24" x14ac:dyDescent="0.25">
      <c r="B252" s="405"/>
      <c r="C252" s="90">
        <v>2</v>
      </c>
      <c r="D252" s="203" t="s">
        <v>150</v>
      </c>
      <c r="E252" s="204"/>
      <c r="F252" s="204"/>
      <c r="G252" s="204"/>
      <c r="H252" s="99" t="str">
        <f>CONCATENATE($L$7,"-",LEFT(C252,3),"-",LEFT(D252,3),LEFT(I252,3),"-",LEFT(J252,3),"-",13)</f>
        <v>CGK-2-KURNON-STA-13</v>
      </c>
      <c r="I252" s="149" t="s">
        <v>154</v>
      </c>
      <c r="J252" s="151" t="s">
        <v>157</v>
      </c>
      <c r="K252" s="158" t="s">
        <v>441</v>
      </c>
      <c r="L252" s="153" t="s">
        <v>206</v>
      </c>
      <c r="M252" s="391"/>
      <c r="N252" s="67">
        <v>44483</v>
      </c>
      <c r="O252" s="228"/>
      <c r="P252" s="107"/>
      <c r="Q252" s="60"/>
      <c r="R252" s="60"/>
      <c r="S252" s="60"/>
      <c r="T252" s="41"/>
      <c r="U252" s="37"/>
      <c r="V252" s="51"/>
      <c r="X252" s="35"/>
    </row>
    <row r="253" spans="2:24" x14ac:dyDescent="0.25">
      <c r="B253" s="405"/>
      <c r="C253" s="90">
        <v>2</v>
      </c>
      <c r="D253" s="203" t="s">
        <v>150</v>
      </c>
      <c r="E253" s="204"/>
      <c r="F253" s="204"/>
      <c r="G253" s="204"/>
      <c r="H253" s="99" t="str">
        <f>CONCATENATE($L$7,"-",LEFT(C253,3),"-",LEFT(D253,3),LEFT(I253,3),"-",LEFT(J253,3),"-",14)</f>
        <v>CGK-2-KURNON-STA-14</v>
      </c>
      <c r="I253" s="149" t="s">
        <v>154</v>
      </c>
      <c r="J253" s="151" t="s">
        <v>157</v>
      </c>
      <c r="K253" s="158" t="s">
        <v>444</v>
      </c>
      <c r="L253" s="153" t="s">
        <v>206</v>
      </c>
      <c r="M253" s="391"/>
      <c r="N253" s="67">
        <v>44483</v>
      </c>
      <c r="O253" s="228"/>
      <c r="P253" s="107"/>
      <c r="Q253" s="60"/>
      <c r="R253" s="60"/>
      <c r="S253" s="60"/>
      <c r="T253" s="41"/>
      <c r="U253" s="37"/>
      <c r="V253" s="51"/>
      <c r="X253" s="35"/>
    </row>
    <row r="254" spans="2:24" x14ac:dyDescent="0.25">
      <c r="B254" s="405"/>
      <c r="C254" s="90">
        <v>2</v>
      </c>
      <c r="D254" s="203" t="s">
        <v>150</v>
      </c>
      <c r="E254" s="204"/>
      <c r="F254" s="204"/>
      <c r="G254" s="204"/>
      <c r="H254" s="99" t="str">
        <f>CONCATENATE($L$7,"-",LEFT(C254,3),"-",LEFT(D254,3),LEFT(I254,3),"-",LEFT(J254,3),"-",15)</f>
        <v>CGK-2-KURNON-STA-15</v>
      </c>
      <c r="I254" s="149" t="s">
        <v>154</v>
      </c>
      <c r="J254" s="151" t="s">
        <v>157</v>
      </c>
      <c r="K254" s="158" t="s">
        <v>444</v>
      </c>
      <c r="L254" s="153" t="s">
        <v>206</v>
      </c>
      <c r="M254" s="391"/>
      <c r="N254" s="67">
        <v>44483</v>
      </c>
      <c r="O254" s="228"/>
      <c r="P254" s="107"/>
      <c r="Q254" s="60"/>
      <c r="R254" s="60"/>
      <c r="S254" s="60"/>
      <c r="T254" s="41"/>
      <c r="U254" s="37"/>
      <c r="V254" s="51"/>
      <c r="X254" s="35"/>
    </row>
    <row r="255" spans="2:24" x14ac:dyDescent="0.25">
      <c r="B255" s="405"/>
      <c r="C255" s="90">
        <v>2</v>
      </c>
      <c r="D255" s="203" t="s">
        <v>150</v>
      </c>
      <c r="E255" s="204"/>
      <c r="F255" s="204"/>
      <c r="G255" s="204"/>
      <c r="H255" s="99" t="str">
        <f>CONCATENATE($L$7,"-",LEFT(C255,3),"-",LEFT(D255,3),LEFT(I255,3),"-",LEFT(J255,3),"-",16)</f>
        <v>CGK-2-KURNON-STA-16</v>
      </c>
      <c r="I255" s="149" t="s">
        <v>154</v>
      </c>
      <c r="J255" s="151" t="s">
        <v>157</v>
      </c>
      <c r="K255" s="158" t="s">
        <v>443</v>
      </c>
      <c r="L255" s="153" t="s">
        <v>206</v>
      </c>
      <c r="M255" s="391"/>
      <c r="N255" s="67">
        <v>44483</v>
      </c>
      <c r="O255" s="228"/>
      <c r="P255" s="107"/>
      <c r="Q255" s="60"/>
      <c r="R255" s="60"/>
      <c r="S255" s="60"/>
      <c r="T255" s="41"/>
      <c r="U255" s="37"/>
      <c r="V255" s="51"/>
      <c r="X255" s="35"/>
    </row>
    <row r="256" spans="2:24" x14ac:dyDescent="0.25">
      <c r="B256" s="405"/>
      <c r="C256" s="90">
        <v>2</v>
      </c>
      <c r="D256" s="203" t="s">
        <v>150</v>
      </c>
      <c r="E256" s="204"/>
      <c r="F256" s="204"/>
      <c r="G256" s="204"/>
      <c r="H256" s="99" t="str">
        <f>CONCATENATE($L$7,"-",LEFT(C256,3),"-",LEFT(D256,3),LEFT(I256,3),"-",LEFT(J256,3),"-",16)</f>
        <v>CGK-2-KURNON-STA-16</v>
      </c>
      <c r="I256" s="149" t="s">
        <v>154</v>
      </c>
      <c r="J256" s="151" t="s">
        <v>157</v>
      </c>
      <c r="K256" s="158" t="s">
        <v>443</v>
      </c>
      <c r="L256" s="153" t="s">
        <v>206</v>
      </c>
      <c r="M256" s="391"/>
      <c r="N256" s="67">
        <v>44483</v>
      </c>
      <c r="O256" s="228"/>
      <c r="P256" s="107"/>
      <c r="Q256" s="60"/>
      <c r="R256" s="60"/>
      <c r="S256" s="60"/>
      <c r="T256" s="41"/>
      <c r="U256" s="37"/>
      <c r="V256" s="51"/>
      <c r="X256" s="35"/>
    </row>
    <row r="257" spans="2:24" x14ac:dyDescent="0.25">
      <c r="B257" s="405"/>
      <c r="C257" s="90">
        <v>2</v>
      </c>
      <c r="D257" s="203" t="s">
        <v>150</v>
      </c>
      <c r="E257" s="204"/>
      <c r="F257" s="204"/>
      <c r="G257" s="204"/>
      <c r="H257" s="99" t="str">
        <f>CONCATENATE($L$7,"-",LEFT(C257,3),"-",LEFT(D257,3),LEFT(I257,3),"-",LEFT(J257,3),"-",17)</f>
        <v>CGK-2-KURNON-STA-17</v>
      </c>
      <c r="I257" s="149" t="s">
        <v>154</v>
      </c>
      <c r="J257" s="151" t="s">
        <v>157</v>
      </c>
      <c r="K257" s="158" t="s">
        <v>443</v>
      </c>
      <c r="L257" s="153" t="s">
        <v>206</v>
      </c>
      <c r="M257" s="391"/>
      <c r="N257" s="67">
        <v>44483</v>
      </c>
      <c r="O257" s="228"/>
      <c r="P257" s="107"/>
      <c r="Q257" s="60"/>
      <c r="R257" s="60"/>
      <c r="S257" s="60"/>
      <c r="T257" s="41"/>
      <c r="U257" s="37"/>
      <c r="V257" s="51"/>
      <c r="X257" s="35"/>
    </row>
    <row r="258" spans="2:24" x14ac:dyDescent="0.25">
      <c r="B258" s="405"/>
      <c r="C258" s="90">
        <v>2</v>
      </c>
      <c r="D258" s="203" t="s">
        <v>150</v>
      </c>
      <c r="E258" s="204"/>
      <c r="F258" s="204"/>
      <c r="G258" s="204"/>
      <c r="H258" s="99" t="str">
        <f>CONCATENATE($L$7,"-",LEFT(C258,3),"-",LEFT(D258,3),LEFT(I258,3),"-",LEFT(J258,3),"-",18)</f>
        <v>CGK-2-KURNON-STA-18</v>
      </c>
      <c r="I258" s="149" t="s">
        <v>154</v>
      </c>
      <c r="J258" s="151" t="s">
        <v>157</v>
      </c>
      <c r="K258" s="158" t="s">
        <v>443</v>
      </c>
      <c r="L258" s="153" t="s">
        <v>206</v>
      </c>
      <c r="M258" s="391"/>
      <c r="N258" s="67">
        <v>44483</v>
      </c>
      <c r="O258" s="228"/>
      <c r="P258" s="107"/>
      <c r="Q258" s="60"/>
      <c r="R258" s="60"/>
      <c r="S258" s="60"/>
      <c r="T258" s="41"/>
      <c r="U258" s="37"/>
      <c r="V258" s="51"/>
      <c r="X258" s="35"/>
    </row>
    <row r="259" spans="2:24" x14ac:dyDescent="0.25">
      <c r="B259" s="405"/>
      <c r="C259" s="90">
        <v>2</v>
      </c>
      <c r="D259" s="203" t="s">
        <v>150</v>
      </c>
      <c r="E259" s="204"/>
      <c r="F259" s="204"/>
      <c r="G259" s="204"/>
      <c r="H259" s="99" t="str">
        <f>CONCATENATE($L$7,"-",LEFT(C259,3),"-",LEFT(D259,3),LEFT(I259,3),"-",LEFT(J259,3),"-",19)</f>
        <v>CGK-2-KURNON-STA-19</v>
      </c>
      <c r="I259" s="149" t="s">
        <v>154</v>
      </c>
      <c r="J259" s="151" t="s">
        <v>157</v>
      </c>
      <c r="K259" s="158" t="s">
        <v>435</v>
      </c>
      <c r="L259" s="153" t="s">
        <v>206</v>
      </c>
      <c r="M259" s="391"/>
      <c r="N259" s="67">
        <v>44483</v>
      </c>
      <c r="O259" s="228"/>
      <c r="P259" s="107"/>
      <c r="Q259" s="60"/>
      <c r="R259" s="60"/>
      <c r="S259" s="60"/>
      <c r="T259" s="41"/>
      <c r="U259" s="37"/>
      <c r="V259" s="51"/>
      <c r="X259" s="35"/>
    </row>
    <row r="260" spans="2:24" x14ac:dyDescent="0.25">
      <c r="B260" s="405"/>
      <c r="C260" s="90">
        <v>2</v>
      </c>
      <c r="D260" s="203" t="s">
        <v>150</v>
      </c>
      <c r="E260" s="204"/>
      <c r="F260" s="204"/>
      <c r="G260" s="204"/>
      <c r="H260" s="99" t="str">
        <f>CONCATENATE($L$7,"-",LEFT(C260,3),"-",LEFT(D260,3),LEFT(I260,3),"-",LEFT(J260,3),"-",20)</f>
        <v>CGK-2-KURNON-STA-20</v>
      </c>
      <c r="I260" s="149" t="s">
        <v>154</v>
      </c>
      <c r="J260" s="151" t="s">
        <v>157</v>
      </c>
      <c r="K260" s="158" t="s">
        <v>435</v>
      </c>
      <c r="L260" s="153" t="s">
        <v>206</v>
      </c>
      <c r="M260" s="391"/>
      <c r="N260" s="67">
        <v>44483</v>
      </c>
      <c r="O260" s="228"/>
      <c r="P260" s="107"/>
      <c r="Q260" s="60"/>
      <c r="R260" s="60"/>
      <c r="S260" s="60"/>
      <c r="T260" s="41"/>
      <c r="U260" s="37"/>
      <c r="V260" s="51"/>
      <c r="X260" s="35"/>
    </row>
    <row r="261" spans="2:24" x14ac:dyDescent="0.25">
      <c r="B261" s="405"/>
      <c r="C261" s="90">
        <v>2</v>
      </c>
      <c r="D261" s="203" t="s">
        <v>150</v>
      </c>
      <c r="E261" s="204"/>
      <c r="F261" s="204"/>
      <c r="G261" s="204"/>
      <c r="H261" s="99" t="str">
        <f>CONCATENATE($L$7,"-",LEFT(C261,3),"-",LEFT(D261,3),LEFT(I261,3),"-",LEFT(J261,3),"-",21)</f>
        <v>CGK-2-KURNON-STA-21</v>
      </c>
      <c r="I261" s="149" t="s">
        <v>154</v>
      </c>
      <c r="J261" s="151" t="s">
        <v>157</v>
      </c>
      <c r="K261" s="158" t="s">
        <v>435</v>
      </c>
      <c r="L261" s="153" t="s">
        <v>206</v>
      </c>
      <c r="M261" s="391"/>
      <c r="N261" s="67">
        <v>44483</v>
      </c>
      <c r="O261" s="228"/>
      <c r="P261" s="107"/>
      <c r="Q261" s="60"/>
      <c r="R261" s="60"/>
      <c r="S261" s="60"/>
      <c r="T261" s="41"/>
      <c r="U261" s="37"/>
      <c r="V261" s="51"/>
      <c r="X261" s="35"/>
    </row>
    <row r="262" spans="2:24" x14ac:dyDescent="0.25">
      <c r="B262" s="405"/>
      <c r="C262" s="90">
        <v>2</v>
      </c>
      <c r="D262" s="203" t="s">
        <v>150</v>
      </c>
      <c r="E262" s="204"/>
      <c r="F262" s="204"/>
      <c r="G262" s="204"/>
      <c r="H262" s="99" t="str">
        <f>CONCATENATE($L$7,"-",LEFT(C262,3),"-",LEFT(D262,3),LEFT(I262,3),"-",LEFT(J262,3),"-",22)</f>
        <v>CGK-2-KURNON-STA-22</v>
      </c>
      <c r="I262" s="149" t="s">
        <v>154</v>
      </c>
      <c r="J262" s="151" t="s">
        <v>157</v>
      </c>
      <c r="K262" s="158" t="s">
        <v>446</v>
      </c>
      <c r="L262" s="153" t="s">
        <v>206</v>
      </c>
      <c r="M262" s="391"/>
      <c r="N262" s="67">
        <v>44483</v>
      </c>
      <c r="O262" s="228"/>
      <c r="P262" s="107"/>
      <c r="Q262" s="60"/>
      <c r="R262" s="60"/>
      <c r="S262" s="60"/>
      <c r="T262" s="41"/>
      <c r="U262" s="37"/>
      <c r="V262" s="51"/>
      <c r="X262" s="35"/>
    </row>
    <row r="263" spans="2:24" x14ac:dyDescent="0.25">
      <c r="B263" s="405"/>
      <c r="C263" s="90">
        <v>2</v>
      </c>
      <c r="D263" s="203" t="s">
        <v>150</v>
      </c>
      <c r="E263" s="204"/>
      <c r="F263" s="204"/>
      <c r="G263" s="204"/>
      <c r="H263" s="99" t="str">
        <f>CONCATENATE($L$7,"-",LEFT(C263,3),"-",LEFT(D263,3),LEFT(I263,3),"-",LEFT(J263,3),"-",23)</f>
        <v>CGK-2-KURNON-STA-23</v>
      </c>
      <c r="I263" s="149" t="s">
        <v>154</v>
      </c>
      <c r="J263" s="151" t="s">
        <v>157</v>
      </c>
      <c r="K263" s="158" t="s">
        <v>446</v>
      </c>
      <c r="L263" s="153" t="s">
        <v>206</v>
      </c>
      <c r="M263" s="391"/>
      <c r="N263" s="67">
        <v>44483</v>
      </c>
      <c r="O263" s="228"/>
      <c r="P263" s="107"/>
      <c r="Q263" s="60"/>
      <c r="R263" s="60"/>
      <c r="S263" s="60"/>
      <c r="T263" s="41"/>
      <c r="U263" s="37"/>
      <c r="V263" s="51"/>
      <c r="X263" s="35"/>
    </row>
    <row r="264" spans="2:24" x14ac:dyDescent="0.25">
      <c r="B264" s="405"/>
      <c r="C264" s="90">
        <v>2</v>
      </c>
      <c r="D264" s="203" t="s">
        <v>150</v>
      </c>
      <c r="E264" s="204"/>
      <c r="F264" s="204"/>
      <c r="G264" s="204"/>
      <c r="H264" s="99" t="str">
        <f>CONCATENATE($L$7,"-",LEFT(C264,3),"-",LEFT(D264,3),LEFT(I264,3),"-",LEFT(J264,3),"-",24)</f>
        <v>CGK-2-KURNON-STA-24</v>
      </c>
      <c r="I264" s="149" t="s">
        <v>154</v>
      </c>
      <c r="J264" s="151" t="s">
        <v>157</v>
      </c>
      <c r="K264" s="158" t="s">
        <v>446</v>
      </c>
      <c r="L264" s="153" t="s">
        <v>206</v>
      </c>
      <c r="M264" s="391"/>
      <c r="N264" s="67">
        <v>44483</v>
      </c>
      <c r="O264" s="228"/>
      <c r="P264" s="107"/>
      <c r="Q264" s="60"/>
      <c r="R264" s="60"/>
      <c r="S264" s="60"/>
      <c r="T264" s="41"/>
      <c r="U264" s="37"/>
      <c r="V264" s="51"/>
      <c r="X264" s="35"/>
    </row>
    <row r="265" spans="2:24" x14ac:dyDescent="0.25">
      <c r="B265" s="405"/>
      <c r="C265" s="90">
        <v>2</v>
      </c>
      <c r="D265" s="203" t="s">
        <v>150</v>
      </c>
      <c r="E265" s="204"/>
      <c r="F265" s="204"/>
      <c r="G265" s="204"/>
      <c r="H265" s="99" t="str">
        <f>CONCATENATE($L$7,"-",LEFT(C265,3),"-",LEFT(D265,3),LEFT(I265,3),"-",LEFT(J265,3),"-",25)</f>
        <v>CGK-2-KURNON-STA-25</v>
      </c>
      <c r="I265" s="149" t="s">
        <v>154</v>
      </c>
      <c r="J265" s="151" t="s">
        <v>157</v>
      </c>
      <c r="K265" s="158" t="s">
        <v>434</v>
      </c>
      <c r="L265" s="153" t="s">
        <v>206</v>
      </c>
      <c r="M265" s="391"/>
      <c r="N265" s="67">
        <v>44483</v>
      </c>
      <c r="O265" s="228"/>
      <c r="P265" s="107"/>
      <c r="Q265" s="60"/>
      <c r="R265" s="60"/>
      <c r="S265" s="60"/>
      <c r="T265" s="41"/>
      <c r="U265" s="37"/>
      <c r="V265" s="51"/>
      <c r="X265" s="35"/>
    </row>
    <row r="266" spans="2:24" x14ac:dyDescent="0.25">
      <c r="B266" s="405"/>
      <c r="C266" s="90">
        <v>2</v>
      </c>
      <c r="D266" s="203" t="s">
        <v>150</v>
      </c>
      <c r="E266" s="204"/>
      <c r="F266" s="204"/>
      <c r="G266" s="204"/>
      <c r="H266" s="99" t="str">
        <f>CONCATENATE($L$7,"-",LEFT(C266,3),"-",LEFT(D266,3),LEFT(I266,3),"-",LEFT(J266,3),"-",26)</f>
        <v>CGK-2-KURNON-STA-26</v>
      </c>
      <c r="I266" s="149" t="s">
        <v>154</v>
      </c>
      <c r="J266" s="151" t="s">
        <v>157</v>
      </c>
      <c r="K266" s="158" t="s">
        <v>434</v>
      </c>
      <c r="L266" s="153" t="s">
        <v>206</v>
      </c>
      <c r="M266" s="391"/>
      <c r="N266" s="67">
        <v>44483</v>
      </c>
      <c r="O266" s="228"/>
      <c r="P266" s="107"/>
      <c r="Q266" s="60"/>
      <c r="R266" s="60"/>
      <c r="S266" s="60"/>
      <c r="T266" s="41"/>
      <c r="U266" s="37"/>
      <c r="V266" s="51"/>
      <c r="X266" s="35"/>
    </row>
    <row r="267" spans="2:24" x14ac:dyDescent="0.25">
      <c r="B267" s="405"/>
      <c r="C267" s="90">
        <v>2</v>
      </c>
      <c r="D267" s="203" t="s">
        <v>150</v>
      </c>
      <c r="E267" s="204"/>
      <c r="F267" s="204"/>
      <c r="G267" s="204"/>
      <c r="H267" s="99" t="str">
        <f>CONCATENATE($L$7,"-",LEFT(C267,3),"-",LEFT(D267,3),LEFT(I267,3),"-",LEFT(J267,3),"-",27)</f>
        <v>CGK-2-KURNON-STA-27</v>
      </c>
      <c r="I267" s="149" t="s">
        <v>154</v>
      </c>
      <c r="J267" s="151" t="s">
        <v>157</v>
      </c>
      <c r="K267" s="158" t="s">
        <v>425</v>
      </c>
      <c r="L267" s="153" t="s">
        <v>206</v>
      </c>
      <c r="M267" s="391"/>
      <c r="N267" s="67">
        <v>44483</v>
      </c>
      <c r="O267" s="228"/>
      <c r="P267" s="107"/>
      <c r="Q267" s="60"/>
      <c r="R267" s="60"/>
      <c r="S267" s="60"/>
      <c r="T267" s="41"/>
      <c r="U267" s="37"/>
      <c r="V267" s="51"/>
      <c r="X267" s="35"/>
    </row>
    <row r="268" spans="2:24" x14ac:dyDescent="0.25">
      <c r="B268" s="405"/>
      <c r="C268" s="90">
        <v>2</v>
      </c>
      <c r="D268" s="203" t="s">
        <v>150</v>
      </c>
      <c r="E268" s="204"/>
      <c r="F268" s="204"/>
      <c r="G268" s="204"/>
      <c r="H268" s="99" t="str">
        <f>CONCATENATE($L$7,"-",LEFT(C268,3),"-",LEFT(D268,3),LEFT(I268,3),"-",LEFT(J268,3),"-",28)</f>
        <v>CGK-2-KURNON-STA-28</v>
      </c>
      <c r="I268" s="149" t="s">
        <v>154</v>
      </c>
      <c r="J268" s="151" t="s">
        <v>157</v>
      </c>
      <c r="K268" s="158" t="s">
        <v>425</v>
      </c>
      <c r="L268" s="153" t="s">
        <v>206</v>
      </c>
      <c r="M268" s="391"/>
      <c r="N268" s="67">
        <v>44483</v>
      </c>
      <c r="O268" s="228"/>
      <c r="P268" s="107"/>
      <c r="Q268" s="60"/>
      <c r="R268" s="60"/>
      <c r="S268" s="60"/>
      <c r="T268" s="41"/>
      <c r="U268" s="37"/>
      <c r="V268" s="51"/>
      <c r="X268" s="35"/>
    </row>
    <row r="269" spans="2:24" x14ac:dyDescent="0.25">
      <c r="B269" s="405"/>
      <c r="C269" s="90">
        <v>2</v>
      </c>
      <c r="D269" s="203" t="s">
        <v>150</v>
      </c>
      <c r="E269" s="204"/>
      <c r="F269" s="204"/>
      <c r="G269" s="204"/>
      <c r="H269" s="99" t="str">
        <f>CONCATENATE($L$7,"-",LEFT(C269,3),"-",LEFT(D269,3),LEFT(I269,3),"-",LEFT(J269,3),"-",29)</f>
        <v>CGK-2-KURNON-STA-29</v>
      </c>
      <c r="I269" s="149" t="s">
        <v>154</v>
      </c>
      <c r="J269" s="151" t="s">
        <v>157</v>
      </c>
      <c r="K269" s="158" t="s">
        <v>416</v>
      </c>
      <c r="L269" s="153" t="s">
        <v>206</v>
      </c>
      <c r="M269" s="391"/>
      <c r="N269" s="67">
        <v>44483</v>
      </c>
      <c r="O269" s="228"/>
      <c r="P269" s="107"/>
      <c r="Q269" s="60"/>
      <c r="R269" s="60"/>
      <c r="S269" s="60"/>
      <c r="T269" s="41"/>
      <c r="U269" s="37"/>
      <c r="V269" s="51"/>
      <c r="X269" s="35"/>
    </row>
    <row r="270" spans="2:24" x14ac:dyDescent="0.25">
      <c r="B270" s="405"/>
      <c r="C270" s="90">
        <v>2</v>
      </c>
      <c r="D270" s="203" t="s">
        <v>150</v>
      </c>
      <c r="E270" s="204"/>
      <c r="F270" s="204"/>
      <c r="G270" s="204"/>
      <c r="H270" s="99" t="str">
        <f>CONCATENATE($L$7,"-",LEFT(C270,3),"-",LEFT(D270,3),LEFT(I270,3),"-",LEFT(J270,3),"-",30)</f>
        <v>CGK-2-KURNON-STA-30</v>
      </c>
      <c r="I270" s="149" t="s">
        <v>154</v>
      </c>
      <c r="J270" s="151" t="s">
        <v>157</v>
      </c>
      <c r="K270" s="158" t="s">
        <v>416</v>
      </c>
      <c r="L270" s="153" t="s">
        <v>206</v>
      </c>
      <c r="M270" s="391"/>
      <c r="N270" s="67">
        <v>44483</v>
      </c>
      <c r="O270" s="228"/>
      <c r="P270" s="107"/>
      <c r="Q270" s="60"/>
      <c r="R270" s="60"/>
      <c r="S270" s="60"/>
      <c r="T270" s="41"/>
      <c r="U270" s="37"/>
      <c r="V270" s="51"/>
      <c r="X270" s="35"/>
    </row>
    <row r="271" spans="2:24" x14ac:dyDescent="0.25">
      <c r="B271" s="405"/>
      <c r="C271" s="90">
        <v>2</v>
      </c>
      <c r="D271" s="203" t="s">
        <v>150</v>
      </c>
      <c r="E271" s="204"/>
      <c r="F271" s="204"/>
      <c r="G271" s="204"/>
      <c r="H271" s="99" t="str">
        <f>CONCATENATE($L$7,"-",LEFT(C271,3),"-",LEFT(D271,3),LEFT(I271,3),"-",LEFT(J271,3),"-",31)</f>
        <v>CGK-2-KURNON-STA-31</v>
      </c>
      <c r="I271" s="149" t="s">
        <v>154</v>
      </c>
      <c r="J271" s="151" t="s">
        <v>157</v>
      </c>
      <c r="K271" s="158" t="s">
        <v>416</v>
      </c>
      <c r="L271" s="153" t="s">
        <v>206</v>
      </c>
      <c r="M271" s="391"/>
      <c r="N271" s="67">
        <v>44483</v>
      </c>
      <c r="O271" s="228"/>
      <c r="P271" s="107"/>
      <c r="Q271" s="60"/>
      <c r="R271" s="60"/>
      <c r="S271" s="60"/>
      <c r="T271" s="41"/>
      <c r="U271" s="37"/>
      <c r="V271" s="51"/>
      <c r="X271" s="35"/>
    </row>
    <row r="272" spans="2:24" x14ac:dyDescent="0.25">
      <c r="B272" s="405"/>
      <c r="C272" s="90">
        <v>2</v>
      </c>
      <c r="D272" s="203" t="s">
        <v>150</v>
      </c>
      <c r="E272" s="204"/>
      <c r="F272" s="204"/>
      <c r="G272" s="204"/>
      <c r="H272" s="99" t="str">
        <f>CONCATENATE($L$7,"-",LEFT(C272,3),"-",LEFT(D272,3),LEFT(I272,3),"-",LEFT(J272,3),"-",32)</f>
        <v>CGK-2-KURNON-STA-32</v>
      </c>
      <c r="I272" s="149" t="s">
        <v>154</v>
      </c>
      <c r="J272" s="151" t="s">
        <v>157</v>
      </c>
      <c r="K272" s="158" t="s">
        <v>426</v>
      </c>
      <c r="L272" s="153" t="s">
        <v>206</v>
      </c>
      <c r="M272" s="391"/>
      <c r="N272" s="67">
        <v>44483</v>
      </c>
      <c r="O272" s="228"/>
      <c r="P272" s="107"/>
      <c r="Q272" s="60"/>
      <c r="R272" s="60"/>
      <c r="S272" s="60"/>
      <c r="T272" s="41"/>
      <c r="U272" s="37"/>
      <c r="V272" s="51"/>
      <c r="X272" s="35"/>
    </row>
    <row r="273" spans="2:24" x14ac:dyDescent="0.25">
      <c r="B273" s="405"/>
      <c r="C273" s="90">
        <v>2</v>
      </c>
      <c r="D273" s="203" t="s">
        <v>150</v>
      </c>
      <c r="E273" s="204"/>
      <c r="F273" s="204"/>
      <c r="G273" s="204"/>
      <c r="H273" s="99" t="str">
        <f>CONCATENATE($L$7,"-",LEFT(C273,3),"-",LEFT(D273,3),LEFT(I273,3),"-",LEFT(J273,3),"-",33)</f>
        <v>CGK-2-KURNON-STA-33</v>
      </c>
      <c r="I273" s="149" t="s">
        <v>154</v>
      </c>
      <c r="J273" s="151" t="s">
        <v>157</v>
      </c>
      <c r="K273" s="158" t="s">
        <v>447</v>
      </c>
      <c r="L273" s="153" t="s">
        <v>206</v>
      </c>
      <c r="M273" s="391"/>
      <c r="N273" s="67">
        <v>44483</v>
      </c>
      <c r="O273" s="228"/>
      <c r="P273" s="107"/>
      <c r="Q273" s="60"/>
      <c r="R273" s="60"/>
      <c r="S273" s="60"/>
      <c r="T273" s="41"/>
      <c r="U273" s="37"/>
      <c r="V273" s="51"/>
      <c r="X273" s="35"/>
    </row>
    <row r="274" spans="2:24" x14ac:dyDescent="0.25">
      <c r="B274" s="405"/>
      <c r="C274" s="90">
        <v>2</v>
      </c>
      <c r="D274" s="203" t="s">
        <v>150</v>
      </c>
      <c r="E274" s="204"/>
      <c r="F274" s="204"/>
      <c r="G274" s="204"/>
      <c r="H274" s="99" t="str">
        <f>CONCATENATE($L$7,"-",LEFT(C274,3),"-",LEFT(D274,3),LEFT(I274,3),"-",LEFT(J274,3),"-",34)</f>
        <v>CGK-2-KURNON-STA-34</v>
      </c>
      <c r="I274" s="149" t="s">
        <v>154</v>
      </c>
      <c r="J274" s="151" t="s">
        <v>157</v>
      </c>
      <c r="K274" s="158" t="s">
        <v>447</v>
      </c>
      <c r="L274" s="153" t="s">
        <v>206</v>
      </c>
      <c r="M274" s="391"/>
      <c r="N274" s="67">
        <v>44483</v>
      </c>
      <c r="O274" s="228"/>
      <c r="P274" s="107"/>
      <c r="Q274" s="60"/>
      <c r="R274" s="60"/>
      <c r="S274" s="60"/>
      <c r="T274" s="41"/>
      <c r="U274" s="37"/>
      <c r="V274" s="51"/>
      <c r="X274" s="35"/>
    </row>
    <row r="275" spans="2:24" x14ac:dyDescent="0.25">
      <c r="B275" s="405"/>
      <c r="C275" s="90">
        <v>2</v>
      </c>
      <c r="D275" s="203" t="s">
        <v>150</v>
      </c>
      <c r="E275" s="204"/>
      <c r="F275" s="204"/>
      <c r="G275" s="204"/>
      <c r="H275" s="99" t="str">
        <f>CONCATENATE($L$7,"-",LEFT(C275,3),"-",LEFT(D275,3),LEFT(I275,3),"-",LEFT(J275,3),"-",35)</f>
        <v>CGK-2-KURNON-STA-35</v>
      </c>
      <c r="I275" s="149" t="s">
        <v>154</v>
      </c>
      <c r="J275" s="151" t="s">
        <v>157</v>
      </c>
      <c r="K275" s="158" t="s">
        <v>447</v>
      </c>
      <c r="L275" s="153" t="s">
        <v>206</v>
      </c>
      <c r="M275" s="391"/>
      <c r="N275" s="67">
        <v>44483</v>
      </c>
      <c r="O275" s="228"/>
      <c r="P275" s="107"/>
      <c r="Q275" s="60"/>
      <c r="R275" s="60"/>
      <c r="S275" s="60"/>
      <c r="T275" s="41"/>
      <c r="U275" s="37"/>
      <c r="V275" s="51"/>
      <c r="X275" s="35"/>
    </row>
    <row r="276" spans="2:24" x14ac:dyDescent="0.25">
      <c r="B276" s="405"/>
      <c r="C276" s="90">
        <v>2</v>
      </c>
      <c r="D276" s="203" t="s">
        <v>150</v>
      </c>
      <c r="E276" s="204"/>
      <c r="F276" s="204"/>
      <c r="G276" s="204"/>
      <c r="H276" s="99" t="str">
        <f>CONCATENATE($L$7,"-",LEFT(C276,3),"-",LEFT(D276,3),LEFT(I276,3),"-",LEFT(J276,3),"-",36)</f>
        <v>CGK-2-KURNON-STA-36</v>
      </c>
      <c r="I276" s="149" t="s">
        <v>154</v>
      </c>
      <c r="J276" s="151" t="s">
        <v>157</v>
      </c>
      <c r="K276" s="158" t="s">
        <v>447</v>
      </c>
      <c r="L276" s="153" t="s">
        <v>206</v>
      </c>
      <c r="M276" s="391"/>
      <c r="N276" s="67">
        <v>44483</v>
      </c>
      <c r="O276" s="228"/>
      <c r="P276" s="107"/>
      <c r="Q276" s="60"/>
      <c r="R276" s="60"/>
      <c r="S276" s="60"/>
      <c r="T276" s="41"/>
      <c r="U276" s="37"/>
      <c r="V276" s="51"/>
      <c r="X276" s="35"/>
    </row>
    <row r="277" spans="2:24" x14ac:dyDescent="0.25">
      <c r="B277" s="405"/>
      <c r="C277" s="90">
        <v>2</v>
      </c>
      <c r="D277" s="203" t="s">
        <v>150</v>
      </c>
      <c r="E277" s="204"/>
      <c r="F277" s="204"/>
      <c r="G277" s="204"/>
      <c r="H277" s="99" t="str">
        <f>CONCATENATE($L$7,"-",LEFT(C277,3),"-",LEFT(D277,3),LEFT(I277,3),"-",LEFT(J277,3),"-",37)</f>
        <v>CGK-2-KURNON-STA-37</v>
      </c>
      <c r="I277" s="149" t="s">
        <v>154</v>
      </c>
      <c r="J277" s="151" t="s">
        <v>157</v>
      </c>
      <c r="K277" s="158" t="s">
        <v>447</v>
      </c>
      <c r="L277" s="153" t="s">
        <v>206</v>
      </c>
      <c r="M277" s="391"/>
      <c r="N277" s="67">
        <v>44483</v>
      </c>
      <c r="O277" s="228"/>
      <c r="P277" s="107"/>
      <c r="Q277" s="60"/>
      <c r="R277" s="60"/>
      <c r="S277" s="60"/>
      <c r="T277" s="41"/>
      <c r="U277" s="37"/>
      <c r="V277" s="51"/>
      <c r="X277" s="35"/>
    </row>
    <row r="278" spans="2:24" x14ac:dyDescent="0.25">
      <c r="B278" s="405"/>
      <c r="C278" s="90">
        <v>2</v>
      </c>
      <c r="D278" s="203" t="s">
        <v>150</v>
      </c>
      <c r="E278" s="204"/>
      <c r="F278" s="204"/>
      <c r="G278" s="204"/>
      <c r="H278" s="99" t="str">
        <f>CONCATENATE($L$7,"-",LEFT(C278,3),"-",LEFT(D278,3),LEFT(I278,3),"-",LEFT(J278,3),"-",38)</f>
        <v>CGK-2-KURNON-STA-38</v>
      </c>
      <c r="I278" s="149" t="s">
        <v>154</v>
      </c>
      <c r="J278" s="151" t="s">
        <v>157</v>
      </c>
      <c r="K278" s="158" t="s">
        <v>429</v>
      </c>
      <c r="L278" s="153" t="s">
        <v>206</v>
      </c>
      <c r="M278" s="391"/>
      <c r="N278" s="67">
        <v>44483</v>
      </c>
      <c r="O278" s="228"/>
      <c r="P278" s="107"/>
      <c r="Q278" s="60"/>
      <c r="R278" s="60"/>
      <c r="S278" s="60"/>
      <c r="T278" s="41"/>
      <c r="U278" s="37"/>
      <c r="V278" s="51"/>
      <c r="X278" s="35"/>
    </row>
    <row r="279" spans="2:24" x14ac:dyDescent="0.25">
      <c r="B279" s="405"/>
      <c r="C279" s="90">
        <v>2</v>
      </c>
      <c r="D279" s="203" t="s">
        <v>150</v>
      </c>
      <c r="E279" s="204"/>
      <c r="F279" s="204"/>
      <c r="G279" s="204"/>
      <c r="H279" s="99" t="str">
        <f>CONCATENATE($L$7,"-",LEFT(C279,3),"-",LEFT(D279,3),LEFT(I279,3),"-",LEFT(J279,3),"-",39)</f>
        <v>CGK-2-KURNON-STA-39</v>
      </c>
      <c r="I279" s="149" t="s">
        <v>154</v>
      </c>
      <c r="J279" s="151" t="s">
        <v>157</v>
      </c>
      <c r="K279" s="158" t="s">
        <v>429</v>
      </c>
      <c r="L279" s="153" t="s">
        <v>206</v>
      </c>
      <c r="M279" s="391"/>
      <c r="N279" s="67">
        <v>44483</v>
      </c>
      <c r="O279" s="228"/>
      <c r="P279" s="107"/>
      <c r="Q279" s="60"/>
      <c r="R279" s="60"/>
      <c r="S279" s="60"/>
      <c r="T279" s="41"/>
      <c r="U279" s="37"/>
      <c r="V279" s="51"/>
      <c r="X279" s="35"/>
    </row>
    <row r="280" spans="2:24" x14ac:dyDescent="0.25">
      <c r="B280" s="405"/>
      <c r="C280" s="90">
        <v>2</v>
      </c>
      <c r="D280" s="203" t="s">
        <v>150</v>
      </c>
      <c r="E280" s="204"/>
      <c r="F280" s="204"/>
      <c r="G280" s="204"/>
      <c r="H280" s="99" t="str">
        <f>CONCATENATE($L$7,"-",LEFT(C280,3),"-",LEFT(D280,3),LEFT(I280,3),"-",LEFT(J280,3),"-",40)</f>
        <v>CGK-2-KURNON-STA-40</v>
      </c>
      <c r="I280" s="149" t="s">
        <v>154</v>
      </c>
      <c r="J280" s="151" t="s">
        <v>157</v>
      </c>
      <c r="K280" s="158" t="s">
        <v>448</v>
      </c>
      <c r="L280" s="153" t="s">
        <v>206</v>
      </c>
      <c r="M280" s="391"/>
      <c r="N280" s="67">
        <v>44483</v>
      </c>
      <c r="O280" s="228"/>
      <c r="P280" s="107"/>
      <c r="Q280" s="60"/>
      <c r="R280" s="60"/>
      <c r="S280" s="60"/>
      <c r="T280" s="41"/>
      <c r="U280" s="37"/>
      <c r="V280" s="51"/>
      <c r="X280" s="35"/>
    </row>
    <row r="281" spans="2:24" x14ac:dyDescent="0.25">
      <c r="B281" s="405"/>
      <c r="C281" s="90">
        <v>2</v>
      </c>
      <c r="D281" s="203" t="s">
        <v>150</v>
      </c>
      <c r="E281" s="204"/>
      <c r="F281" s="204"/>
      <c r="G281" s="204"/>
      <c r="H281" s="99" t="str">
        <f>CONCATENATE($L$7,"-",LEFT(C281,3),"-",LEFT(D281,3),LEFT(I281,3),"-",LEFT(J281,3),"-",41)</f>
        <v>CGK-2-KURNON-STA-41</v>
      </c>
      <c r="I281" s="149" t="s">
        <v>154</v>
      </c>
      <c r="J281" s="151" t="s">
        <v>157</v>
      </c>
      <c r="K281" s="158" t="s">
        <v>448</v>
      </c>
      <c r="L281" s="153" t="s">
        <v>206</v>
      </c>
      <c r="M281" s="392"/>
      <c r="N281" s="67">
        <v>44483</v>
      </c>
      <c r="O281" s="228"/>
      <c r="P281" s="107"/>
      <c r="Q281" s="60"/>
      <c r="R281" s="60"/>
      <c r="S281" s="60"/>
      <c r="T281" s="41"/>
      <c r="U281" s="37"/>
      <c r="V281" s="51"/>
      <c r="X281" s="35"/>
    </row>
    <row r="282" spans="2:24" x14ac:dyDescent="0.25">
      <c r="B282" s="405"/>
      <c r="C282" s="90">
        <v>2</v>
      </c>
      <c r="D282" s="203" t="s">
        <v>150</v>
      </c>
      <c r="E282" s="204"/>
      <c r="F282" s="204"/>
      <c r="G282" s="204"/>
      <c r="H282" s="99" t="str">
        <f t="shared" si="3"/>
        <v>CGK-2-KURNON-REL</v>
      </c>
      <c r="I282" s="149" t="s">
        <v>154</v>
      </c>
      <c r="J282" s="151" t="s">
        <v>289</v>
      </c>
      <c r="K282" s="158"/>
      <c r="L282" s="153" t="s">
        <v>206</v>
      </c>
      <c r="M282" s="238">
        <v>0</v>
      </c>
      <c r="N282" s="67">
        <v>44483</v>
      </c>
      <c r="O282" s="228"/>
      <c r="P282" s="107" t="s">
        <v>73</v>
      </c>
      <c r="Q282" s="60"/>
      <c r="R282" s="60"/>
      <c r="S282" s="60"/>
      <c r="T282" s="41"/>
      <c r="U282" s="37"/>
      <c r="V282" s="51"/>
      <c r="X282" s="35"/>
    </row>
    <row r="283" spans="2:24" x14ac:dyDescent="0.25">
      <c r="B283" s="405"/>
      <c r="C283" s="90">
        <v>2</v>
      </c>
      <c r="D283" s="203" t="s">
        <v>150</v>
      </c>
      <c r="E283" s="204"/>
      <c r="F283" s="204"/>
      <c r="G283" s="204"/>
      <c r="H283" s="99" t="str">
        <f>CONCATENATE($L$7,"-",LEFT(C283,3),"-",LEFT(D283,3),LEFT(I283,3),"-",LEFT(J283,4),"-",1)</f>
        <v>CGK-2-KURNON-WOOD-1</v>
      </c>
      <c r="I283" s="149" t="s">
        <v>154</v>
      </c>
      <c r="J283" s="151" t="s">
        <v>290</v>
      </c>
      <c r="K283" s="158" t="s">
        <v>426</v>
      </c>
      <c r="L283" s="153" t="s">
        <v>206</v>
      </c>
      <c r="M283" s="390">
        <v>6</v>
      </c>
      <c r="N283" s="67">
        <v>44483</v>
      </c>
      <c r="O283" s="228"/>
      <c r="P283" s="107" t="s">
        <v>73</v>
      </c>
      <c r="Q283" s="60"/>
      <c r="R283" s="60"/>
      <c r="S283" s="60"/>
      <c r="T283" s="41"/>
      <c r="U283" s="37"/>
      <c r="V283" s="51"/>
      <c r="X283" s="35"/>
    </row>
    <row r="284" spans="2:24" x14ac:dyDescent="0.25">
      <c r="B284" s="405"/>
      <c r="C284" s="90">
        <v>2</v>
      </c>
      <c r="D284" s="203" t="s">
        <v>150</v>
      </c>
      <c r="E284" s="204"/>
      <c r="F284" s="204"/>
      <c r="G284" s="204"/>
      <c r="H284" s="99" t="str">
        <f>CONCATENATE($L$7,"-",LEFT(C284,3),"-",LEFT(D284,3),LEFT(I284,3),"-",LEFT(J284,4),"-",2)</f>
        <v>CGK-2-KURNON-WOOD-2</v>
      </c>
      <c r="I284" s="149" t="s">
        <v>154</v>
      </c>
      <c r="J284" s="151" t="s">
        <v>290</v>
      </c>
      <c r="K284" s="158" t="s">
        <v>434</v>
      </c>
      <c r="L284" s="153" t="s">
        <v>206</v>
      </c>
      <c r="M284" s="391"/>
      <c r="N284" s="67">
        <v>44483</v>
      </c>
      <c r="O284" s="228"/>
      <c r="P284" s="107"/>
      <c r="Q284" s="60"/>
      <c r="R284" s="60"/>
      <c r="S284" s="60"/>
      <c r="T284" s="41"/>
      <c r="U284" s="37"/>
      <c r="V284" s="51"/>
      <c r="X284" s="35"/>
    </row>
    <row r="285" spans="2:24" x14ac:dyDescent="0.25">
      <c r="B285" s="405"/>
      <c r="C285" s="90">
        <v>2</v>
      </c>
      <c r="D285" s="203" t="s">
        <v>150</v>
      </c>
      <c r="E285" s="204"/>
      <c r="F285" s="204"/>
      <c r="G285" s="204"/>
      <c r="H285" s="99" t="str">
        <f>CONCATENATE($L$7,"-",LEFT(C285,3),"-",LEFT(D285,3),LEFT(I285,3),"-",LEFT(J285,4),"-",3)</f>
        <v>CGK-2-KURNON-WOOD-3</v>
      </c>
      <c r="I285" s="149" t="s">
        <v>154</v>
      </c>
      <c r="J285" s="151" t="s">
        <v>290</v>
      </c>
      <c r="K285" s="158" t="s">
        <v>446</v>
      </c>
      <c r="L285" s="153" t="s">
        <v>206</v>
      </c>
      <c r="M285" s="391"/>
      <c r="N285" s="67">
        <v>44483</v>
      </c>
      <c r="O285" s="228"/>
      <c r="P285" s="107"/>
      <c r="Q285" s="60"/>
      <c r="R285" s="60"/>
      <c r="S285" s="60"/>
      <c r="T285" s="41"/>
      <c r="U285" s="37"/>
      <c r="V285" s="51"/>
      <c r="X285" s="35"/>
    </row>
    <row r="286" spans="2:24" x14ac:dyDescent="0.25">
      <c r="B286" s="405"/>
      <c r="C286" s="90">
        <v>2</v>
      </c>
      <c r="D286" s="203" t="s">
        <v>150</v>
      </c>
      <c r="E286" s="204"/>
      <c r="F286" s="204"/>
      <c r="G286" s="204"/>
      <c r="H286" s="99" t="str">
        <f>CONCATENATE($L$7,"-",LEFT(C286,3),"-",LEFT(D286,3),LEFT(I286,3),"-",LEFT(J286,4),"-",4)</f>
        <v>CGK-2-KURNON-WOOD-4</v>
      </c>
      <c r="I286" s="149" t="s">
        <v>154</v>
      </c>
      <c r="J286" s="151" t="s">
        <v>290</v>
      </c>
      <c r="K286" s="158" t="s">
        <v>444</v>
      </c>
      <c r="L286" s="153" t="s">
        <v>206</v>
      </c>
      <c r="M286" s="391"/>
      <c r="N286" s="67">
        <v>44483</v>
      </c>
      <c r="O286" s="228"/>
      <c r="P286" s="107"/>
      <c r="Q286" s="60"/>
      <c r="R286" s="60"/>
      <c r="S286" s="60"/>
      <c r="T286" s="41"/>
      <c r="U286" s="37"/>
      <c r="V286" s="51"/>
      <c r="X286" s="35"/>
    </row>
    <row r="287" spans="2:24" x14ac:dyDescent="0.25">
      <c r="B287" s="405"/>
      <c r="C287" s="90">
        <v>2</v>
      </c>
      <c r="D287" s="203" t="s">
        <v>150</v>
      </c>
      <c r="E287" s="204"/>
      <c r="F287" s="204"/>
      <c r="G287" s="204"/>
      <c r="H287" s="99" t="str">
        <f>CONCATENATE($L$7,"-",LEFT(C287,3),"-",LEFT(D287,3),LEFT(I287,3),"-",LEFT(J287,4),"-",5)</f>
        <v>CGK-2-KURNON-WOOD-5</v>
      </c>
      <c r="I287" s="149" t="s">
        <v>154</v>
      </c>
      <c r="J287" s="151" t="s">
        <v>290</v>
      </c>
      <c r="K287" s="158" t="s">
        <v>444</v>
      </c>
      <c r="L287" s="153" t="s">
        <v>206</v>
      </c>
      <c r="M287" s="391"/>
      <c r="N287" s="67">
        <v>44483</v>
      </c>
      <c r="O287" s="228"/>
      <c r="P287" s="107"/>
      <c r="Q287" s="60"/>
      <c r="R287" s="60"/>
      <c r="S287" s="60"/>
      <c r="T287" s="41"/>
      <c r="U287" s="37"/>
      <c r="V287" s="51"/>
      <c r="X287" s="35"/>
    </row>
    <row r="288" spans="2:24" x14ac:dyDescent="0.25">
      <c r="B288" s="405"/>
      <c r="C288" s="90">
        <v>2</v>
      </c>
      <c r="D288" s="203" t="s">
        <v>150</v>
      </c>
      <c r="E288" s="204"/>
      <c r="F288" s="204"/>
      <c r="G288" s="204"/>
      <c r="H288" s="99" t="str">
        <f>CONCATENATE($L$7,"-",LEFT(C288,3),"-",LEFT(D288,3),LEFT(I288,3),"-",LEFT(J288,4),"-",6)</f>
        <v>CGK-2-KURNON-WOOD-6</v>
      </c>
      <c r="I288" s="149" t="s">
        <v>154</v>
      </c>
      <c r="J288" s="151" t="s">
        <v>290</v>
      </c>
      <c r="K288" s="158" t="s">
        <v>239</v>
      </c>
      <c r="L288" s="153" t="s">
        <v>206</v>
      </c>
      <c r="M288" s="392"/>
      <c r="N288" s="67">
        <v>44483</v>
      </c>
      <c r="O288" s="228"/>
      <c r="P288" s="107"/>
      <c r="Q288" s="60"/>
      <c r="R288" s="60"/>
      <c r="S288" s="60"/>
      <c r="T288" s="41"/>
      <c r="U288" s="37"/>
      <c r="V288" s="51"/>
      <c r="X288" s="35"/>
    </row>
    <row r="289" spans="2:24" x14ac:dyDescent="0.25">
      <c r="B289" s="405"/>
      <c r="C289" s="90">
        <v>2</v>
      </c>
      <c r="D289" s="203" t="s">
        <v>158</v>
      </c>
      <c r="E289" s="204"/>
      <c r="F289" s="204"/>
      <c r="G289" s="204"/>
      <c r="H289" s="99" t="str">
        <f>CONCATENATE($L$7,"-",LEFT(C289,3),"-",LEFT(D289,3),LEFT(I289,3),"-",LEFT(J289,5))</f>
        <v>CGK-2-SOFSIN-1</v>
      </c>
      <c r="I289" s="149" t="s">
        <v>142</v>
      </c>
      <c r="J289" s="151">
        <v>1</v>
      </c>
      <c r="K289" s="158" t="s">
        <v>395</v>
      </c>
      <c r="L289" s="153" t="s">
        <v>206</v>
      </c>
      <c r="M289" s="238">
        <f>'[1]TOTAL R. ATAS'!$F$40</f>
        <v>1</v>
      </c>
      <c r="N289" s="67">
        <v>44483</v>
      </c>
      <c r="O289" s="228"/>
      <c r="P289" s="108" t="s">
        <v>75</v>
      </c>
      <c r="Q289" s="60"/>
      <c r="R289" s="60"/>
      <c r="S289" s="60"/>
      <c r="T289" s="41"/>
      <c r="U289" s="37"/>
      <c r="V289" s="51"/>
      <c r="X289" s="35"/>
    </row>
    <row r="290" spans="2:24" x14ac:dyDescent="0.25">
      <c r="B290" s="405"/>
      <c r="C290" s="90">
        <v>2</v>
      </c>
      <c r="D290" s="203" t="s">
        <v>158</v>
      </c>
      <c r="E290" s="204"/>
      <c r="F290" s="204"/>
      <c r="G290" s="204"/>
      <c r="H290" s="99" t="str">
        <f>CONCATENATE($L$7,"-",LEFT(C290,3),"-",LEFT(D290,3),LEFT(I290,3),"-",LEFT(J290,5),"-",1)</f>
        <v>CGK-2-SOFLOV-2-1</v>
      </c>
      <c r="I290" s="149" t="s">
        <v>159</v>
      </c>
      <c r="J290" s="151">
        <v>2</v>
      </c>
      <c r="K290" s="158" t="s">
        <v>395</v>
      </c>
      <c r="L290" s="153" t="s">
        <v>206</v>
      </c>
      <c r="M290" s="390">
        <f>'[1]TOTAL R. ATAS'!$F$41</f>
        <v>2</v>
      </c>
      <c r="N290" s="67">
        <v>44483</v>
      </c>
      <c r="O290" s="228"/>
      <c r="P290" s="108" t="s">
        <v>75</v>
      </c>
      <c r="Q290" s="60"/>
      <c r="R290" s="60"/>
      <c r="S290" s="60"/>
      <c r="T290" s="41"/>
      <c r="U290" s="37"/>
      <c r="V290" s="51"/>
      <c r="X290" s="35"/>
    </row>
    <row r="291" spans="2:24" x14ac:dyDescent="0.25">
      <c r="B291" s="405"/>
      <c r="C291" s="90">
        <v>2</v>
      </c>
      <c r="D291" s="203" t="s">
        <v>158</v>
      </c>
      <c r="E291" s="204"/>
      <c r="F291" s="204"/>
      <c r="G291" s="204"/>
      <c r="H291" s="99" t="str">
        <f>CONCATENATE($L$7,"-",LEFT(C291,3),"-",LEFT(D291,3),LEFT(I291,3),"-",LEFT(J291,5),"-",2)</f>
        <v>CGK-2-SOFLOV-2-2</v>
      </c>
      <c r="I291" s="149" t="s">
        <v>159</v>
      </c>
      <c r="J291" s="151">
        <v>2</v>
      </c>
      <c r="K291" s="158" t="s">
        <v>419</v>
      </c>
      <c r="L291" s="153" t="s">
        <v>206</v>
      </c>
      <c r="M291" s="392"/>
      <c r="N291" s="67">
        <v>44483</v>
      </c>
      <c r="O291" s="228"/>
      <c r="P291" s="108"/>
      <c r="Q291" s="60"/>
      <c r="R291" s="60"/>
      <c r="S291" s="60"/>
      <c r="T291" s="41"/>
      <c r="U291" s="37"/>
      <c r="V291" s="51"/>
      <c r="X291" s="35"/>
    </row>
    <row r="292" spans="2:24" x14ac:dyDescent="0.25">
      <c r="B292" s="405"/>
      <c r="C292" s="90">
        <v>2</v>
      </c>
      <c r="D292" s="203" t="s">
        <v>158</v>
      </c>
      <c r="E292" s="204"/>
      <c r="F292" s="204"/>
      <c r="G292" s="204"/>
      <c r="H292" s="99" t="str">
        <f>CONCATENATE($L$7,"-",LEFT(C292,3),"-",LEFT(D292,3),LEFT(I292,3),"-",LEFT(J292,5))</f>
        <v>CGK-2-SOFTHR-3</v>
      </c>
      <c r="I292" s="149" t="s">
        <v>346</v>
      </c>
      <c r="J292" s="151">
        <v>3</v>
      </c>
      <c r="K292" s="158"/>
      <c r="L292" s="153" t="s">
        <v>206</v>
      </c>
      <c r="M292" s="238">
        <v>0</v>
      </c>
      <c r="N292" s="67">
        <v>44483</v>
      </c>
      <c r="O292" s="228"/>
      <c r="P292" s="108" t="s">
        <v>75</v>
      </c>
      <c r="Q292" s="60"/>
      <c r="R292" s="60"/>
      <c r="S292" s="60"/>
      <c r="T292" s="41"/>
      <c r="U292" s="37"/>
      <c r="V292" s="51"/>
      <c r="X292" s="35"/>
    </row>
    <row r="293" spans="2:24" x14ac:dyDescent="0.25">
      <c r="B293" s="405"/>
      <c r="C293" s="90">
        <v>2</v>
      </c>
      <c r="D293" s="203" t="s">
        <v>158</v>
      </c>
      <c r="E293" s="204"/>
      <c r="F293" s="204"/>
      <c r="G293" s="204"/>
      <c r="H293" s="99" t="str">
        <f t="shared" ref="H293:H298" si="4">CONCATENATE($L$7,"-",LEFT(C293,3),"-",LEFT(D293,3),LEFT(I293,3),"-",LEFT(J293,5))</f>
        <v>CGK-2-SOF-BED</v>
      </c>
      <c r="I293" s="160"/>
      <c r="J293" s="152" t="s">
        <v>178</v>
      </c>
      <c r="K293" s="151" t="s">
        <v>429</v>
      </c>
      <c r="L293" s="153" t="s">
        <v>206</v>
      </c>
      <c r="M293" s="238">
        <v>1</v>
      </c>
      <c r="N293" s="67">
        <v>44483</v>
      </c>
      <c r="O293" s="228"/>
      <c r="P293" s="108" t="s">
        <v>75</v>
      </c>
      <c r="Q293" s="60"/>
      <c r="R293" s="60"/>
      <c r="S293" s="60"/>
      <c r="T293" s="41"/>
      <c r="U293" s="37"/>
      <c r="V293" s="51"/>
      <c r="X293" s="35"/>
    </row>
    <row r="294" spans="2:24" x14ac:dyDescent="0.25">
      <c r="B294" s="405"/>
      <c r="C294" s="90">
        <v>2</v>
      </c>
      <c r="D294" s="206" t="s">
        <v>163</v>
      </c>
      <c r="E294" s="203"/>
      <c r="F294" s="203"/>
      <c r="G294" s="203"/>
      <c r="H294" s="99" t="str">
        <f t="shared" si="4"/>
        <v>CGK-2-FILBES-2 DRA</v>
      </c>
      <c r="I294" s="160" t="s">
        <v>162</v>
      </c>
      <c r="J294" s="152" t="s">
        <v>161</v>
      </c>
      <c r="K294" s="151"/>
      <c r="L294" s="153" t="s">
        <v>206</v>
      </c>
      <c r="M294" s="238">
        <v>0</v>
      </c>
      <c r="N294" s="67">
        <v>44483</v>
      </c>
      <c r="O294" s="228"/>
      <c r="P294" s="108" t="s">
        <v>75</v>
      </c>
      <c r="Q294" s="60"/>
      <c r="R294" s="60"/>
      <c r="S294" s="60"/>
      <c r="T294" s="41"/>
      <c r="U294" s="37"/>
      <c r="V294" s="51"/>
      <c r="X294" s="35"/>
    </row>
    <row r="295" spans="2:24" x14ac:dyDescent="0.25">
      <c r="B295" s="405"/>
      <c r="C295" s="90">
        <v>2</v>
      </c>
      <c r="D295" s="206" t="s">
        <v>163</v>
      </c>
      <c r="E295" s="203"/>
      <c r="F295" s="203"/>
      <c r="G295" s="203"/>
      <c r="H295" s="99" t="str">
        <f t="shared" si="4"/>
        <v>CGK-2-FILBES-3 DRA</v>
      </c>
      <c r="I295" s="160" t="s">
        <v>162</v>
      </c>
      <c r="J295" s="152" t="s">
        <v>164</v>
      </c>
      <c r="K295" s="151"/>
      <c r="L295" s="153" t="s">
        <v>206</v>
      </c>
      <c r="M295" s="238">
        <v>0</v>
      </c>
      <c r="N295" s="67">
        <v>44483</v>
      </c>
      <c r="O295" s="228"/>
      <c r="P295" s="108" t="s">
        <v>75</v>
      </c>
      <c r="Q295" s="60"/>
      <c r="R295" s="60"/>
      <c r="S295" s="60"/>
      <c r="T295" s="41"/>
      <c r="U295" s="37"/>
      <c r="V295" s="51"/>
      <c r="X295" s="35"/>
    </row>
    <row r="296" spans="2:24" x14ac:dyDescent="0.25">
      <c r="B296" s="405"/>
      <c r="C296" s="90">
        <v>2</v>
      </c>
      <c r="D296" s="206" t="s">
        <v>163</v>
      </c>
      <c r="E296" s="203"/>
      <c r="F296" s="203"/>
      <c r="G296" s="203"/>
      <c r="H296" s="99" t="str">
        <f t="shared" si="4"/>
        <v>CGK-2-FILBES-4 DRA</v>
      </c>
      <c r="I296" s="160" t="s">
        <v>162</v>
      </c>
      <c r="J296" s="152" t="s">
        <v>165</v>
      </c>
      <c r="K296" s="151" t="s">
        <v>420</v>
      </c>
      <c r="L296" s="153" t="s">
        <v>206</v>
      </c>
      <c r="M296" s="238">
        <v>1</v>
      </c>
      <c r="N296" s="67">
        <v>44483</v>
      </c>
      <c r="O296" s="228"/>
      <c r="P296" s="108" t="s">
        <v>75</v>
      </c>
      <c r="Q296" s="60"/>
      <c r="R296" s="60"/>
      <c r="S296" s="60"/>
      <c r="T296" s="41"/>
      <c r="U296" s="37"/>
      <c r="V296" s="51"/>
      <c r="X296" s="35"/>
    </row>
    <row r="297" spans="2:24" x14ac:dyDescent="0.25">
      <c r="B297" s="405"/>
      <c r="C297" s="90">
        <v>2</v>
      </c>
      <c r="D297" s="206" t="s">
        <v>163</v>
      </c>
      <c r="E297" s="203"/>
      <c r="F297" s="203"/>
      <c r="G297" s="203"/>
      <c r="H297" s="99" t="str">
        <f t="shared" si="4"/>
        <v>CGK-2-FILKAY-2 DRA</v>
      </c>
      <c r="I297" s="160" t="s">
        <v>166</v>
      </c>
      <c r="J297" s="152" t="s">
        <v>161</v>
      </c>
      <c r="K297" s="151"/>
      <c r="L297" s="153" t="s">
        <v>206</v>
      </c>
      <c r="M297" s="238">
        <v>0</v>
      </c>
      <c r="N297" s="67">
        <v>44483</v>
      </c>
      <c r="O297" s="228"/>
      <c r="P297" s="108" t="s">
        <v>75</v>
      </c>
      <c r="Q297" s="60"/>
      <c r="R297" s="60"/>
      <c r="S297" s="60"/>
      <c r="T297" s="41"/>
      <c r="U297" s="37"/>
      <c r="V297" s="51"/>
      <c r="X297" s="35"/>
    </row>
    <row r="298" spans="2:24" x14ac:dyDescent="0.25">
      <c r="B298" s="405"/>
      <c r="C298" s="90">
        <v>2</v>
      </c>
      <c r="D298" s="206" t="s">
        <v>163</v>
      </c>
      <c r="E298" s="203"/>
      <c r="F298" s="203"/>
      <c r="G298" s="203"/>
      <c r="H298" s="99" t="str">
        <f t="shared" si="4"/>
        <v>CGK-2-FILKAY-3 DRA</v>
      </c>
      <c r="I298" s="160" t="s">
        <v>166</v>
      </c>
      <c r="J298" s="152" t="s">
        <v>164</v>
      </c>
      <c r="K298" s="151"/>
      <c r="L298" s="153" t="s">
        <v>206</v>
      </c>
      <c r="M298" s="238">
        <f>'[1]TOTAL R. ATAS'!$F$48</f>
        <v>0</v>
      </c>
      <c r="N298" s="67">
        <v>44483</v>
      </c>
      <c r="O298" s="228"/>
      <c r="P298" s="108" t="s">
        <v>75</v>
      </c>
      <c r="Q298" s="60"/>
      <c r="R298" s="60"/>
      <c r="S298" s="60"/>
      <c r="T298" s="41"/>
      <c r="U298" s="37"/>
      <c r="V298" s="51"/>
      <c r="X298" s="35"/>
    </row>
    <row r="299" spans="2:24" x14ac:dyDescent="0.25">
      <c r="B299" s="405"/>
      <c r="C299" s="90">
        <v>2</v>
      </c>
      <c r="D299" s="206" t="s">
        <v>167</v>
      </c>
      <c r="E299" s="203"/>
      <c r="F299" s="203"/>
      <c r="G299" s="203"/>
      <c r="H299" s="99" t="str">
        <f>CONCATENATE($L$7,"-",LEFT(C299,3),"-",LEFT(D299,3),LEFT(I299,3),"-",LEFT(J299,5),"-",1)</f>
        <v>CGK-2-FILKAY-4 DRA-1</v>
      </c>
      <c r="I299" s="160" t="s">
        <v>166</v>
      </c>
      <c r="J299" s="152" t="s">
        <v>165</v>
      </c>
      <c r="K299" s="151" t="s">
        <v>424</v>
      </c>
      <c r="L299" s="153" t="s">
        <v>206</v>
      </c>
      <c r="M299" s="390">
        <v>8</v>
      </c>
      <c r="N299" s="67">
        <v>44483</v>
      </c>
      <c r="O299" s="228"/>
      <c r="P299" s="108" t="s">
        <v>75</v>
      </c>
      <c r="Q299" s="60"/>
      <c r="R299" s="60"/>
      <c r="S299" s="60"/>
      <c r="T299" s="41"/>
      <c r="U299" s="37"/>
      <c r="V299" s="51"/>
      <c r="X299" s="35"/>
    </row>
    <row r="300" spans="2:24" x14ac:dyDescent="0.25">
      <c r="B300" s="405"/>
      <c r="C300" s="90">
        <v>2</v>
      </c>
      <c r="D300" s="206" t="s">
        <v>167</v>
      </c>
      <c r="E300" s="203"/>
      <c r="F300" s="203"/>
      <c r="G300" s="203"/>
      <c r="H300" s="99" t="str">
        <f>CONCATENATE($L$7,"-",LEFT(C300,3),"-",LEFT(D300,3),LEFT(I300,3),"-",LEFT(J300,5),"-",2)</f>
        <v>CGK-2-FILKAY-4 DRA-2</v>
      </c>
      <c r="I300" s="160" t="s">
        <v>166</v>
      </c>
      <c r="J300" s="152" t="s">
        <v>165</v>
      </c>
      <c r="K300" s="151" t="s">
        <v>421</v>
      </c>
      <c r="L300" s="153" t="s">
        <v>206</v>
      </c>
      <c r="M300" s="391"/>
      <c r="N300" s="67">
        <v>44483</v>
      </c>
      <c r="O300" s="228"/>
      <c r="P300" s="108"/>
      <c r="Q300" s="60"/>
      <c r="R300" s="60"/>
      <c r="S300" s="60"/>
      <c r="T300" s="41"/>
      <c r="U300" s="37"/>
      <c r="V300" s="51"/>
      <c r="X300" s="35"/>
    </row>
    <row r="301" spans="2:24" x14ac:dyDescent="0.25">
      <c r="B301" s="405"/>
      <c r="C301" s="90">
        <v>2</v>
      </c>
      <c r="D301" s="206" t="s">
        <v>167</v>
      </c>
      <c r="E301" s="203"/>
      <c r="F301" s="203"/>
      <c r="G301" s="203"/>
      <c r="H301" s="99" t="str">
        <f>CONCATENATE($L$7,"-",LEFT(C301,3),"-",LEFT(D301,3),LEFT(I301,3),"-",LEFT(J301,5),"-",3)</f>
        <v>CGK-2-FILKAY-4 DRA-3</v>
      </c>
      <c r="I301" s="160" t="s">
        <v>166</v>
      </c>
      <c r="J301" s="152" t="s">
        <v>165</v>
      </c>
      <c r="K301" s="151" t="s">
        <v>383</v>
      </c>
      <c r="L301" s="153" t="s">
        <v>206</v>
      </c>
      <c r="M301" s="391"/>
      <c r="N301" s="67">
        <v>44483</v>
      </c>
      <c r="O301" s="228"/>
      <c r="P301" s="108"/>
      <c r="Q301" s="60"/>
      <c r="R301" s="60"/>
      <c r="S301" s="60"/>
      <c r="T301" s="41"/>
      <c r="U301" s="37"/>
      <c r="V301" s="51"/>
      <c r="X301" s="35"/>
    </row>
    <row r="302" spans="2:24" x14ac:dyDescent="0.25">
      <c r="B302" s="405"/>
      <c r="C302" s="90">
        <v>2</v>
      </c>
      <c r="D302" s="206" t="s">
        <v>167</v>
      </c>
      <c r="E302" s="203"/>
      <c r="F302" s="203"/>
      <c r="G302" s="203"/>
      <c r="H302" s="99" t="str">
        <f>CONCATENATE($L$7,"-",LEFT(C302,3),"-",LEFT(D302,3),LEFT(I302,3),"-",LEFT(J302,5),"-",4)</f>
        <v>CGK-2-FILKAY-4 DRA-4</v>
      </c>
      <c r="I302" s="160" t="s">
        <v>166</v>
      </c>
      <c r="J302" s="152" t="s">
        <v>165</v>
      </c>
      <c r="K302" s="151" t="s">
        <v>434</v>
      </c>
      <c r="L302" s="153" t="s">
        <v>206</v>
      </c>
      <c r="M302" s="391"/>
      <c r="N302" s="67">
        <v>44483</v>
      </c>
      <c r="O302" s="228"/>
      <c r="P302" s="108"/>
      <c r="Q302" s="60"/>
      <c r="R302" s="60"/>
      <c r="S302" s="60"/>
      <c r="T302" s="41"/>
      <c r="U302" s="37"/>
      <c r="V302" s="51"/>
      <c r="X302" s="35"/>
    </row>
    <row r="303" spans="2:24" x14ac:dyDescent="0.25">
      <c r="B303" s="405"/>
      <c r="C303" s="90">
        <v>2</v>
      </c>
      <c r="D303" s="206" t="s">
        <v>167</v>
      </c>
      <c r="E303" s="203"/>
      <c r="F303" s="203"/>
      <c r="G303" s="203"/>
      <c r="H303" s="99" t="str">
        <f>CONCATENATE($L$7,"-",LEFT(C303,3),"-",LEFT(D303,3),LEFT(I303,3),"-",LEFT(J303,5),"-",5)</f>
        <v>CGK-2-FILKAY-4 DRA-5</v>
      </c>
      <c r="I303" s="160" t="s">
        <v>166</v>
      </c>
      <c r="J303" s="152" t="s">
        <v>165</v>
      </c>
      <c r="K303" s="151" t="s">
        <v>447</v>
      </c>
      <c r="L303" s="153" t="s">
        <v>206</v>
      </c>
      <c r="M303" s="391"/>
      <c r="N303" s="67">
        <v>44483</v>
      </c>
      <c r="O303" s="228"/>
      <c r="P303" s="108"/>
      <c r="Q303" s="60"/>
      <c r="R303" s="60"/>
      <c r="S303" s="60"/>
      <c r="T303" s="41"/>
      <c r="U303" s="37"/>
      <c r="V303" s="51"/>
      <c r="X303" s="35"/>
    </row>
    <row r="304" spans="2:24" x14ac:dyDescent="0.25">
      <c r="B304" s="405"/>
      <c r="C304" s="90">
        <v>2</v>
      </c>
      <c r="D304" s="206" t="s">
        <v>167</v>
      </c>
      <c r="E304" s="203"/>
      <c r="F304" s="203"/>
      <c r="G304" s="203"/>
      <c r="H304" s="99" t="str">
        <f>CONCATENATE($L$7,"-",LEFT(C304,3),"-",LEFT(D304,3),LEFT(I304,3),"-",LEFT(J304,5),"-",6)</f>
        <v>CGK-2-FILKAY-4 DRA-6</v>
      </c>
      <c r="I304" s="160" t="s">
        <v>166</v>
      </c>
      <c r="J304" s="152" t="s">
        <v>165</v>
      </c>
      <c r="K304" s="151" t="s">
        <v>447</v>
      </c>
      <c r="L304" s="153" t="s">
        <v>206</v>
      </c>
      <c r="M304" s="391"/>
      <c r="N304" s="67">
        <v>44483</v>
      </c>
      <c r="O304" s="228"/>
      <c r="P304" s="108"/>
      <c r="Q304" s="60"/>
      <c r="R304" s="60"/>
      <c r="S304" s="60"/>
      <c r="T304" s="41"/>
      <c r="U304" s="37"/>
      <c r="V304" s="51"/>
      <c r="X304" s="35"/>
    </row>
    <row r="305" spans="2:24" x14ac:dyDescent="0.25">
      <c r="B305" s="405"/>
      <c r="C305" s="90">
        <v>2</v>
      </c>
      <c r="D305" s="206" t="s">
        <v>167</v>
      </c>
      <c r="E305" s="203"/>
      <c r="F305" s="203"/>
      <c r="G305" s="203"/>
      <c r="H305" s="99" t="str">
        <f>CONCATENATE($L$7,"-",LEFT(C305,3),"-",LEFT(D305,3),LEFT(I305,3),"-",LEFT(J305,5),"-",7)</f>
        <v>CGK-2-FILKAY-4 DRA-7</v>
      </c>
      <c r="I305" s="160" t="s">
        <v>166</v>
      </c>
      <c r="J305" s="152" t="s">
        <v>165</v>
      </c>
      <c r="K305" s="151" t="s">
        <v>446</v>
      </c>
      <c r="L305" s="153" t="s">
        <v>206</v>
      </c>
      <c r="M305" s="391"/>
      <c r="N305" s="67">
        <v>44483</v>
      </c>
      <c r="O305" s="228"/>
      <c r="P305" s="108"/>
      <c r="Q305" s="60"/>
      <c r="R305" s="60"/>
      <c r="S305" s="60"/>
      <c r="T305" s="41"/>
      <c r="U305" s="37"/>
      <c r="V305" s="51"/>
      <c r="X305" s="35"/>
    </row>
    <row r="306" spans="2:24" x14ac:dyDescent="0.25">
      <c r="B306" s="405"/>
      <c r="C306" s="90">
        <v>2</v>
      </c>
      <c r="D306" s="206" t="s">
        <v>167</v>
      </c>
      <c r="E306" s="203"/>
      <c r="F306" s="203"/>
      <c r="G306" s="203"/>
      <c r="H306" s="99" t="str">
        <f>CONCATENATE($L$7,"-",LEFT(C306,3),"-",LEFT(D306,3),LEFT(I306,3),"-",LEFT(J306,5),"-",8)</f>
        <v>CGK-2-FILKAY-4 DRA-8</v>
      </c>
      <c r="I306" s="160" t="s">
        <v>166</v>
      </c>
      <c r="J306" s="152" t="s">
        <v>165</v>
      </c>
      <c r="K306" s="151" t="s">
        <v>239</v>
      </c>
      <c r="L306" s="153" t="s">
        <v>206</v>
      </c>
      <c r="M306" s="392"/>
      <c r="N306" s="67">
        <v>44483</v>
      </c>
      <c r="O306" s="228"/>
      <c r="P306" s="108"/>
      <c r="Q306" s="60"/>
      <c r="R306" s="60"/>
      <c r="S306" s="60"/>
      <c r="T306" s="41"/>
      <c r="U306" s="37"/>
      <c r="V306" s="51"/>
      <c r="X306" s="35"/>
    </row>
    <row r="307" spans="2:24" x14ac:dyDescent="0.25">
      <c r="B307" s="405"/>
      <c r="C307" s="90">
        <v>2</v>
      </c>
      <c r="D307" s="203" t="s">
        <v>168</v>
      </c>
      <c r="E307" s="203"/>
      <c r="F307" s="203"/>
      <c r="G307" s="203"/>
      <c r="H307" s="99" t="str">
        <f>CONCATENATE($L$7,"-",LEFT(C307,3),"-",LEFT(D307,3),LEFT(I307,3),"-",LEFT(J307,5),"-",1)</f>
        <v>CGK-2-LEMBES-KACA-1</v>
      </c>
      <c r="I307" s="149" t="s">
        <v>162</v>
      </c>
      <c r="J307" s="151" t="s">
        <v>169</v>
      </c>
      <c r="K307" s="151" t="s">
        <v>424</v>
      </c>
      <c r="L307" s="153" t="s">
        <v>206</v>
      </c>
      <c r="M307" s="390">
        <v>5</v>
      </c>
      <c r="N307" s="67">
        <v>44483</v>
      </c>
      <c r="O307" s="228"/>
      <c r="P307" s="108" t="s">
        <v>75</v>
      </c>
      <c r="Q307" s="60"/>
      <c r="R307" s="60"/>
      <c r="S307" s="60"/>
      <c r="T307" s="41"/>
      <c r="U307" s="37"/>
      <c r="V307" s="51"/>
      <c r="X307" s="35"/>
    </row>
    <row r="308" spans="2:24" x14ac:dyDescent="0.25">
      <c r="B308" s="405"/>
      <c r="C308" s="90">
        <v>2</v>
      </c>
      <c r="D308" s="203" t="s">
        <v>168</v>
      </c>
      <c r="E308" s="203"/>
      <c r="F308" s="203"/>
      <c r="G308" s="203"/>
      <c r="H308" s="99" t="str">
        <f>CONCATENATE($L$7,"-",LEFT(C308,3),"-",LEFT(D308,3),LEFT(I308,3),"-",LEFT(J308,5),"-",2)</f>
        <v>CGK-2-LEMBES-KACA-2</v>
      </c>
      <c r="I308" s="149" t="s">
        <v>162</v>
      </c>
      <c r="J308" s="151" t="s">
        <v>169</v>
      </c>
      <c r="K308" s="151" t="s">
        <v>443</v>
      </c>
      <c r="L308" s="153" t="s">
        <v>206</v>
      </c>
      <c r="M308" s="391"/>
      <c r="N308" s="67">
        <v>44483</v>
      </c>
      <c r="O308" s="228"/>
      <c r="P308" s="108"/>
      <c r="Q308" s="60"/>
      <c r="R308" s="60"/>
      <c r="S308" s="60"/>
      <c r="T308" s="41"/>
      <c r="U308" s="37"/>
      <c r="V308" s="51"/>
      <c r="X308" s="35"/>
    </row>
    <row r="309" spans="2:24" x14ac:dyDescent="0.25">
      <c r="B309" s="405"/>
      <c r="C309" s="90">
        <v>2</v>
      </c>
      <c r="D309" s="203" t="s">
        <v>168</v>
      </c>
      <c r="E309" s="203"/>
      <c r="F309" s="203"/>
      <c r="G309" s="203"/>
      <c r="H309" s="99" t="str">
        <f>CONCATENATE($L$7,"-",LEFT(C309,3),"-",LEFT(D309,3),LEFT(I309,3),"-",LEFT(J309,5),"-",3)</f>
        <v>CGK-2-LEMBES-KACA-3</v>
      </c>
      <c r="I309" s="149" t="s">
        <v>162</v>
      </c>
      <c r="J309" s="151" t="s">
        <v>169</v>
      </c>
      <c r="K309" s="151" t="s">
        <v>433</v>
      </c>
      <c r="L309" s="153" t="s">
        <v>206</v>
      </c>
      <c r="M309" s="391"/>
      <c r="N309" s="67">
        <v>44483</v>
      </c>
      <c r="O309" s="228"/>
      <c r="P309" s="108"/>
      <c r="Q309" s="60"/>
      <c r="R309" s="60"/>
      <c r="S309" s="60"/>
      <c r="T309" s="41"/>
      <c r="U309" s="37"/>
      <c r="V309" s="51"/>
      <c r="X309" s="35"/>
    </row>
    <row r="310" spans="2:24" x14ac:dyDescent="0.25">
      <c r="B310" s="405"/>
      <c r="C310" s="90">
        <v>2</v>
      </c>
      <c r="D310" s="203" t="s">
        <v>168</v>
      </c>
      <c r="E310" s="203"/>
      <c r="F310" s="203"/>
      <c r="G310" s="203"/>
      <c r="H310" s="99" t="str">
        <f>CONCATENATE($L$7,"-",LEFT(C310,3),"-",LEFT(D310,3),LEFT(I310,3),"-",LEFT(J310,5),"-",4)</f>
        <v>CGK-2-LEMBES-KACA-4</v>
      </c>
      <c r="I310" s="149" t="s">
        <v>162</v>
      </c>
      <c r="J310" s="151" t="s">
        <v>169</v>
      </c>
      <c r="K310" s="151" t="s">
        <v>423</v>
      </c>
      <c r="L310" s="153" t="s">
        <v>206</v>
      </c>
      <c r="M310" s="391"/>
      <c r="N310" s="67">
        <v>44483</v>
      </c>
      <c r="O310" s="228"/>
      <c r="P310" s="108"/>
      <c r="Q310" s="60"/>
      <c r="R310" s="60"/>
      <c r="S310" s="60"/>
      <c r="T310" s="41"/>
      <c r="U310" s="37"/>
      <c r="V310" s="51"/>
      <c r="X310" s="35"/>
    </row>
    <row r="311" spans="2:24" x14ac:dyDescent="0.25">
      <c r="B311" s="405"/>
      <c r="C311" s="90">
        <v>2</v>
      </c>
      <c r="D311" s="203" t="s">
        <v>168</v>
      </c>
      <c r="E311" s="203"/>
      <c r="F311" s="203"/>
      <c r="G311" s="203"/>
      <c r="H311" s="99" t="str">
        <f>CONCATENATE($L$7,"-",LEFT(C311,3),"-",LEFT(D311,3),LEFT(I311,3),"-",LEFT(J311,5),"-",5)</f>
        <v>CGK-2-LEMBES-KACA-5</v>
      </c>
      <c r="I311" s="149" t="s">
        <v>162</v>
      </c>
      <c r="J311" s="151" t="s">
        <v>169</v>
      </c>
      <c r="K311" s="151" t="s">
        <v>423</v>
      </c>
      <c r="L311" s="153" t="s">
        <v>206</v>
      </c>
      <c r="M311" s="392"/>
      <c r="N311" s="67">
        <v>44483</v>
      </c>
      <c r="O311" s="228"/>
      <c r="P311" s="108"/>
      <c r="Q311" s="60"/>
      <c r="R311" s="60"/>
      <c r="S311" s="60"/>
      <c r="T311" s="41"/>
      <c r="U311" s="37"/>
      <c r="V311" s="51"/>
      <c r="X311" s="35"/>
    </row>
    <row r="312" spans="2:24" x14ac:dyDescent="0.25">
      <c r="B312" s="405"/>
      <c r="C312" s="90">
        <v>2</v>
      </c>
      <c r="D312" s="203" t="s">
        <v>168</v>
      </c>
      <c r="E312" s="204"/>
      <c r="F312" s="204"/>
      <c r="G312" s="204"/>
      <c r="H312" s="99" t="str">
        <f>CONCATENATE($L$7,"-",LEFT(C312,3),"-",LEFT(D312,3),LEFT(I312,3),"-",LEFT(J312,5),"-",1)</f>
        <v>CGK-2-LEM-BESI-1</v>
      </c>
      <c r="I312" s="149"/>
      <c r="J312" s="151" t="s">
        <v>162</v>
      </c>
      <c r="K312" s="151" t="s">
        <v>424</v>
      </c>
      <c r="L312" s="153" t="s">
        <v>206</v>
      </c>
      <c r="M312" s="390">
        <v>6</v>
      </c>
      <c r="N312" s="67">
        <v>44483</v>
      </c>
      <c r="O312" s="228"/>
      <c r="P312" s="108" t="s">
        <v>75</v>
      </c>
      <c r="Q312" s="60"/>
      <c r="R312" s="60"/>
      <c r="S312" s="60"/>
      <c r="T312" s="41"/>
      <c r="U312" s="37"/>
      <c r="V312" s="51"/>
      <c r="X312" s="35"/>
    </row>
    <row r="313" spans="2:24" x14ac:dyDescent="0.25">
      <c r="B313" s="405"/>
      <c r="C313" s="90">
        <v>2</v>
      </c>
      <c r="D313" s="203" t="s">
        <v>168</v>
      </c>
      <c r="E313" s="204"/>
      <c r="F313" s="204"/>
      <c r="G313" s="204"/>
      <c r="H313" s="99" t="str">
        <f>CONCATENATE($L$7,"-",LEFT(C313,3),"-",LEFT(D313,3),LEFT(I313,3),"-",LEFT(J313,5),"-",2)</f>
        <v>CGK-2-LEM-BESI-2</v>
      </c>
      <c r="I313" s="149"/>
      <c r="J313" s="151" t="s">
        <v>162</v>
      </c>
      <c r="K313" s="151" t="s">
        <v>432</v>
      </c>
      <c r="L313" s="153" t="s">
        <v>206</v>
      </c>
      <c r="M313" s="391"/>
      <c r="N313" s="67">
        <v>44483</v>
      </c>
      <c r="O313" s="228"/>
      <c r="P313" s="108"/>
      <c r="Q313" s="60"/>
      <c r="R313" s="60"/>
      <c r="S313" s="60"/>
      <c r="T313" s="41"/>
      <c r="U313" s="37"/>
      <c r="V313" s="51"/>
      <c r="X313" s="35"/>
    </row>
    <row r="314" spans="2:24" x14ac:dyDescent="0.25">
      <c r="B314" s="405"/>
      <c r="C314" s="90">
        <v>2</v>
      </c>
      <c r="D314" s="203" t="s">
        <v>168</v>
      </c>
      <c r="E314" s="204"/>
      <c r="F314" s="204"/>
      <c r="G314" s="204"/>
      <c r="H314" s="99" t="str">
        <f>CONCATENATE($L$7,"-",LEFT(C314,3),"-",LEFT(D314,3),LEFT(I314,3),"-",LEFT(J314,5),"-",3)</f>
        <v>CGK-2-LEM-BESI-3</v>
      </c>
      <c r="I314" s="149"/>
      <c r="J314" s="151" t="s">
        <v>162</v>
      </c>
      <c r="K314" s="151" t="s">
        <v>419</v>
      </c>
      <c r="L314" s="153" t="s">
        <v>206</v>
      </c>
      <c r="M314" s="391"/>
      <c r="N314" s="67">
        <v>44483</v>
      </c>
      <c r="O314" s="228"/>
      <c r="P314" s="108"/>
      <c r="Q314" s="60"/>
      <c r="R314" s="60"/>
      <c r="S314" s="60"/>
      <c r="T314" s="41"/>
      <c r="U314" s="37"/>
      <c r="V314" s="51"/>
      <c r="X314" s="35"/>
    </row>
    <row r="315" spans="2:24" x14ac:dyDescent="0.25">
      <c r="B315" s="405"/>
      <c r="C315" s="90">
        <v>2</v>
      </c>
      <c r="D315" s="203" t="s">
        <v>168</v>
      </c>
      <c r="E315" s="204"/>
      <c r="F315" s="204"/>
      <c r="G315" s="204"/>
      <c r="H315" s="99" t="str">
        <f>CONCATENATE($L$7,"-",LEFT(C315,3),"-",LEFT(D315,3),LEFT(I315,3),"-",LEFT(J315,5),"-",4)</f>
        <v>CGK-2-LEM-BESI-4</v>
      </c>
      <c r="I315" s="149"/>
      <c r="J315" s="151" t="s">
        <v>162</v>
      </c>
      <c r="K315" s="151" t="s">
        <v>423</v>
      </c>
      <c r="L315" s="153" t="s">
        <v>206</v>
      </c>
      <c r="M315" s="391"/>
      <c r="N315" s="67">
        <v>44483</v>
      </c>
      <c r="O315" s="228"/>
      <c r="P315" s="108"/>
      <c r="Q315" s="60"/>
      <c r="R315" s="60"/>
      <c r="S315" s="60"/>
      <c r="T315" s="41"/>
      <c r="U315" s="37"/>
      <c r="V315" s="51"/>
      <c r="X315" s="35"/>
    </row>
    <row r="316" spans="2:24" x14ac:dyDescent="0.25">
      <c r="B316" s="405"/>
      <c r="C316" s="90">
        <v>2</v>
      </c>
      <c r="D316" s="203" t="s">
        <v>168</v>
      </c>
      <c r="E316" s="204"/>
      <c r="F316" s="204"/>
      <c r="G316" s="204"/>
      <c r="H316" s="99" t="str">
        <f>CONCATENATE($L$7,"-",LEFT(C316,3),"-",LEFT(D316,3),LEFT(I316,3),"-",LEFT(J316,5),"-",5)</f>
        <v>CGK-2-LEM-BESI-5</v>
      </c>
      <c r="I316" s="149"/>
      <c r="J316" s="151" t="s">
        <v>162</v>
      </c>
      <c r="K316" s="151" t="s">
        <v>420</v>
      </c>
      <c r="L316" s="153" t="s">
        <v>206</v>
      </c>
      <c r="M316" s="391"/>
      <c r="N316" s="67">
        <v>44483</v>
      </c>
      <c r="O316" s="228"/>
      <c r="P316" s="108"/>
      <c r="Q316" s="60"/>
      <c r="R316" s="60"/>
      <c r="S316" s="60"/>
      <c r="T316" s="41"/>
      <c r="U316" s="37"/>
      <c r="V316" s="51"/>
      <c r="X316" s="35"/>
    </row>
    <row r="317" spans="2:24" x14ac:dyDescent="0.25">
      <c r="B317" s="405"/>
      <c r="C317" s="90">
        <v>2</v>
      </c>
      <c r="D317" s="203" t="s">
        <v>168</v>
      </c>
      <c r="E317" s="204"/>
      <c r="F317" s="204"/>
      <c r="G317" s="204"/>
      <c r="H317" s="99" t="str">
        <f>CONCATENATE($L$7,"-",LEFT(C317,3),"-",LEFT(D317,3),LEFT(I317,3),"-",LEFT(J317,5),"-",6)</f>
        <v>CGK-2-LEM-BESI-6</v>
      </c>
      <c r="I317" s="149"/>
      <c r="J317" s="151" t="s">
        <v>162</v>
      </c>
      <c r="K317" s="151" t="s">
        <v>420</v>
      </c>
      <c r="L317" s="153" t="s">
        <v>206</v>
      </c>
      <c r="M317" s="392"/>
      <c r="N317" s="67">
        <v>44483</v>
      </c>
      <c r="O317" s="228"/>
      <c r="P317" s="108"/>
      <c r="Q317" s="60"/>
      <c r="R317" s="60"/>
      <c r="S317" s="60"/>
      <c r="T317" s="41"/>
      <c r="U317" s="37"/>
      <c r="V317" s="51"/>
      <c r="X317" s="35"/>
    </row>
    <row r="318" spans="2:24" x14ac:dyDescent="0.25">
      <c r="B318" s="405"/>
      <c r="C318" s="90">
        <v>2</v>
      </c>
      <c r="D318" s="203" t="s">
        <v>168</v>
      </c>
      <c r="E318" s="204"/>
      <c r="F318" s="204"/>
      <c r="G318" s="204"/>
      <c r="H318" s="99" t="str">
        <f t="shared" ref="H318:H336" si="5">CONCATENATE($L$7,"-",LEFT(C318,3),"-",LEFT(D318,3),LEFT(I318,3),"-",LEFT(J318,3))</f>
        <v>CGK-2-LEM-SUS</v>
      </c>
      <c r="I318" s="149"/>
      <c r="J318" s="151" t="s">
        <v>291</v>
      </c>
      <c r="K318" s="158"/>
      <c r="L318" s="153" t="s">
        <v>206</v>
      </c>
      <c r="M318" s="238">
        <v>0</v>
      </c>
      <c r="N318" s="67">
        <v>44483</v>
      </c>
      <c r="O318" s="228"/>
      <c r="P318" s="108" t="s">
        <v>75</v>
      </c>
      <c r="Q318" s="60"/>
      <c r="R318" s="60"/>
      <c r="S318" s="60"/>
      <c r="T318" s="41"/>
      <c r="U318" s="37"/>
      <c r="V318" s="51"/>
      <c r="X318" s="35"/>
    </row>
    <row r="319" spans="2:24" x14ac:dyDescent="0.25">
      <c r="B319" s="405"/>
      <c r="C319" s="90">
        <v>2</v>
      </c>
      <c r="D319" s="203" t="s">
        <v>168</v>
      </c>
      <c r="E319" s="204"/>
      <c r="F319" s="204"/>
      <c r="G319" s="204"/>
      <c r="H319" s="99" t="str">
        <f t="shared" si="5"/>
        <v>CGK-2-LEM-PAN</v>
      </c>
      <c r="I319" s="149"/>
      <c r="J319" s="151" t="s">
        <v>292</v>
      </c>
      <c r="K319" s="158" t="s">
        <v>443</v>
      </c>
      <c r="L319" s="153" t="s">
        <v>206</v>
      </c>
      <c r="M319" s="238">
        <v>1</v>
      </c>
      <c r="N319" s="67">
        <v>44483</v>
      </c>
      <c r="O319" s="228"/>
      <c r="P319" s="108" t="s">
        <v>75</v>
      </c>
      <c r="Q319" s="60"/>
      <c r="R319" s="60"/>
      <c r="S319" s="60"/>
      <c r="T319" s="41"/>
      <c r="U319" s="37"/>
      <c r="V319" s="51"/>
      <c r="X319" s="35"/>
    </row>
    <row r="320" spans="2:24" x14ac:dyDescent="0.25">
      <c r="B320" s="405"/>
      <c r="C320" s="90">
        <v>2</v>
      </c>
      <c r="D320" s="203" t="s">
        <v>168</v>
      </c>
      <c r="E320" s="204"/>
      <c r="F320" s="204"/>
      <c r="G320" s="204"/>
      <c r="H320" s="99" t="str">
        <f t="shared" si="5"/>
        <v>CGK-2-LEM-LAC</v>
      </c>
      <c r="I320" s="149"/>
      <c r="J320" s="151" t="s">
        <v>293</v>
      </c>
      <c r="K320" s="158"/>
      <c r="L320" s="153" t="s">
        <v>206</v>
      </c>
      <c r="M320" s="238">
        <v>0</v>
      </c>
      <c r="N320" s="67">
        <v>44483</v>
      </c>
      <c r="O320" s="228"/>
      <c r="P320" s="108" t="s">
        <v>75</v>
      </c>
      <c r="Q320" s="60"/>
      <c r="R320" s="60"/>
      <c r="S320" s="60"/>
      <c r="T320" s="41"/>
      <c r="U320" s="37"/>
      <c r="V320" s="51"/>
      <c r="X320" s="35"/>
    </row>
    <row r="321" spans="2:24" x14ac:dyDescent="0.25">
      <c r="B321" s="405"/>
      <c r="C321" s="90">
        <v>2</v>
      </c>
      <c r="D321" s="203" t="s">
        <v>170</v>
      </c>
      <c r="E321" s="204"/>
      <c r="F321" s="204"/>
      <c r="G321" s="204"/>
      <c r="H321" s="99" t="str">
        <f>CONCATENATE($L$7,"-",LEFT(C321,3),"-",LEFT(D321,3),LEFT(I321,3),"-",LEFT(J321,7),"-",1)</f>
        <v>CGK-2-RAKAMB-5 STACK-1</v>
      </c>
      <c r="I321" s="154" t="s">
        <v>171</v>
      </c>
      <c r="J321" s="155" t="s">
        <v>222</v>
      </c>
      <c r="K321" s="157" t="s">
        <v>448</v>
      </c>
      <c r="L321" s="153" t="s">
        <v>206</v>
      </c>
      <c r="M321" s="390">
        <v>7</v>
      </c>
      <c r="N321" s="67">
        <v>44483</v>
      </c>
      <c r="O321" s="228"/>
      <c r="P321" s="108" t="s">
        <v>75</v>
      </c>
      <c r="Q321" s="60"/>
      <c r="R321" s="60"/>
      <c r="S321" s="60"/>
      <c r="T321" s="41"/>
      <c r="U321" s="37"/>
      <c r="V321" s="51"/>
      <c r="X321" s="35"/>
    </row>
    <row r="322" spans="2:24" x14ac:dyDescent="0.25">
      <c r="B322" s="405"/>
      <c r="C322" s="90">
        <v>2</v>
      </c>
      <c r="D322" s="203" t="s">
        <v>170</v>
      </c>
      <c r="E322" s="204"/>
      <c r="F322" s="204"/>
      <c r="G322" s="204"/>
      <c r="H322" s="99" t="str">
        <f>CONCATENATE($L$7,"-",LEFT(C322,3),"-",LEFT(D322,3),LEFT(I322,3),"-",LEFT(J322,7),"-",2)</f>
        <v>CGK-2-RAKAMB-5 STACK-2</v>
      </c>
      <c r="I322" s="154" t="s">
        <v>171</v>
      </c>
      <c r="J322" s="155" t="s">
        <v>222</v>
      </c>
      <c r="K322" s="157" t="s">
        <v>449</v>
      </c>
      <c r="L322" s="153" t="s">
        <v>206</v>
      </c>
      <c r="M322" s="391"/>
      <c r="N322" s="67">
        <v>44483</v>
      </c>
      <c r="O322" s="228"/>
      <c r="P322" s="108"/>
      <c r="Q322" s="60"/>
      <c r="R322" s="60"/>
      <c r="S322" s="60"/>
      <c r="T322" s="41"/>
      <c r="U322" s="37"/>
      <c r="V322" s="51"/>
      <c r="X322" s="35"/>
    </row>
    <row r="323" spans="2:24" x14ac:dyDescent="0.25">
      <c r="B323" s="405"/>
      <c r="C323" s="90">
        <v>2</v>
      </c>
      <c r="D323" s="203" t="s">
        <v>170</v>
      </c>
      <c r="E323" s="204"/>
      <c r="F323" s="204"/>
      <c r="G323" s="204"/>
      <c r="H323" s="99" t="str">
        <f>CONCATENATE($L$7,"-",LEFT(C323,3),"-",LEFT(D323,3),LEFT(I323,3),"-",LEFT(J323,7),"-",3)</f>
        <v>CGK-2-RAKAMB-5 STACK-3</v>
      </c>
      <c r="I323" s="154" t="s">
        <v>171</v>
      </c>
      <c r="J323" s="155" t="s">
        <v>222</v>
      </c>
      <c r="K323" s="157" t="s">
        <v>449</v>
      </c>
      <c r="L323" s="153" t="s">
        <v>206</v>
      </c>
      <c r="M323" s="391"/>
      <c r="N323" s="67">
        <v>44483</v>
      </c>
      <c r="O323" s="228"/>
      <c r="P323" s="108"/>
      <c r="Q323" s="60"/>
      <c r="R323" s="60"/>
      <c r="S323" s="60"/>
      <c r="T323" s="41"/>
      <c r="U323" s="37"/>
      <c r="V323" s="51"/>
      <c r="X323" s="35"/>
    </row>
    <row r="324" spans="2:24" x14ac:dyDescent="0.25">
      <c r="B324" s="405"/>
      <c r="C324" s="90">
        <v>2</v>
      </c>
      <c r="D324" s="203" t="s">
        <v>170</v>
      </c>
      <c r="E324" s="204"/>
      <c r="F324" s="204"/>
      <c r="G324" s="204"/>
      <c r="H324" s="99" t="str">
        <f>CONCATENATE($L$7,"-",LEFT(C324,3),"-",LEFT(D324,3),LEFT(I324,3),"-",LEFT(J324,7),"-",4)</f>
        <v>CGK-2-RAKAMB-5 STACK-4</v>
      </c>
      <c r="I324" s="154" t="s">
        <v>171</v>
      </c>
      <c r="J324" s="155" t="s">
        <v>222</v>
      </c>
      <c r="K324" s="157" t="s">
        <v>434</v>
      </c>
      <c r="L324" s="153" t="s">
        <v>206</v>
      </c>
      <c r="M324" s="391"/>
      <c r="N324" s="67">
        <v>44483</v>
      </c>
      <c r="O324" s="228"/>
      <c r="P324" s="108"/>
      <c r="Q324" s="60"/>
      <c r="R324" s="60"/>
      <c r="S324" s="60"/>
      <c r="T324" s="41"/>
      <c r="U324" s="37"/>
      <c r="V324" s="51"/>
      <c r="X324" s="35"/>
    </row>
    <row r="325" spans="2:24" x14ac:dyDescent="0.25">
      <c r="B325" s="405"/>
      <c r="C325" s="90">
        <v>2</v>
      </c>
      <c r="D325" s="203" t="s">
        <v>170</v>
      </c>
      <c r="E325" s="204"/>
      <c r="F325" s="204"/>
      <c r="G325" s="204"/>
      <c r="H325" s="99" t="str">
        <f>CONCATENATE($L$7,"-",LEFT(C325,3),"-",LEFT(D325,3),LEFT(I325,3),"-",LEFT(J325,7),"-",5)</f>
        <v>CGK-2-RAKAMB-5 STACK-5</v>
      </c>
      <c r="I325" s="154" t="s">
        <v>171</v>
      </c>
      <c r="J325" s="155" t="s">
        <v>222</v>
      </c>
      <c r="K325" s="157" t="s">
        <v>450</v>
      </c>
      <c r="L325" s="153" t="s">
        <v>206</v>
      </c>
      <c r="M325" s="391"/>
      <c r="N325" s="67">
        <v>44483</v>
      </c>
      <c r="O325" s="228"/>
      <c r="P325" s="108"/>
      <c r="Q325" s="60"/>
      <c r="R325" s="60"/>
      <c r="S325" s="60"/>
      <c r="T325" s="41"/>
      <c r="U325" s="37"/>
      <c r="V325" s="51"/>
      <c r="X325" s="35"/>
    </row>
    <row r="326" spans="2:24" x14ac:dyDescent="0.25">
      <c r="B326" s="405"/>
      <c r="C326" s="90">
        <v>2</v>
      </c>
      <c r="D326" s="203" t="s">
        <v>170</v>
      </c>
      <c r="E326" s="204"/>
      <c r="F326" s="204"/>
      <c r="G326" s="204"/>
      <c r="H326" s="99" t="str">
        <f>CONCATENATE($L$7,"-",LEFT(C326,3),"-",LEFT(D326,3),LEFT(I326,3),"-",LEFT(J326,7),"-",6)</f>
        <v>CGK-2-RAKAMB-5 STACK-6</v>
      </c>
      <c r="I326" s="154" t="s">
        <v>171</v>
      </c>
      <c r="J326" s="155" t="s">
        <v>222</v>
      </c>
      <c r="K326" s="157" t="s">
        <v>450</v>
      </c>
      <c r="L326" s="153" t="s">
        <v>206</v>
      </c>
      <c r="M326" s="391"/>
      <c r="N326" s="67">
        <v>44483</v>
      </c>
      <c r="O326" s="228"/>
      <c r="P326" s="108"/>
      <c r="Q326" s="60"/>
      <c r="R326" s="60"/>
      <c r="S326" s="60"/>
      <c r="T326" s="41"/>
      <c r="U326" s="37"/>
      <c r="V326" s="51"/>
      <c r="X326" s="35"/>
    </row>
    <row r="327" spans="2:24" x14ac:dyDescent="0.25">
      <c r="B327" s="405"/>
      <c r="C327" s="90">
        <v>2</v>
      </c>
      <c r="D327" s="203" t="s">
        <v>170</v>
      </c>
      <c r="E327" s="204"/>
      <c r="F327" s="204"/>
      <c r="G327" s="204"/>
      <c r="H327" s="99" t="str">
        <f>CONCATENATE($L$7,"-",LEFT(C327,3),"-",LEFT(D327,3),LEFT(I327,3),"-",LEFT(J327,7),"-",7)</f>
        <v>CGK-2-RAKAMB-5 STACK-7</v>
      </c>
      <c r="I327" s="154" t="s">
        <v>171</v>
      </c>
      <c r="J327" s="155" t="s">
        <v>222</v>
      </c>
      <c r="K327" s="157" t="s">
        <v>420</v>
      </c>
      <c r="L327" s="153" t="s">
        <v>206</v>
      </c>
      <c r="M327" s="392"/>
      <c r="N327" s="67">
        <v>44483</v>
      </c>
      <c r="O327" s="228"/>
      <c r="P327" s="108"/>
      <c r="Q327" s="60"/>
      <c r="R327" s="60"/>
      <c r="S327" s="60"/>
      <c r="T327" s="41"/>
      <c r="U327" s="37"/>
      <c r="V327" s="51"/>
      <c r="X327" s="35"/>
    </row>
    <row r="328" spans="2:24" x14ac:dyDescent="0.25">
      <c r="B328" s="405"/>
      <c r="C328" s="90">
        <v>2</v>
      </c>
      <c r="D328" s="203" t="s">
        <v>170</v>
      </c>
      <c r="E328" s="204"/>
      <c r="F328" s="204"/>
      <c r="G328" s="204"/>
      <c r="H328" s="99" t="str">
        <f>CONCATENATE($L$7,"-",LEFT(C328,3),"-",LEFT(D328,3),LEFT(I328,3),"-",LEFT(J328,7),"-",1)</f>
        <v>CGK-2-RAKAMB-3 STACK-1</v>
      </c>
      <c r="I328" s="154" t="s">
        <v>171</v>
      </c>
      <c r="J328" s="155" t="s">
        <v>451</v>
      </c>
      <c r="K328" s="157" t="s">
        <v>441</v>
      </c>
      <c r="L328" s="153" t="s">
        <v>206</v>
      </c>
      <c r="M328" s="390">
        <v>2</v>
      </c>
      <c r="N328" s="67">
        <v>44483</v>
      </c>
      <c r="O328" s="228"/>
      <c r="P328" s="108"/>
      <c r="Q328" s="60"/>
      <c r="R328" s="60"/>
      <c r="S328" s="60"/>
      <c r="T328" s="41"/>
      <c r="U328" s="37"/>
      <c r="V328" s="51"/>
      <c r="X328" s="35"/>
    </row>
    <row r="329" spans="2:24" x14ac:dyDescent="0.25">
      <c r="B329" s="405"/>
      <c r="C329" s="90">
        <v>2</v>
      </c>
      <c r="D329" s="203" t="s">
        <v>170</v>
      </c>
      <c r="E329" s="204"/>
      <c r="F329" s="204"/>
      <c r="G329" s="204"/>
      <c r="H329" s="99" t="str">
        <f>CONCATENATE($L$7,"-",LEFT(C329,3),"-",LEFT(D329,3),LEFT(I329,3),"-",LEFT(J329,7),"-",2)</f>
        <v>CGK-2-RAKAMB-3 STACK-2</v>
      </c>
      <c r="I329" s="154" t="s">
        <v>171</v>
      </c>
      <c r="J329" s="155" t="s">
        <v>451</v>
      </c>
      <c r="K329" s="157" t="s">
        <v>441</v>
      </c>
      <c r="L329" s="153" t="s">
        <v>206</v>
      </c>
      <c r="M329" s="392"/>
      <c r="N329" s="67">
        <v>44483</v>
      </c>
      <c r="O329" s="228"/>
      <c r="P329" s="108"/>
      <c r="Q329" s="60"/>
      <c r="R329" s="60"/>
      <c r="S329" s="60"/>
      <c r="T329" s="41"/>
      <c r="U329" s="37"/>
      <c r="V329" s="51"/>
      <c r="X329" s="35"/>
    </row>
    <row r="330" spans="2:24" x14ac:dyDescent="0.25">
      <c r="B330" s="405"/>
      <c r="C330" s="90">
        <v>2</v>
      </c>
      <c r="D330" s="203" t="s">
        <v>170</v>
      </c>
      <c r="E330" s="204"/>
      <c r="F330" s="204"/>
      <c r="G330" s="204"/>
      <c r="H330" s="99" t="str">
        <f>CONCATENATE($L$7,"-",LEFT(C330,3),"-",LEFT(D330,3),LEFT(I330,3),"-",LEFT(J330,3),"-",1)</f>
        <v>CGK-2-RAKPEN-KAR-1</v>
      </c>
      <c r="I330" s="154" t="s">
        <v>464</v>
      </c>
      <c r="J330" s="155" t="s">
        <v>465</v>
      </c>
      <c r="K330" s="157" t="s">
        <v>441</v>
      </c>
      <c r="L330" s="153" t="s">
        <v>206</v>
      </c>
      <c r="M330" s="390">
        <v>6</v>
      </c>
      <c r="N330" s="67">
        <v>44483</v>
      </c>
      <c r="O330" s="228"/>
      <c r="P330" s="108" t="s">
        <v>75</v>
      </c>
      <c r="Q330" s="60"/>
      <c r="R330" s="60"/>
      <c r="S330" s="60"/>
      <c r="T330" s="41"/>
      <c r="U330" s="37"/>
      <c r="V330" s="51"/>
      <c r="X330" s="35"/>
    </row>
    <row r="331" spans="2:24" x14ac:dyDescent="0.25">
      <c r="B331" s="405"/>
      <c r="C331" s="90">
        <v>2</v>
      </c>
      <c r="D331" s="203" t="s">
        <v>170</v>
      </c>
      <c r="E331" s="204"/>
      <c r="F331" s="204"/>
      <c r="G331" s="204"/>
      <c r="H331" s="99" t="str">
        <f>CONCATENATE($L$7,"-",LEFT(C331,3),"-",LEFT(D331,3),LEFT(I331,3),"-",LEFT(J331,3),"-",2)</f>
        <v>CGK-2-RAKPEN-KAR-2</v>
      </c>
      <c r="I331" s="154" t="s">
        <v>464</v>
      </c>
      <c r="J331" s="155" t="s">
        <v>465</v>
      </c>
      <c r="K331" s="157" t="s">
        <v>441</v>
      </c>
      <c r="L331" s="153" t="s">
        <v>206</v>
      </c>
      <c r="M331" s="391"/>
      <c r="N331" s="67">
        <v>44483</v>
      </c>
      <c r="O331" s="228"/>
      <c r="P331" s="108"/>
      <c r="Q331" s="60"/>
      <c r="R331" s="60"/>
      <c r="S331" s="60"/>
      <c r="T331" s="41"/>
      <c r="U331" s="37"/>
      <c r="V331" s="51"/>
      <c r="X331" s="35"/>
    </row>
    <row r="332" spans="2:24" x14ac:dyDescent="0.25">
      <c r="B332" s="405"/>
      <c r="C332" s="90">
        <v>2</v>
      </c>
      <c r="D332" s="203" t="s">
        <v>170</v>
      </c>
      <c r="E332" s="204"/>
      <c r="F332" s="204"/>
      <c r="G332" s="204"/>
      <c r="H332" s="99" t="str">
        <f>CONCATENATE($L$7,"-",LEFT(C332,3),"-",LEFT(D332,3),LEFT(I332,3),"-",LEFT(J332,3),"-",3)</f>
        <v>CGK-2-RAKPEN-KAR-3</v>
      </c>
      <c r="I332" s="154" t="s">
        <v>464</v>
      </c>
      <c r="J332" s="155" t="s">
        <v>465</v>
      </c>
      <c r="K332" s="157" t="s">
        <v>441</v>
      </c>
      <c r="L332" s="153" t="s">
        <v>206</v>
      </c>
      <c r="M332" s="391"/>
      <c r="N332" s="67">
        <v>44483</v>
      </c>
      <c r="O332" s="228"/>
      <c r="P332" s="108"/>
      <c r="Q332" s="60"/>
      <c r="R332" s="60"/>
      <c r="S332" s="60"/>
      <c r="T332" s="41"/>
      <c r="U332" s="37"/>
      <c r="V332" s="51"/>
      <c r="X332" s="35"/>
    </row>
    <row r="333" spans="2:24" x14ac:dyDescent="0.25">
      <c r="B333" s="405"/>
      <c r="C333" s="90">
        <v>2</v>
      </c>
      <c r="D333" s="203" t="s">
        <v>170</v>
      </c>
      <c r="E333" s="204"/>
      <c r="F333" s="204"/>
      <c r="G333" s="204"/>
      <c r="H333" s="99" t="str">
        <f>CONCATENATE($L$7,"-",LEFT(C333,3),"-",LEFT(D333,3),LEFT(I333,3),"-",LEFT(J333,3),"-",4)</f>
        <v>CGK-2-RAKPEN-KAR-4</v>
      </c>
      <c r="I333" s="154" t="s">
        <v>464</v>
      </c>
      <c r="J333" s="155" t="s">
        <v>465</v>
      </c>
      <c r="K333" s="157" t="s">
        <v>441</v>
      </c>
      <c r="L333" s="153" t="s">
        <v>206</v>
      </c>
      <c r="M333" s="391"/>
      <c r="N333" s="67">
        <v>44483</v>
      </c>
      <c r="O333" s="228"/>
      <c r="P333" s="108"/>
      <c r="Q333" s="60"/>
      <c r="R333" s="60"/>
      <c r="S333" s="60"/>
      <c r="T333" s="41"/>
      <c r="U333" s="37"/>
      <c r="V333" s="51"/>
      <c r="X333" s="35"/>
    </row>
    <row r="334" spans="2:24" x14ac:dyDescent="0.25">
      <c r="B334" s="405"/>
      <c r="C334" s="90">
        <v>2</v>
      </c>
      <c r="D334" s="203" t="s">
        <v>170</v>
      </c>
      <c r="E334" s="204"/>
      <c r="F334" s="204"/>
      <c r="G334" s="204"/>
      <c r="H334" s="99" t="str">
        <f>CONCATENATE($L$7,"-",LEFT(C334,3),"-",LEFT(D334,3),LEFT(I334,3),"-",LEFT(J334,3),"-",5)</f>
        <v>CGK-2-RAKPEN-KAR-5</v>
      </c>
      <c r="I334" s="154" t="s">
        <v>464</v>
      </c>
      <c r="J334" s="155" t="s">
        <v>465</v>
      </c>
      <c r="K334" s="157" t="s">
        <v>441</v>
      </c>
      <c r="L334" s="153" t="s">
        <v>206</v>
      </c>
      <c r="M334" s="391"/>
      <c r="N334" s="67">
        <v>44483</v>
      </c>
      <c r="O334" s="228"/>
      <c r="P334" s="108"/>
      <c r="Q334" s="60"/>
      <c r="R334" s="60"/>
      <c r="S334" s="60"/>
      <c r="T334" s="41"/>
      <c r="U334" s="37"/>
      <c r="V334" s="51"/>
      <c r="X334" s="35"/>
    </row>
    <row r="335" spans="2:24" x14ac:dyDescent="0.25">
      <c r="B335" s="405"/>
      <c r="C335" s="90">
        <v>2</v>
      </c>
      <c r="D335" s="203" t="s">
        <v>170</v>
      </c>
      <c r="E335" s="204"/>
      <c r="F335" s="204"/>
      <c r="G335" s="204"/>
      <c r="H335" s="99" t="str">
        <f>CONCATENATE($L$7,"-",LEFT(C335,3),"-",LEFT(D335,3),LEFT(I335,3),"-",LEFT(J335,3),"-",6)</f>
        <v>CGK-2-RAKPEN-KAR-6</v>
      </c>
      <c r="I335" s="154" t="s">
        <v>464</v>
      </c>
      <c r="J335" s="155" t="s">
        <v>465</v>
      </c>
      <c r="K335" s="157" t="s">
        <v>422</v>
      </c>
      <c r="L335" s="153" t="s">
        <v>206</v>
      </c>
      <c r="M335" s="392"/>
      <c r="N335" s="67">
        <v>44483</v>
      </c>
      <c r="O335" s="228"/>
      <c r="P335" s="108"/>
      <c r="Q335" s="60"/>
      <c r="R335" s="60"/>
      <c r="S335" s="60"/>
      <c r="T335" s="41"/>
      <c r="U335" s="37"/>
      <c r="V335" s="51"/>
      <c r="X335" s="35"/>
    </row>
    <row r="336" spans="2:24" x14ac:dyDescent="0.25">
      <c r="B336" s="405"/>
      <c r="C336" s="90">
        <v>2</v>
      </c>
      <c r="D336" s="203" t="s">
        <v>170</v>
      </c>
      <c r="E336" s="204"/>
      <c r="F336" s="204"/>
      <c r="G336" s="204"/>
      <c r="H336" s="99" t="str">
        <f t="shared" si="5"/>
        <v>CGK-2-RAKRAK-DOK</v>
      </c>
      <c r="I336" s="154" t="s">
        <v>170</v>
      </c>
      <c r="J336" s="155" t="s">
        <v>311</v>
      </c>
      <c r="K336" s="157" t="s">
        <v>239</v>
      </c>
      <c r="L336" s="153" t="s">
        <v>206</v>
      </c>
      <c r="M336" s="238">
        <v>0</v>
      </c>
      <c r="N336" s="67">
        <v>44483</v>
      </c>
      <c r="O336" s="228"/>
      <c r="P336" s="108" t="s">
        <v>75</v>
      </c>
      <c r="Q336" s="60"/>
      <c r="R336" s="60"/>
      <c r="S336" s="60"/>
      <c r="T336" s="41"/>
      <c r="U336" s="37"/>
      <c r="V336" s="51"/>
      <c r="X336" s="35"/>
    </row>
    <row r="337" spans="2:24" x14ac:dyDescent="0.25">
      <c r="B337" s="405"/>
      <c r="C337" s="90">
        <v>2</v>
      </c>
      <c r="D337" s="203" t="s">
        <v>309</v>
      </c>
      <c r="E337" s="204"/>
      <c r="F337" s="204"/>
      <c r="G337" s="204"/>
      <c r="H337" s="99" t="str">
        <f>CONCATENATE($L$7,"-",LEFT(C337,3),"-",LEFT(D337,3),LEFT(I337,3),"-",LEFT(J337,5),"-",1)</f>
        <v>CGK-2-BRAKRI-BLACK-1</v>
      </c>
      <c r="I337" s="154" t="s">
        <v>144</v>
      </c>
      <c r="J337" s="155" t="s">
        <v>310</v>
      </c>
      <c r="K337" s="157" t="s">
        <v>441</v>
      </c>
      <c r="L337" s="153" t="s">
        <v>206</v>
      </c>
      <c r="M337" s="390">
        <v>4</v>
      </c>
      <c r="N337" s="67">
        <v>44483</v>
      </c>
      <c r="O337" s="228"/>
      <c r="P337" s="108" t="s">
        <v>75</v>
      </c>
      <c r="Q337" s="60"/>
      <c r="R337" s="60"/>
      <c r="S337" s="60"/>
      <c r="T337" s="41"/>
      <c r="U337" s="37"/>
      <c r="V337" s="51"/>
      <c r="X337" s="35"/>
    </row>
    <row r="338" spans="2:24" x14ac:dyDescent="0.25">
      <c r="B338" s="405"/>
      <c r="C338" s="90">
        <v>2</v>
      </c>
      <c r="D338" s="203" t="s">
        <v>309</v>
      </c>
      <c r="E338" s="204"/>
      <c r="F338" s="204"/>
      <c r="G338" s="204"/>
      <c r="H338" s="99" t="str">
        <f>CONCATENATE($L$7,"-",LEFT(C338,3),"-",LEFT(D338,3),LEFT(I338,3),"-",LEFT(J338,5),"-",2)</f>
        <v>CGK-2-BRAKRI-BLACK-2</v>
      </c>
      <c r="I338" s="154" t="s">
        <v>144</v>
      </c>
      <c r="J338" s="155" t="s">
        <v>310</v>
      </c>
      <c r="K338" s="157" t="s">
        <v>433</v>
      </c>
      <c r="L338" s="153" t="s">
        <v>206</v>
      </c>
      <c r="M338" s="391"/>
      <c r="N338" s="67">
        <v>44483</v>
      </c>
      <c r="O338" s="228"/>
      <c r="P338" s="108"/>
      <c r="Q338" s="60"/>
      <c r="R338" s="60"/>
      <c r="S338" s="60"/>
      <c r="T338" s="41"/>
      <c r="U338" s="37"/>
      <c r="V338" s="51"/>
      <c r="X338" s="35"/>
    </row>
    <row r="339" spans="2:24" x14ac:dyDescent="0.25">
      <c r="B339" s="405"/>
      <c r="C339" s="90">
        <v>2</v>
      </c>
      <c r="D339" s="203" t="s">
        <v>309</v>
      </c>
      <c r="E339" s="204"/>
      <c r="F339" s="204"/>
      <c r="G339" s="204"/>
      <c r="H339" s="99" t="str">
        <f>CONCATENATE($L$7,"-",LEFT(C339,3),"-",LEFT(D339,3),LEFT(I339,3),"-",LEFT(J339,5),"-",3)</f>
        <v>CGK-2-BRAKRI-BLACK-3</v>
      </c>
      <c r="I339" s="154" t="s">
        <v>144</v>
      </c>
      <c r="J339" s="155" t="s">
        <v>310</v>
      </c>
      <c r="K339" s="157" t="s">
        <v>439</v>
      </c>
      <c r="L339" s="153" t="s">
        <v>206</v>
      </c>
      <c r="M339" s="391"/>
      <c r="N339" s="67">
        <v>44483</v>
      </c>
      <c r="O339" s="228"/>
      <c r="P339" s="108"/>
      <c r="Q339" s="60"/>
      <c r="R339" s="60"/>
      <c r="S339" s="60"/>
      <c r="T339" s="41"/>
      <c r="U339" s="37"/>
      <c r="V339" s="51"/>
      <c r="X339" s="35"/>
    </row>
    <row r="340" spans="2:24" x14ac:dyDescent="0.25">
      <c r="B340" s="405"/>
      <c r="C340" s="90">
        <v>2</v>
      </c>
      <c r="D340" s="203" t="s">
        <v>309</v>
      </c>
      <c r="E340" s="204"/>
      <c r="F340" s="204"/>
      <c r="G340" s="204"/>
      <c r="H340" s="99" t="str">
        <f>CONCATENATE($L$7,"-",LEFT(C340,3),"-",LEFT(D340,3),LEFT(I340,3),"-",LEFT(J340,5),"-",4)</f>
        <v>CGK-2-BRAKRI-BLACK-4</v>
      </c>
      <c r="I340" s="154" t="s">
        <v>144</v>
      </c>
      <c r="J340" s="155" t="s">
        <v>310</v>
      </c>
      <c r="K340" s="157" t="s">
        <v>418</v>
      </c>
      <c r="L340" s="153" t="s">
        <v>206</v>
      </c>
      <c r="M340" s="392"/>
      <c r="N340" s="67">
        <v>44483</v>
      </c>
      <c r="O340" s="228"/>
      <c r="P340" s="108"/>
      <c r="Q340" s="60"/>
      <c r="R340" s="60"/>
      <c r="S340" s="60"/>
      <c r="T340" s="41"/>
      <c r="U340" s="37"/>
      <c r="V340" s="51"/>
      <c r="X340" s="35"/>
    </row>
    <row r="341" spans="2:24" x14ac:dyDescent="0.25">
      <c r="B341" s="406"/>
      <c r="C341" s="90">
        <v>2</v>
      </c>
      <c r="D341" s="203" t="s">
        <v>294</v>
      </c>
      <c r="E341" s="205"/>
      <c r="F341" s="205"/>
      <c r="G341" s="205"/>
      <c r="H341" s="99" t="str">
        <f>CONCATENATE($L$7,"-",LEFT(C341,3),"-",LEFT(D341,3),LEFT(I341,3),"-",LEFT(J341,3))</f>
        <v>CGK-2-BUFTV -KAY</v>
      </c>
      <c r="I341" s="154" t="s">
        <v>173</v>
      </c>
      <c r="J341" s="155" t="s">
        <v>166</v>
      </c>
      <c r="K341" s="157" t="s">
        <v>359</v>
      </c>
      <c r="L341" s="153" t="s">
        <v>206</v>
      </c>
      <c r="M341" s="238">
        <v>0</v>
      </c>
      <c r="N341" s="67">
        <v>44483</v>
      </c>
      <c r="O341" s="228"/>
      <c r="P341" s="108" t="s">
        <v>75</v>
      </c>
      <c r="Q341" s="60"/>
      <c r="R341" s="60"/>
      <c r="S341" s="60"/>
      <c r="T341" s="41"/>
      <c r="U341" s="37"/>
      <c r="V341" s="51"/>
      <c r="X341" s="35"/>
    </row>
    <row r="342" spans="2:24" x14ac:dyDescent="0.25">
      <c r="B342" s="405">
        <v>3</v>
      </c>
      <c r="C342" s="90">
        <v>3</v>
      </c>
      <c r="D342" s="204" t="s">
        <v>179</v>
      </c>
      <c r="E342" s="204"/>
      <c r="F342" s="204"/>
      <c r="G342" s="204"/>
      <c r="H342" s="99" t="str">
        <f>CONCATENATE($L$7,"-",LEFT(C342,3),"-",LEFT(D342,3),LEFT(I342,3),"-",LEFT(J342,3))</f>
        <v>CGK-3-CONKRI-3 D</v>
      </c>
      <c r="I342" s="154" t="s">
        <v>187</v>
      </c>
      <c r="J342" s="155" t="s">
        <v>164</v>
      </c>
      <c r="K342" s="157" t="s">
        <v>359</v>
      </c>
      <c r="L342" s="153" t="s">
        <v>206</v>
      </c>
      <c r="M342" s="238">
        <f>[1]HRD!$F$53</f>
        <v>0</v>
      </c>
      <c r="N342" s="67">
        <v>44483</v>
      </c>
      <c r="O342" s="229"/>
      <c r="P342" s="109" t="s">
        <v>75</v>
      </c>
      <c r="Q342" s="61"/>
      <c r="R342" s="61"/>
      <c r="S342" s="61"/>
      <c r="T342" s="44"/>
      <c r="U342" s="38"/>
      <c r="V342" s="53"/>
      <c r="X342" s="35"/>
    </row>
    <row r="343" spans="2:24" x14ac:dyDescent="0.25">
      <c r="B343" s="405"/>
      <c r="C343" s="89">
        <v>3</v>
      </c>
      <c r="D343" s="203" t="s">
        <v>180</v>
      </c>
      <c r="E343" s="204"/>
      <c r="F343" s="204"/>
      <c r="G343" s="204"/>
      <c r="H343" s="99" t="str">
        <f>CONCATENATE($L$7,"-",LEFT(C343,3),"-",LEFT(D343,3),LEFT(I343,3),"-",LEFT(J343,3),"-",1)</f>
        <v>CGK-3-WHISTA-BIG-1</v>
      </c>
      <c r="I343" s="154" t="s">
        <v>194</v>
      </c>
      <c r="J343" s="155" t="s">
        <v>218</v>
      </c>
      <c r="K343" s="157" t="s">
        <v>446</v>
      </c>
      <c r="L343" s="153" t="s">
        <v>206</v>
      </c>
      <c r="M343" s="390">
        <v>4</v>
      </c>
      <c r="N343" s="67">
        <v>44483</v>
      </c>
      <c r="O343" s="228"/>
      <c r="P343" s="108" t="s">
        <v>74</v>
      </c>
      <c r="Q343" s="60"/>
      <c r="R343" s="60"/>
      <c r="S343" s="60"/>
      <c r="T343" s="41"/>
      <c r="U343" s="37"/>
      <c r="V343" s="51"/>
      <c r="X343" s="35"/>
    </row>
    <row r="344" spans="2:24" x14ac:dyDescent="0.25">
      <c r="B344" s="405"/>
      <c r="C344" s="89">
        <v>3</v>
      </c>
      <c r="D344" s="203" t="s">
        <v>180</v>
      </c>
      <c r="E344" s="204"/>
      <c r="F344" s="204"/>
      <c r="G344" s="204"/>
      <c r="H344" s="99" t="str">
        <f>CONCATENATE($L$7,"-",LEFT(C344,3),"-",LEFT(D344,3),LEFT(I344,3),"-",LEFT(J344,3),"-",2)</f>
        <v>CGK-3-WHISTA-BIG-2</v>
      </c>
      <c r="I344" s="154" t="s">
        <v>194</v>
      </c>
      <c r="J344" s="155" t="s">
        <v>218</v>
      </c>
      <c r="K344" s="157" t="s">
        <v>426</v>
      </c>
      <c r="L344" s="153" t="s">
        <v>206</v>
      </c>
      <c r="M344" s="391"/>
      <c r="N344" s="67">
        <v>44483</v>
      </c>
      <c r="O344" s="228"/>
      <c r="P344" s="108"/>
      <c r="Q344" s="60"/>
      <c r="R344" s="60"/>
      <c r="S344" s="60"/>
      <c r="T344" s="41"/>
      <c r="U344" s="37"/>
      <c r="V344" s="51"/>
      <c r="X344" s="35"/>
    </row>
    <row r="345" spans="2:24" x14ac:dyDescent="0.25">
      <c r="B345" s="405"/>
      <c r="C345" s="89">
        <v>3</v>
      </c>
      <c r="D345" s="203" t="s">
        <v>180</v>
      </c>
      <c r="E345" s="204"/>
      <c r="F345" s="204"/>
      <c r="G345" s="204"/>
      <c r="H345" s="99" t="str">
        <f>CONCATENATE($L$7,"-",LEFT(C345,3),"-",LEFT(D345,3),LEFT(I345,3),"-",LEFT(J345,3),"-",3)</f>
        <v>CGK-3-WHIWAL-BIG-3</v>
      </c>
      <c r="I345" s="154" t="s">
        <v>199</v>
      </c>
      <c r="J345" s="155" t="s">
        <v>218</v>
      </c>
      <c r="K345" s="157" t="s">
        <v>418</v>
      </c>
      <c r="L345" s="153" t="s">
        <v>206</v>
      </c>
      <c r="M345" s="391"/>
      <c r="N345" s="67">
        <v>44483</v>
      </c>
      <c r="O345" s="228"/>
      <c r="P345" s="108"/>
      <c r="Q345" s="60"/>
      <c r="R345" s="60"/>
      <c r="S345" s="60"/>
      <c r="T345" s="41"/>
      <c r="U345" s="37"/>
      <c r="V345" s="51"/>
      <c r="X345" s="35"/>
    </row>
    <row r="346" spans="2:24" x14ac:dyDescent="0.25">
      <c r="B346" s="405"/>
      <c r="C346" s="89">
        <v>3</v>
      </c>
      <c r="D346" s="203" t="s">
        <v>180</v>
      </c>
      <c r="E346" s="204"/>
      <c r="F346" s="204"/>
      <c r="G346" s="204"/>
      <c r="H346" s="99" t="str">
        <f>CONCATENATE($L$7,"-",LEFT(C346,3),"-",LEFT(D346,3),LEFT(I346,3),"-",LEFT(J346,3),"-",4)</f>
        <v>CGK-3-WHIWAL-BIG-4</v>
      </c>
      <c r="I346" s="154" t="s">
        <v>199</v>
      </c>
      <c r="J346" s="155" t="s">
        <v>218</v>
      </c>
      <c r="K346" s="157" t="s">
        <v>422</v>
      </c>
      <c r="L346" s="153" t="s">
        <v>206</v>
      </c>
      <c r="M346" s="392"/>
      <c r="N346" s="67">
        <v>44483</v>
      </c>
      <c r="O346" s="228"/>
      <c r="P346" s="108" t="s">
        <v>74</v>
      </c>
      <c r="Q346" s="60"/>
      <c r="R346" s="60"/>
      <c r="S346" s="60"/>
      <c r="T346" s="41"/>
      <c r="U346" s="37"/>
      <c r="V346" s="51"/>
      <c r="X346" s="35"/>
    </row>
    <row r="347" spans="2:24" x14ac:dyDescent="0.25">
      <c r="B347" s="405"/>
      <c r="C347" s="89">
        <v>3</v>
      </c>
      <c r="D347" s="203" t="s">
        <v>180</v>
      </c>
      <c r="E347" s="204"/>
      <c r="F347" s="204"/>
      <c r="G347" s="204"/>
      <c r="H347" s="99" t="str">
        <f>CONCATENATE($L$7,"-",LEFT(C347,3),"-",LEFT(D347,3),LEFT(I347,3),"-",LEFT(J347,3),"-",1)</f>
        <v>CGK-3-WHIWAL-SMA-1</v>
      </c>
      <c r="I347" s="154" t="s">
        <v>199</v>
      </c>
      <c r="J347" s="155" t="s">
        <v>138</v>
      </c>
      <c r="K347" s="157" t="s">
        <v>433</v>
      </c>
      <c r="L347" s="153" t="s">
        <v>206</v>
      </c>
      <c r="M347" s="390">
        <v>2</v>
      </c>
      <c r="N347" s="67">
        <v>44483</v>
      </c>
      <c r="O347" s="228"/>
      <c r="P347" s="108"/>
      <c r="Q347" s="60"/>
      <c r="R347" s="60"/>
      <c r="S347" s="60"/>
      <c r="T347" s="41"/>
      <c r="U347" s="37"/>
      <c r="V347" s="51"/>
      <c r="X347" s="35"/>
    </row>
    <row r="348" spans="2:24" x14ac:dyDescent="0.25">
      <c r="B348" s="405"/>
      <c r="C348" s="89">
        <v>3</v>
      </c>
      <c r="D348" s="203" t="s">
        <v>180</v>
      </c>
      <c r="E348" s="204"/>
      <c r="F348" s="204"/>
      <c r="G348" s="204"/>
      <c r="H348" s="99" t="str">
        <f>CONCATENATE($L$7,"-",LEFT(C348,3),"-",LEFT(D348,3),LEFT(I348,3),"-",LEFT(J348,3),"-",2)</f>
        <v>CGK-3-WHIWAL-SMA-2</v>
      </c>
      <c r="I348" s="154" t="s">
        <v>199</v>
      </c>
      <c r="J348" s="155" t="s">
        <v>138</v>
      </c>
      <c r="K348" s="157" t="s">
        <v>420</v>
      </c>
      <c r="L348" s="153" t="s">
        <v>206</v>
      </c>
      <c r="M348" s="392"/>
      <c r="N348" s="67">
        <v>44483</v>
      </c>
      <c r="O348" s="228"/>
      <c r="P348" s="108"/>
      <c r="Q348" s="60"/>
      <c r="R348" s="60"/>
      <c r="S348" s="60"/>
      <c r="T348" s="41"/>
      <c r="U348" s="37"/>
      <c r="V348" s="51"/>
      <c r="X348" s="35"/>
    </row>
    <row r="349" spans="2:24" x14ac:dyDescent="0.25">
      <c r="B349" s="405"/>
      <c r="C349" s="89">
        <v>3</v>
      </c>
      <c r="D349" s="203" t="s">
        <v>181</v>
      </c>
      <c r="E349" s="204"/>
      <c r="F349" s="204"/>
      <c r="G349" s="204"/>
      <c r="H349" s="99" t="str">
        <f>CONCATENATE($L$7,"-",LEFT(C349,3),"-",LEFT(D349,3),LEFT(I349,3),"-",LEFT(J349,3),"-",1)</f>
        <v>CGK-3-POTMEJ-SMA-1</v>
      </c>
      <c r="I349" s="154" t="s">
        <v>146</v>
      </c>
      <c r="J349" s="155" t="s">
        <v>138</v>
      </c>
      <c r="K349" s="157" t="s">
        <v>424</v>
      </c>
      <c r="L349" s="153" t="s">
        <v>206</v>
      </c>
      <c r="M349" s="390">
        <v>14</v>
      </c>
      <c r="N349" s="67">
        <v>44483</v>
      </c>
      <c r="O349" s="228"/>
      <c r="P349" s="108" t="s">
        <v>74</v>
      </c>
      <c r="Q349" s="60"/>
      <c r="R349" s="60"/>
      <c r="S349" s="60"/>
      <c r="T349" s="41"/>
      <c r="U349" s="37"/>
      <c r="V349" s="51"/>
      <c r="X349" s="35"/>
    </row>
    <row r="350" spans="2:24" x14ac:dyDescent="0.25">
      <c r="B350" s="405"/>
      <c r="C350" s="89">
        <v>3</v>
      </c>
      <c r="D350" s="203" t="s">
        <v>181</v>
      </c>
      <c r="E350" s="204"/>
      <c r="F350" s="204"/>
      <c r="G350" s="204"/>
      <c r="H350" s="99" t="str">
        <f>CONCATENATE($L$7,"-",LEFT(C350,3),"-",LEFT(D350,3),LEFT(I350,3),"-",LEFT(J350,3),"-",2)</f>
        <v>CGK-3-POTMEJ-SMA-2</v>
      </c>
      <c r="I350" s="154" t="s">
        <v>146</v>
      </c>
      <c r="J350" s="155" t="s">
        <v>138</v>
      </c>
      <c r="K350" s="157" t="s">
        <v>445</v>
      </c>
      <c r="L350" s="153" t="s">
        <v>206</v>
      </c>
      <c r="M350" s="391"/>
      <c r="N350" s="67">
        <v>44483</v>
      </c>
      <c r="O350" s="228"/>
      <c r="P350" s="108"/>
      <c r="Q350" s="60"/>
      <c r="R350" s="60"/>
      <c r="S350" s="60"/>
      <c r="T350" s="41"/>
      <c r="U350" s="37"/>
      <c r="V350" s="51"/>
      <c r="X350" s="35"/>
    </row>
    <row r="351" spans="2:24" x14ac:dyDescent="0.25">
      <c r="B351" s="405"/>
      <c r="C351" s="89">
        <v>3</v>
      </c>
      <c r="D351" s="203" t="s">
        <v>181</v>
      </c>
      <c r="E351" s="204"/>
      <c r="F351" s="204"/>
      <c r="G351" s="204"/>
      <c r="H351" s="99" t="str">
        <f>CONCATENATE($L$7,"-",LEFT(C351,3),"-",LEFT(D351,3),LEFT(I351,3),"-",LEFT(J351,3),"-",3)</f>
        <v>CGK-3-POTMEJ-SMA-3</v>
      </c>
      <c r="I351" s="154" t="s">
        <v>146</v>
      </c>
      <c r="J351" s="155" t="s">
        <v>138</v>
      </c>
      <c r="K351" s="157" t="s">
        <v>445</v>
      </c>
      <c r="L351" s="153" t="s">
        <v>206</v>
      </c>
      <c r="M351" s="391"/>
      <c r="N351" s="67">
        <v>44483</v>
      </c>
      <c r="O351" s="228"/>
      <c r="P351" s="108"/>
      <c r="Q351" s="60"/>
      <c r="R351" s="60"/>
      <c r="S351" s="60"/>
      <c r="T351" s="41"/>
      <c r="U351" s="37"/>
      <c r="V351" s="51"/>
      <c r="X351" s="35"/>
    </row>
    <row r="352" spans="2:24" x14ac:dyDescent="0.25">
      <c r="B352" s="405"/>
      <c r="C352" s="89">
        <v>3</v>
      </c>
      <c r="D352" s="203" t="s">
        <v>181</v>
      </c>
      <c r="E352" s="204"/>
      <c r="F352" s="204"/>
      <c r="G352" s="204"/>
      <c r="H352" s="99" t="str">
        <f>CONCATENATE($L$7,"-",LEFT(C352,3),"-",LEFT(D352,3),LEFT(I352,3),"-",LEFT(J352,3),"-",4)</f>
        <v>CGK-3-POTMEJ-SMA-4</v>
      </c>
      <c r="I352" s="154" t="s">
        <v>146</v>
      </c>
      <c r="J352" s="155" t="s">
        <v>138</v>
      </c>
      <c r="K352" s="157" t="s">
        <v>445</v>
      </c>
      <c r="L352" s="153" t="s">
        <v>206</v>
      </c>
      <c r="M352" s="391"/>
      <c r="N352" s="67">
        <v>44483</v>
      </c>
      <c r="O352" s="228"/>
      <c r="P352" s="108"/>
      <c r="Q352" s="60"/>
      <c r="R352" s="60"/>
      <c r="S352" s="60"/>
      <c r="T352" s="41"/>
      <c r="U352" s="37"/>
      <c r="V352" s="51"/>
      <c r="X352" s="35"/>
    </row>
    <row r="353" spans="2:24" x14ac:dyDescent="0.25">
      <c r="B353" s="405"/>
      <c r="C353" s="89">
        <v>3</v>
      </c>
      <c r="D353" s="203" t="s">
        <v>181</v>
      </c>
      <c r="E353" s="204"/>
      <c r="F353" s="204"/>
      <c r="G353" s="204"/>
      <c r="H353" s="99" t="str">
        <f>CONCATENATE($L$7,"-",LEFT(C353,3),"-",LEFT(D353,3),LEFT(I353,3),"-",LEFT(J353,3),"-",5)</f>
        <v>CGK-3-POTMEJ-SMA-5</v>
      </c>
      <c r="I353" s="154" t="s">
        <v>146</v>
      </c>
      <c r="J353" s="155" t="s">
        <v>138</v>
      </c>
      <c r="K353" s="157" t="s">
        <v>445</v>
      </c>
      <c r="L353" s="153" t="s">
        <v>206</v>
      </c>
      <c r="M353" s="391"/>
      <c r="N353" s="67">
        <v>44483</v>
      </c>
      <c r="O353" s="228"/>
      <c r="P353" s="108"/>
      <c r="Q353" s="60"/>
      <c r="R353" s="60"/>
      <c r="S353" s="60"/>
      <c r="T353" s="41"/>
      <c r="U353" s="37"/>
      <c r="V353" s="51"/>
      <c r="X353" s="35"/>
    </row>
    <row r="354" spans="2:24" x14ac:dyDescent="0.25">
      <c r="B354" s="405"/>
      <c r="C354" s="89">
        <v>3</v>
      </c>
      <c r="D354" s="203" t="s">
        <v>181</v>
      </c>
      <c r="E354" s="204"/>
      <c r="F354" s="204"/>
      <c r="G354" s="204"/>
      <c r="H354" s="99" t="str">
        <f>CONCATENATE($L$7,"-",LEFT(C354,3),"-",LEFT(D354,3),LEFT(I354,3),"-",LEFT(J354,3),"-",6)</f>
        <v>CGK-3-POTMEJ-SMA-6</v>
      </c>
      <c r="I354" s="154" t="s">
        <v>146</v>
      </c>
      <c r="J354" s="155" t="s">
        <v>138</v>
      </c>
      <c r="K354" s="157" t="s">
        <v>423</v>
      </c>
      <c r="L354" s="153" t="s">
        <v>206</v>
      </c>
      <c r="M354" s="391"/>
      <c r="N354" s="67">
        <v>44483</v>
      </c>
      <c r="O354" s="228"/>
      <c r="P354" s="108"/>
      <c r="Q354" s="60"/>
      <c r="R354" s="60"/>
      <c r="S354" s="60"/>
      <c r="T354" s="41"/>
      <c r="U354" s="37"/>
      <c r="V354" s="51"/>
      <c r="X354" s="35"/>
    </row>
    <row r="355" spans="2:24" x14ac:dyDescent="0.25">
      <c r="B355" s="405"/>
      <c r="C355" s="89">
        <v>3</v>
      </c>
      <c r="D355" s="203" t="s">
        <v>181</v>
      </c>
      <c r="E355" s="204"/>
      <c r="F355" s="204"/>
      <c r="G355" s="204"/>
      <c r="H355" s="99" t="str">
        <f>CONCATENATE($L$7,"-",LEFT(C355,3),"-",LEFT(D355,3),LEFT(I355,3),"-",LEFT(J355,3),"-",7)</f>
        <v>CGK-3-POTMEJ-SMA-7</v>
      </c>
      <c r="I355" s="154" t="s">
        <v>146</v>
      </c>
      <c r="J355" s="155" t="s">
        <v>138</v>
      </c>
      <c r="K355" s="157" t="s">
        <v>423</v>
      </c>
      <c r="L355" s="153" t="s">
        <v>206</v>
      </c>
      <c r="M355" s="391"/>
      <c r="N355" s="67">
        <v>44483</v>
      </c>
      <c r="O355" s="228"/>
      <c r="P355" s="108"/>
      <c r="Q355" s="60"/>
      <c r="R355" s="60"/>
      <c r="S355" s="60"/>
      <c r="T355" s="41"/>
      <c r="U355" s="37"/>
      <c r="V355" s="51"/>
      <c r="X355" s="35"/>
    </row>
    <row r="356" spans="2:24" x14ac:dyDescent="0.25">
      <c r="B356" s="405"/>
      <c r="C356" s="89">
        <v>3</v>
      </c>
      <c r="D356" s="203" t="s">
        <v>181</v>
      </c>
      <c r="E356" s="204"/>
      <c r="F356" s="204"/>
      <c r="G356" s="204"/>
      <c r="H356" s="99" t="str">
        <f>CONCATENATE($L$7,"-",LEFT(C356,3),"-",LEFT(D356,3),LEFT(I356,3),"-",LEFT(J356,3),"-",8)</f>
        <v>CGK-3-POTMEJ-SMA-8</v>
      </c>
      <c r="I356" s="154" t="s">
        <v>146</v>
      </c>
      <c r="J356" s="155" t="s">
        <v>138</v>
      </c>
      <c r="K356" s="157" t="s">
        <v>423</v>
      </c>
      <c r="L356" s="153" t="s">
        <v>206</v>
      </c>
      <c r="M356" s="391"/>
      <c r="N356" s="67">
        <v>44483</v>
      </c>
      <c r="O356" s="228"/>
      <c r="P356" s="108"/>
      <c r="Q356" s="60"/>
      <c r="R356" s="60"/>
      <c r="S356" s="60"/>
      <c r="T356" s="41"/>
      <c r="U356" s="37"/>
      <c r="V356" s="51"/>
      <c r="X356" s="35"/>
    </row>
    <row r="357" spans="2:24" x14ac:dyDescent="0.25">
      <c r="B357" s="405"/>
      <c r="C357" s="89">
        <v>3</v>
      </c>
      <c r="D357" s="203" t="s">
        <v>181</v>
      </c>
      <c r="E357" s="204"/>
      <c r="F357" s="204"/>
      <c r="G357" s="204"/>
      <c r="H357" s="99" t="str">
        <f>CONCATENATE($L$7,"-",LEFT(C357,3),"-",LEFT(D357,3),LEFT(I357,3),"-",LEFT(J357,3),"-",9)</f>
        <v>CGK-3-POTMEJ-SMA-9</v>
      </c>
      <c r="I357" s="154" t="s">
        <v>146</v>
      </c>
      <c r="J357" s="155" t="s">
        <v>138</v>
      </c>
      <c r="K357" s="157" t="s">
        <v>423</v>
      </c>
      <c r="L357" s="153" t="s">
        <v>206</v>
      </c>
      <c r="M357" s="391"/>
      <c r="N357" s="67">
        <v>44483</v>
      </c>
      <c r="O357" s="228"/>
      <c r="P357" s="108"/>
      <c r="Q357" s="60"/>
      <c r="R357" s="60"/>
      <c r="S357" s="60"/>
      <c r="T357" s="41"/>
      <c r="U357" s="37"/>
      <c r="V357" s="51"/>
      <c r="X357" s="35"/>
    </row>
    <row r="358" spans="2:24" x14ac:dyDescent="0.25">
      <c r="B358" s="405"/>
      <c r="C358" s="89">
        <v>3</v>
      </c>
      <c r="D358" s="203" t="s">
        <v>181</v>
      </c>
      <c r="E358" s="204"/>
      <c r="F358" s="204"/>
      <c r="G358" s="204"/>
      <c r="H358" s="99" t="str">
        <f>CONCATENATE($L$7,"-",LEFT(C358,3),"-",LEFT(D358,3),LEFT(I358,3),"-",LEFT(J358,3),"-",10)</f>
        <v>CGK-3-POTMEJ-SMA-10</v>
      </c>
      <c r="I358" s="154" t="s">
        <v>146</v>
      </c>
      <c r="J358" s="155" t="s">
        <v>138</v>
      </c>
      <c r="K358" s="157" t="s">
        <v>423</v>
      </c>
      <c r="L358" s="153" t="s">
        <v>206</v>
      </c>
      <c r="M358" s="391"/>
      <c r="N358" s="67">
        <v>44483</v>
      </c>
      <c r="O358" s="228"/>
      <c r="P358" s="108"/>
      <c r="Q358" s="60"/>
      <c r="R358" s="60"/>
      <c r="S358" s="60"/>
      <c r="T358" s="41"/>
      <c r="U358" s="37"/>
      <c r="V358" s="51"/>
      <c r="X358" s="35"/>
    </row>
    <row r="359" spans="2:24" x14ac:dyDescent="0.25">
      <c r="B359" s="405"/>
      <c r="C359" s="89">
        <v>3</v>
      </c>
      <c r="D359" s="203" t="s">
        <v>181</v>
      </c>
      <c r="E359" s="204"/>
      <c r="F359" s="204"/>
      <c r="G359" s="204"/>
      <c r="H359" s="99" t="str">
        <f>CONCATENATE($L$7,"-",LEFT(C359,3),"-",LEFT(D359,3),LEFT(I359,3),"-",LEFT(J359,3),"-",11)</f>
        <v>CGK-3-POTMEJ-SMA-11</v>
      </c>
      <c r="I359" s="154" t="s">
        <v>146</v>
      </c>
      <c r="J359" s="155" t="s">
        <v>138</v>
      </c>
      <c r="K359" s="157" t="s">
        <v>239</v>
      </c>
      <c r="L359" s="153" t="s">
        <v>206</v>
      </c>
      <c r="M359" s="391"/>
      <c r="N359" s="67">
        <v>44483</v>
      </c>
      <c r="O359" s="228"/>
      <c r="P359" s="108"/>
      <c r="Q359" s="60"/>
      <c r="R359" s="60"/>
      <c r="S359" s="60"/>
      <c r="T359" s="41"/>
      <c r="U359" s="37"/>
      <c r="V359" s="51"/>
      <c r="X359" s="35"/>
    </row>
    <row r="360" spans="2:24" x14ac:dyDescent="0.25">
      <c r="B360" s="405"/>
      <c r="C360" s="89">
        <v>3</v>
      </c>
      <c r="D360" s="203" t="s">
        <v>181</v>
      </c>
      <c r="E360" s="204"/>
      <c r="F360" s="204"/>
      <c r="G360" s="204"/>
      <c r="H360" s="99" t="str">
        <f>CONCATENATE($L$7,"-",LEFT(C360,3),"-",LEFT(D360,3),LEFT(I360,3),"-",LEFT(J360,3),"-",12)</f>
        <v>CGK-3-POTMEJ-SMA-12</v>
      </c>
      <c r="I360" s="154" t="s">
        <v>146</v>
      </c>
      <c r="J360" s="155" t="s">
        <v>138</v>
      </c>
      <c r="K360" s="157" t="s">
        <v>418</v>
      </c>
      <c r="L360" s="153" t="s">
        <v>206</v>
      </c>
      <c r="M360" s="391"/>
      <c r="N360" s="67">
        <v>44483</v>
      </c>
      <c r="O360" s="228"/>
      <c r="P360" s="108"/>
      <c r="Q360" s="60"/>
      <c r="R360" s="60"/>
      <c r="S360" s="60"/>
      <c r="T360" s="41"/>
      <c r="U360" s="37"/>
      <c r="V360" s="51"/>
      <c r="X360" s="35"/>
    </row>
    <row r="361" spans="2:24" x14ac:dyDescent="0.25">
      <c r="B361" s="405"/>
      <c r="C361" s="89">
        <v>3</v>
      </c>
      <c r="D361" s="203" t="s">
        <v>181</v>
      </c>
      <c r="E361" s="204"/>
      <c r="F361" s="204"/>
      <c r="G361" s="204"/>
      <c r="H361" s="99" t="str">
        <f>CONCATENATE($L$7,"-",LEFT(C361,3),"-",LEFT(D361,3),LEFT(I361,3),"-",LEFT(J361,3),"-",13)</f>
        <v>CGK-3-POTMEJ-SMA-13</v>
      </c>
      <c r="I361" s="154" t="s">
        <v>146</v>
      </c>
      <c r="J361" s="155" t="s">
        <v>138</v>
      </c>
      <c r="K361" s="157" t="s">
        <v>418</v>
      </c>
      <c r="L361" s="153" t="s">
        <v>206</v>
      </c>
      <c r="M361" s="391"/>
      <c r="N361" s="67">
        <v>44483</v>
      </c>
      <c r="O361" s="228"/>
      <c r="P361" s="108"/>
      <c r="Q361" s="60"/>
      <c r="R361" s="60"/>
      <c r="S361" s="60"/>
      <c r="T361" s="41"/>
      <c r="U361" s="37"/>
      <c r="V361" s="51"/>
      <c r="X361" s="35"/>
    </row>
    <row r="362" spans="2:24" x14ac:dyDescent="0.25">
      <c r="B362" s="405"/>
      <c r="C362" s="89">
        <v>3</v>
      </c>
      <c r="D362" s="203" t="s">
        <v>181</v>
      </c>
      <c r="E362" s="204"/>
      <c r="F362" s="204"/>
      <c r="G362" s="204"/>
      <c r="H362" s="99" t="str">
        <f>CONCATENATE($L$7,"-",LEFT(C362,3),"-",LEFT(D362,3),LEFT(I362,3),"-",LEFT(J362,3),"-",14)</f>
        <v>CGK-3-POTMEJ-SMA-14</v>
      </c>
      <c r="I362" s="154" t="s">
        <v>146</v>
      </c>
      <c r="J362" s="155" t="s">
        <v>138</v>
      </c>
      <c r="K362" s="157" t="s">
        <v>418</v>
      </c>
      <c r="L362" s="153"/>
      <c r="M362" s="392"/>
      <c r="N362" s="67">
        <v>44483</v>
      </c>
      <c r="O362" s="228"/>
      <c r="P362" s="108"/>
      <c r="Q362" s="60"/>
      <c r="R362" s="60"/>
      <c r="S362" s="60"/>
      <c r="T362" s="41"/>
      <c r="U362" s="37"/>
      <c r="V362" s="51"/>
      <c r="X362" s="35"/>
    </row>
    <row r="363" spans="2:24" x14ac:dyDescent="0.25">
      <c r="B363" s="405"/>
      <c r="C363" s="89">
        <v>3</v>
      </c>
      <c r="D363" s="203" t="s">
        <v>181</v>
      </c>
      <c r="E363" s="204"/>
      <c r="F363" s="204"/>
      <c r="G363" s="204"/>
      <c r="H363" s="99" t="str">
        <f>CONCATENATE($L$7,"-",LEFT(C363,3),"-",LEFT(D363,3),LEFT(I363,3),"-",LEFT(J363,3),"-",1)</f>
        <v>CGK-3-POTWHI-BIG-1</v>
      </c>
      <c r="I363" s="154" t="s">
        <v>350</v>
      </c>
      <c r="J363" s="155" t="s">
        <v>218</v>
      </c>
      <c r="K363" s="157" t="s">
        <v>445</v>
      </c>
      <c r="L363" s="153" t="s">
        <v>206</v>
      </c>
      <c r="M363" s="390">
        <v>3</v>
      </c>
      <c r="N363" s="67">
        <v>44483</v>
      </c>
      <c r="O363" s="228"/>
      <c r="P363" s="108" t="s">
        <v>74</v>
      </c>
      <c r="Q363" s="60"/>
      <c r="R363" s="60"/>
      <c r="S363" s="60"/>
      <c r="T363" s="41"/>
      <c r="U363" s="37"/>
      <c r="V363" s="51"/>
      <c r="X363" s="35"/>
    </row>
    <row r="364" spans="2:24" x14ac:dyDescent="0.25">
      <c r="B364" s="405"/>
      <c r="C364" s="89">
        <v>3</v>
      </c>
      <c r="D364" s="203" t="s">
        <v>181</v>
      </c>
      <c r="E364" s="204"/>
      <c r="F364" s="204"/>
      <c r="G364" s="204"/>
      <c r="H364" s="99" t="str">
        <f>CONCATENATE($L$7,"-",LEFT(C364,3),"-",LEFT(D364,3),LEFT(I364,3),"-",LEFT(J364,3),"-",2)</f>
        <v>CGK-3-POTWHI-BIG-2</v>
      </c>
      <c r="I364" s="154" t="s">
        <v>350</v>
      </c>
      <c r="J364" s="155" t="s">
        <v>218</v>
      </c>
      <c r="K364" s="157" t="s">
        <v>455</v>
      </c>
      <c r="L364" s="153" t="s">
        <v>206</v>
      </c>
      <c r="M364" s="391"/>
      <c r="N364" s="67">
        <v>44483</v>
      </c>
      <c r="O364" s="228"/>
      <c r="P364" s="108"/>
      <c r="Q364" s="60"/>
      <c r="R364" s="60"/>
      <c r="S364" s="60"/>
      <c r="T364" s="41"/>
      <c r="U364" s="37"/>
      <c r="V364" s="51"/>
      <c r="X364" s="35"/>
    </row>
    <row r="365" spans="2:24" x14ac:dyDescent="0.25">
      <c r="B365" s="405"/>
      <c r="C365" s="89">
        <v>3</v>
      </c>
      <c r="D365" s="203" t="s">
        <v>181</v>
      </c>
      <c r="E365" s="204"/>
      <c r="F365" s="204"/>
      <c r="G365" s="204"/>
      <c r="H365" s="99" t="str">
        <f>CONCATENATE($L$7,"-",LEFT(C365,3),"-",LEFT(D365,3),LEFT(I365,3),"-",LEFT(J365,3),"-",3)</f>
        <v>CGK-3-POTWHI-BIG-3</v>
      </c>
      <c r="I365" s="154" t="s">
        <v>350</v>
      </c>
      <c r="J365" s="155" t="s">
        <v>218</v>
      </c>
      <c r="K365" s="157" t="s">
        <v>456</v>
      </c>
      <c r="L365" s="153" t="s">
        <v>206</v>
      </c>
      <c r="M365" s="392"/>
      <c r="N365" s="67">
        <v>44483</v>
      </c>
      <c r="O365" s="228"/>
      <c r="P365" s="108"/>
      <c r="Q365" s="60"/>
      <c r="R365" s="60"/>
      <c r="S365" s="60"/>
      <c r="T365" s="41"/>
      <c r="U365" s="37"/>
      <c r="V365" s="51"/>
      <c r="X365" s="35"/>
    </row>
    <row r="366" spans="2:24" x14ac:dyDescent="0.25">
      <c r="B366" s="405"/>
      <c r="C366" s="89">
        <v>3</v>
      </c>
      <c r="D366" s="203" t="s">
        <v>295</v>
      </c>
      <c r="E366" s="204"/>
      <c r="F366" s="204"/>
      <c r="G366" s="204"/>
      <c r="H366" s="99" t="str">
        <f>CONCATENATE($L$7,"-",LEFT(C366,3),"-",LEFT(D366,3),LEFT(I366,3),"-",LEFT(J366,3),"-",1)</f>
        <v>CGK-3-PAIFRA-BIG-1</v>
      </c>
      <c r="I366" s="154" t="s">
        <v>296</v>
      </c>
      <c r="J366" s="155" t="s">
        <v>218</v>
      </c>
      <c r="K366" s="157" t="s">
        <v>424</v>
      </c>
      <c r="L366" s="153" t="s">
        <v>206</v>
      </c>
      <c r="M366" s="390">
        <v>4</v>
      </c>
      <c r="N366" s="67">
        <v>44483</v>
      </c>
      <c r="O366" s="228"/>
      <c r="P366" s="108" t="s">
        <v>74</v>
      </c>
      <c r="Q366" s="60"/>
      <c r="R366" s="60"/>
      <c r="S366" s="60"/>
      <c r="T366" s="41"/>
      <c r="U366" s="37"/>
      <c r="V366" s="51"/>
      <c r="X366" s="35"/>
    </row>
    <row r="367" spans="2:24" x14ac:dyDescent="0.25">
      <c r="B367" s="405"/>
      <c r="C367" s="89">
        <v>3</v>
      </c>
      <c r="D367" s="203" t="s">
        <v>295</v>
      </c>
      <c r="E367" s="204"/>
      <c r="F367" s="204"/>
      <c r="G367" s="204"/>
      <c r="H367" s="99" t="str">
        <f>CONCATENATE($L$7,"-",LEFT(C367,3),"-",LEFT(D367,3),LEFT(I367,3),"-",LEFT(J367,3),"-",2)</f>
        <v>CGK-3-PAIFRA-BIG-2</v>
      </c>
      <c r="I367" s="154" t="s">
        <v>296</v>
      </c>
      <c r="J367" s="155" t="s">
        <v>218</v>
      </c>
      <c r="K367" s="157" t="s">
        <v>445</v>
      </c>
      <c r="L367" s="153" t="s">
        <v>206</v>
      </c>
      <c r="M367" s="391"/>
      <c r="N367" s="67">
        <v>44483</v>
      </c>
      <c r="O367" s="228"/>
      <c r="P367" s="108"/>
      <c r="Q367" s="60"/>
      <c r="R367" s="60"/>
      <c r="S367" s="60"/>
      <c r="T367" s="41"/>
      <c r="U367" s="37"/>
      <c r="V367" s="51"/>
      <c r="X367" s="35"/>
    </row>
    <row r="368" spans="2:24" x14ac:dyDescent="0.25">
      <c r="B368" s="405"/>
      <c r="C368" s="89">
        <v>3</v>
      </c>
      <c r="D368" s="203" t="s">
        <v>295</v>
      </c>
      <c r="E368" s="204"/>
      <c r="F368" s="204"/>
      <c r="G368" s="204"/>
      <c r="H368" s="99" t="str">
        <f>CONCATENATE($L$7,"-",LEFT(C368,3),"-",LEFT(D368,3),LEFT(I368,3),"-",LEFT(J368,3),"-",3)</f>
        <v>CGK-3-PAIFRA-BIG-3</v>
      </c>
      <c r="I368" s="154" t="s">
        <v>296</v>
      </c>
      <c r="J368" s="155" t="s">
        <v>218</v>
      </c>
      <c r="K368" s="157" t="s">
        <v>423</v>
      </c>
      <c r="L368" s="153" t="s">
        <v>206</v>
      </c>
      <c r="M368" s="391"/>
      <c r="N368" s="67">
        <v>44483</v>
      </c>
      <c r="O368" s="228"/>
      <c r="P368" s="108"/>
      <c r="Q368" s="60"/>
      <c r="R368" s="60"/>
      <c r="S368" s="60"/>
      <c r="T368" s="41"/>
      <c r="U368" s="37"/>
      <c r="V368" s="51"/>
      <c r="X368" s="35"/>
    </row>
    <row r="369" spans="2:24" x14ac:dyDescent="0.25">
      <c r="B369" s="405"/>
      <c r="C369" s="89">
        <v>3</v>
      </c>
      <c r="D369" s="203" t="s">
        <v>295</v>
      </c>
      <c r="E369" s="204"/>
      <c r="F369" s="204"/>
      <c r="G369" s="204"/>
      <c r="H369" s="99" t="str">
        <f>CONCATENATE($L$7,"-",LEFT(C369,3),"-",LEFT(D369,3),LEFT(I369,3),"-",LEFT(J369,3),"-",4)</f>
        <v>CGK-3-PAIFRA-BIG-4</v>
      </c>
      <c r="I369" s="154" t="s">
        <v>296</v>
      </c>
      <c r="J369" s="155" t="s">
        <v>218</v>
      </c>
      <c r="K369" s="157" t="s">
        <v>423</v>
      </c>
      <c r="L369" s="153" t="s">
        <v>206</v>
      </c>
      <c r="M369" s="392"/>
      <c r="N369" s="67">
        <v>44483</v>
      </c>
      <c r="O369" s="228"/>
      <c r="P369" s="108"/>
      <c r="Q369" s="60"/>
      <c r="R369" s="60"/>
      <c r="S369" s="60"/>
      <c r="T369" s="41"/>
      <c r="U369" s="37"/>
      <c r="V369" s="51"/>
      <c r="X369" s="35"/>
    </row>
    <row r="370" spans="2:24" x14ac:dyDescent="0.25">
      <c r="B370" s="405"/>
      <c r="C370" s="89">
        <v>3</v>
      </c>
      <c r="D370" s="203" t="s">
        <v>295</v>
      </c>
      <c r="E370" s="204"/>
      <c r="F370" s="204"/>
      <c r="G370" s="204"/>
      <c r="H370" s="99" t="str">
        <f>CONCATENATE($L$7,"-",LEFT(C370,3),"-",LEFT(D370,3),LEFT(I370,3),"-",LEFT(J370,3),"-",1)</f>
        <v>CGK-3-PAIFRA-REG-1</v>
      </c>
      <c r="I370" s="154" t="s">
        <v>296</v>
      </c>
      <c r="J370" s="155" t="s">
        <v>340</v>
      </c>
      <c r="K370" s="157" t="s">
        <v>439</v>
      </c>
      <c r="L370" s="153" t="s">
        <v>206</v>
      </c>
      <c r="M370" s="393">
        <v>3</v>
      </c>
      <c r="N370" s="67">
        <v>44483</v>
      </c>
      <c r="O370" s="228"/>
      <c r="P370" s="108" t="s">
        <v>74</v>
      </c>
      <c r="Q370" s="60"/>
      <c r="R370" s="60"/>
      <c r="S370" s="60"/>
      <c r="T370" s="41"/>
      <c r="U370" s="37"/>
      <c r="V370" s="51"/>
      <c r="X370" s="35"/>
    </row>
    <row r="371" spans="2:24" x14ac:dyDescent="0.25">
      <c r="B371" s="405"/>
      <c r="C371" s="89">
        <v>3</v>
      </c>
      <c r="D371" s="203" t="s">
        <v>295</v>
      </c>
      <c r="E371" s="204"/>
      <c r="F371" s="204"/>
      <c r="G371" s="204"/>
      <c r="H371" s="99" t="str">
        <f>CONCATENATE($L$7,"-",LEFT(C371,3),"-",LEFT(D371,3),LEFT(I371,3),"-",LEFT(J371,3),"-",2)</f>
        <v>CGK-3-PAIFRA-REG-2</v>
      </c>
      <c r="I371" s="154" t="s">
        <v>296</v>
      </c>
      <c r="J371" s="155" t="s">
        <v>340</v>
      </c>
      <c r="K371" s="157" t="s">
        <v>239</v>
      </c>
      <c r="L371" s="153" t="s">
        <v>206</v>
      </c>
      <c r="M371" s="394"/>
      <c r="N371" s="67">
        <v>44483</v>
      </c>
      <c r="O371" s="228"/>
      <c r="P371" s="108"/>
      <c r="Q371" s="60"/>
      <c r="R371" s="60"/>
      <c r="S371" s="60"/>
      <c r="T371" s="41"/>
      <c r="U371" s="37"/>
      <c r="V371" s="51"/>
      <c r="X371" s="35"/>
    </row>
    <row r="372" spans="2:24" x14ac:dyDescent="0.25">
      <c r="B372" s="405"/>
      <c r="C372" s="89">
        <v>3</v>
      </c>
      <c r="D372" s="203" t="s">
        <v>295</v>
      </c>
      <c r="E372" s="204"/>
      <c r="F372" s="204"/>
      <c r="G372" s="204"/>
      <c r="H372" s="99" t="str">
        <f>CONCATENATE($L$7,"-",LEFT(C372,3),"-",LEFT(D372,3),LEFT(I372,3),"-",LEFT(J372,3),"-",3)</f>
        <v>CGK-3-PAIFRA-REG-3</v>
      </c>
      <c r="I372" s="154" t="s">
        <v>296</v>
      </c>
      <c r="J372" s="155" t="s">
        <v>340</v>
      </c>
      <c r="K372" s="157" t="s">
        <v>445</v>
      </c>
      <c r="L372" s="153" t="s">
        <v>206</v>
      </c>
      <c r="M372" s="395"/>
      <c r="N372" s="67">
        <v>44483</v>
      </c>
      <c r="O372" s="228"/>
      <c r="P372" s="108"/>
      <c r="Q372" s="60"/>
      <c r="R372" s="60"/>
      <c r="S372" s="60"/>
      <c r="T372" s="41"/>
      <c r="U372" s="37"/>
      <c r="V372" s="51"/>
      <c r="X372" s="35"/>
    </row>
    <row r="373" spans="2:24" x14ac:dyDescent="0.25">
      <c r="B373" s="405"/>
      <c r="C373" s="89">
        <v>3</v>
      </c>
      <c r="D373" s="203" t="s">
        <v>295</v>
      </c>
      <c r="E373" s="204"/>
      <c r="F373" s="204"/>
      <c r="G373" s="204"/>
      <c r="H373" s="99" t="str">
        <f>CONCATENATE($L$7,"-",LEFT(C373,3),"-",LEFT(D373,3),LEFT(I373,3),"-",LEFT(J373,3),"-",1)</f>
        <v>CGK-3-PAIFRA-SMA-1</v>
      </c>
      <c r="I373" s="154" t="s">
        <v>296</v>
      </c>
      <c r="J373" s="155" t="s">
        <v>138</v>
      </c>
      <c r="K373" s="157" t="s">
        <v>424</v>
      </c>
      <c r="L373" s="153" t="s">
        <v>206</v>
      </c>
      <c r="M373" s="396">
        <v>8</v>
      </c>
      <c r="N373" s="67">
        <v>44483</v>
      </c>
      <c r="O373" s="228"/>
      <c r="P373" s="108" t="s">
        <v>74</v>
      </c>
      <c r="Q373" s="60"/>
      <c r="R373" s="60"/>
      <c r="S373" s="60"/>
      <c r="T373" s="41"/>
      <c r="U373" s="37"/>
      <c r="V373" s="51"/>
      <c r="X373" s="35"/>
    </row>
    <row r="374" spans="2:24" x14ac:dyDescent="0.25">
      <c r="B374" s="405"/>
      <c r="C374" s="89">
        <v>3</v>
      </c>
      <c r="D374" s="203" t="s">
        <v>295</v>
      </c>
      <c r="E374" s="204"/>
      <c r="F374" s="204"/>
      <c r="G374" s="204"/>
      <c r="H374" s="99" t="str">
        <f>CONCATENATE($L$7,"-",LEFT(C374,3),"-",LEFT(D374,3),LEFT(I374,3),"-",LEFT(J374,3),"-",2)</f>
        <v>CGK-3-PAIFRA-SMA-2</v>
      </c>
      <c r="I374" s="154" t="s">
        <v>296</v>
      </c>
      <c r="J374" s="155" t="s">
        <v>138</v>
      </c>
      <c r="K374" s="157" t="s">
        <v>424</v>
      </c>
      <c r="L374" s="153" t="s">
        <v>206</v>
      </c>
      <c r="M374" s="397"/>
      <c r="N374" s="67">
        <v>44483</v>
      </c>
      <c r="O374" s="228"/>
      <c r="P374" s="108"/>
      <c r="Q374" s="60"/>
      <c r="R374" s="60"/>
      <c r="S374" s="60"/>
      <c r="T374" s="41"/>
      <c r="U374" s="37"/>
      <c r="V374" s="51"/>
      <c r="X374" s="35"/>
    </row>
    <row r="375" spans="2:24" x14ac:dyDescent="0.25">
      <c r="B375" s="405"/>
      <c r="C375" s="89">
        <v>3</v>
      </c>
      <c r="D375" s="203" t="s">
        <v>295</v>
      </c>
      <c r="E375" s="204"/>
      <c r="F375" s="204"/>
      <c r="G375" s="204"/>
      <c r="H375" s="99" t="str">
        <f>CONCATENATE($L$7,"-",LEFT(C375,3),"-",LEFT(D375,3),LEFT(I375,3),"-",LEFT(J375,3),"-",3)</f>
        <v>CGK-3-PAIFRA-SMA-3</v>
      </c>
      <c r="I375" s="154" t="s">
        <v>296</v>
      </c>
      <c r="J375" s="155" t="s">
        <v>138</v>
      </c>
      <c r="K375" s="157" t="s">
        <v>445</v>
      </c>
      <c r="L375" s="153" t="s">
        <v>206</v>
      </c>
      <c r="M375" s="397"/>
      <c r="N375" s="67">
        <v>44483</v>
      </c>
      <c r="O375" s="228"/>
      <c r="P375" s="108"/>
      <c r="Q375" s="60"/>
      <c r="R375" s="60"/>
      <c r="S375" s="60"/>
      <c r="T375" s="41"/>
      <c r="U375" s="37"/>
      <c r="V375" s="51"/>
      <c r="X375" s="35"/>
    </row>
    <row r="376" spans="2:24" x14ac:dyDescent="0.25">
      <c r="B376" s="405"/>
      <c r="C376" s="89">
        <v>3</v>
      </c>
      <c r="D376" s="203" t="s">
        <v>295</v>
      </c>
      <c r="E376" s="204"/>
      <c r="F376" s="204"/>
      <c r="G376" s="204"/>
      <c r="H376" s="99" t="str">
        <f>CONCATENATE($L$7,"-",LEFT(C376,3),"-",LEFT(D376,3),LEFT(I376,3),"-",LEFT(J376,3),"-",4)</f>
        <v>CGK-3-PAIFRA-SMA-4</v>
      </c>
      <c r="I376" s="154" t="s">
        <v>296</v>
      </c>
      <c r="J376" s="155" t="s">
        <v>138</v>
      </c>
      <c r="K376" s="157" t="s">
        <v>445</v>
      </c>
      <c r="L376" s="153" t="s">
        <v>206</v>
      </c>
      <c r="M376" s="397"/>
      <c r="N376" s="67">
        <v>44483</v>
      </c>
      <c r="O376" s="228"/>
      <c r="P376" s="108"/>
      <c r="Q376" s="60"/>
      <c r="R376" s="60"/>
      <c r="S376" s="60"/>
      <c r="T376" s="41"/>
      <c r="U376" s="37"/>
      <c r="V376" s="51"/>
      <c r="X376" s="35"/>
    </row>
    <row r="377" spans="2:24" x14ac:dyDescent="0.25">
      <c r="B377" s="405"/>
      <c r="C377" s="89">
        <v>3</v>
      </c>
      <c r="D377" s="203" t="s">
        <v>295</v>
      </c>
      <c r="E377" s="204"/>
      <c r="F377" s="204"/>
      <c r="G377" s="204"/>
      <c r="H377" s="99" t="str">
        <f>CONCATENATE($L$7,"-",LEFT(C377,3),"-",LEFT(D377,3),LEFT(I377,3),"-",LEFT(J377,3),"-",5)</f>
        <v>CGK-3-PAIFRA-SMA-5</v>
      </c>
      <c r="I377" s="154" t="s">
        <v>296</v>
      </c>
      <c r="J377" s="155" t="s">
        <v>138</v>
      </c>
      <c r="K377" s="157" t="s">
        <v>445</v>
      </c>
      <c r="L377" s="153" t="s">
        <v>206</v>
      </c>
      <c r="M377" s="397"/>
      <c r="N377" s="67">
        <v>44483</v>
      </c>
      <c r="O377" s="228"/>
      <c r="P377" s="108"/>
      <c r="Q377" s="60"/>
      <c r="R377" s="60"/>
      <c r="S377" s="60"/>
      <c r="T377" s="41"/>
      <c r="U377" s="37"/>
      <c r="V377" s="51"/>
      <c r="X377" s="35"/>
    </row>
    <row r="378" spans="2:24" x14ac:dyDescent="0.25">
      <c r="B378" s="405"/>
      <c r="C378" s="89">
        <v>3</v>
      </c>
      <c r="D378" s="203" t="s">
        <v>295</v>
      </c>
      <c r="E378" s="204"/>
      <c r="F378" s="204"/>
      <c r="G378" s="204"/>
      <c r="H378" s="99" t="str">
        <f>CONCATENATE($L$7,"-",LEFT(C378,3),"-",LEFT(D378,3),LEFT(I378,3),"-",LEFT(J378,3),"-",6)</f>
        <v>CGK-3-PAIFRA-SMA-6</v>
      </c>
      <c r="I378" s="154" t="s">
        <v>296</v>
      </c>
      <c r="J378" s="155" t="s">
        <v>138</v>
      </c>
      <c r="K378" s="157" t="s">
        <v>445</v>
      </c>
      <c r="L378" s="153" t="s">
        <v>206</v>
      </c>
      <c r="M378" s="397"/>
      <c r="N378" s="67">
        <v>44483</v>
      </c>
      <c r="O378" s="228"/>
      <c r="P378" s="108"/>
      <c r="Q378" s="60"/>
      <c r="R378" s="60"/>
      <c r="S378" s="60"/>
      <c r="T378" s="41"/>
      <c r="U378" s="37"/>
      <c r="V378" s="51"/>
      <c r="X378" s="35"/>
    </row>
    <row r="379" spans="2:24" x14ac:dyDescent="0.25">
      <c r="B379" s="405"/>
      <c r="C379" s="89">
        <v>3</v>
      </c>
      <c r="D379" s="203" t="s">
        <v>295</v>
      </c>
      <c r="E379" s="204"/>
      <c r="F379" s="204"/>
      <c r="G379" s="204"/>
      <c r="H379" s="99" t="str">
        <f>CONCATENATE($L$7,"-",LEFT(C379,3),"-",LEFT(D379,3),LEFT(I379,3),"-",LEFT(J379,3),"-",7)</f>
        <v>CGK-3-PAIFRA-SMA-7</v>
      </c>
      <c r="I379" s="154" t="s">
        <v>296</v>
      </c>
      <c r="J379" s="155" t="s">
        <v>138</v>
      </c>
      <c r="K379" s="157" t="s">
        <v>430</v>
      </c>
      <c r="L379" s="153" t="s">
        <v>206</v>
      </c>
      <c r="M379" s="397"/>
      <c r="N379" s="67">
        <v>44483</v>
      </c>
      <c r="O379" s="228"/>
      <c r="P379" s="108"/>
      <c r="Q379" s="60"/>
      <c r="R379" s="60"/>
      <c r="S379" s="60"/>
      <c r="T379" s="41"/>
      <c r="U379" s="37"/>
      <c r="V379" s="51"/>
      <c r="X379" s="35"/>
    </row>
    <row r="380" spans="2:24" x14ac:dyDescent="0.25">
      <c r="B380" s="405"/>
      <c r="C380" s="89">
        <v>3</v>
      </c>
      <c r="D380" s="203" t="s">
        <v>295</v>
      </c>
      <c r="E380" s="204"/>
      <c r="F380" s="204"/>
      <c r="G380" s="204"/>
      <c r="H380" s="99" t="str">
        <f>CONCATENATE($L$7,"-",LEFT(C380,3),"-",LEFT(D380,3),LEFT(I380,3),"-",LEFT(J380,3),"-",8)</f>
        <v>CGK-3-PAIFRA-SMA-8</v>
      </c>
      <c r="I380" s="154" t="s">
        <v>296</v>
      </c>
      <c r="J380" s="155" t="s">
        <v>138</v>
      </c>
      <c r="K380" s="157" t="s">
        <v>430</v>
      </c>
      <c r="L380" s="153" t="s">
        <v>206</v>
      </c>
      <c r="M380" s="398"/>
      <c r="N380" s="67">
        <v>44483</v>
      </c>
      <c r="O380" s="228"/>
      <c r="P380" s="108"/>
      <c r="Q380" s="60"/>
      <c r="R380" s="60"/>
      <c r="S380" s="60"/>
      <c r="T380" s="41"/>
      <c r="U380" s="37"/>
      <c r="V380" s="51"/>
      <c r="X380" s="35"/>
    </row>
    <row r="381" spans="2:24" x14ac:dyDescent="0.25">
      <c r="B381" s="405"/>
      <c r="C381" s="89">
        <v>3</v>
      </c>
      <c r="D381" s="203" t="s">
        <v>182</v>
      </c>
      <c r="E381" s="204"/>
      <c r="F381" s="204"/>
      <c r="G381" s="204"/>
      <c r="H381" s="99" t="str">
        <f>CONCATENATE($L$7,"-",LEFT(C381,3),"-",LEFT(D381,3),LEFT(I381,3),"-",LEFT(J381,3))</f>
        <v>CGK-3-TEL-RED</v>
      </c>
      <c r="I381" s="154"/>
      <c r="J381" s="155" t="s">
        <v>220</v>
      </c>
      <c r="K381" s="157" t="s">
        <v>359</v>
      </c>
      <c r="L381" s="153" t="s">
        <v>206</v>
      </c>
      <c r="M381" s="238">
        <f>'[1]TOTAL R. ATAS'!$F$63</f>
        <v>0</v>
      </c>
      <c r="N381" s="67">
        <v>44483</v>
      </c>
      <c r="O381" s="228"/>
      <c r="P381" s="108" t="s">
        <v>73</v>
      </c>
      <c r="Q381" s="60"/>
      <c r="R381" s="60"/>
      <c r="S381" s="60"/>
      <c r="T381" s="41"/>
      <c r="U381" s="37"/>
      <c r="V381" s="51"/>
      <c r="X381" s="35"/>
    </row>
    <row r="382" spans="2:24" x14ac:dyDescent="0.25">
      <c r="B382" s="405"/>
      <c r="C382" s="89">
        <v>3</v>
      </c>
      <c r="D382" s="203" t="s">
        <v>183</v>
      </c>
      <c r="E382" s="204"/>
      <c r="F382" s="204"/>
      <c r="G382" s="204"/>
      <c r="H382" s="99" t="str">
        <f>CONCATENATE($L$7,"-",LEFT(C382,3),"-",LEFT(D382,3),LEFT(I382,3),"-",LEFT(J382,3))</f>
        <v>CGK-3-REMAC -SHA</v>
      </c>
      <c r="I382" s="154" t="s">
        <v>23</v>
      </c>
      <c r="J382" s="155" t="s">
        <v>133</v>
      </c>
      <c r="K382" s="157" t="s">
        <v>420</v>
      </c>
      <c r="L382" s="153" t="s">
        <v>206</v>
      </c>
      <c r="M382" s="238">
        <v>1</v>
      </c>
      <c r="N382" s="67">
        <v>44483</v>
      </c>
      <c r="O382" s="228"/>
      <c r="P382" s="108" t="s">
        <v>73</v>
      </c>
      <c r="Q382" s="61"/>
      <c r="R382" s="61"/>
      <c r="S382" s="61"/>
      <c r="T382" s="44"/>
      <c r="U382" s="38"/>
      <c r="V382" s="53"/>
      <c r="X382" s="35"/>
    </row>
    <row r="383" spans="2:24" x14ac:dyDescent="0.25">
      <c r="B383" s="405"/>
      <c r="C383" s="89">
        <v>3</v>
      </c>
      <c r="D383" s="203" t="s">
        <v>183</v>
      </c>
      <c r="E383" s="204"/>
      <c r="F383" s="204"/>
      <c r="G383" s="204"/>
      <c r="H383" s="99" t="str">
        <f>CONCATENATE($L$7,"-",LEFT(C383,3),"-",LEFT(D383,3),LEFT(I383,3),"-",LEFT(J383,3),"-",1)</f>
        <v>CGK-3-REMAC -GRE-1</v>
      </c>
      <c r="I383" s="154" t="s">
        <v>23</v>
      </c>
      <c r="J383" s="155" t="s">
        <v>135</v>
      </c>
      <c r="K383" s="157" t="s">
        <v>418</v>
      </c>
      <c r="L383" s="153" t="s">
        <v>206</v>
      </c>
      <c r="M383" s="390">
        <v>2</v>
      </c>
      <c r="N383" s="67">
        <v>44483</v>
      </c>
      <c r="O383" s="228"/>
      <c r="P383" s="108" t="s">
        <v>73</v>
      </c>
      <c r="Q383" s="60"/>
      <c r="R383" s="60"/>
      <c r="S383" s="60"/>
      <c r="T383" s="41"/>
      <c r="U383" s="37"/>
      <c r="V383" s="51"/>
      <c r="X383" s="35"/>
    </row>
    <row r="384" spans="2:24" x14ac:dyDescent="0.25">
      <c r="B384" s="405"/>
      <c r="C384" s="89">
        <v>3</v>
      </c>
      <c r="D384" s="203" t="s">
        <v>183</v>
      </c>
      <c r="E384" s="204"/>
      <c r="F384" s="204"/>
      <c r="G384" s="204"/>
      <c r="H384" s="99" t="str">
        <f>CONCATENATE($L$7,"-",LEFT(C384,3),"-",LEFT(D384,3),LEFT(I384,3),"-",LEFT(J384,3),"-",2)</f>
        <v>CGK-3-REMAC -GRE-2</v>
      </c>
      <c r="I384" s="154" t="s">
        <v>23</v>
      </c>
      <c r="J384" s="155" t="s">
        <v>135</v>
      </c>
      <c r="K384" s="157" t="s">
        <v>443</v>
      </c>
      <c r="L384" s="153" t="s">
        <v>206</v>
      </c>
      <c r="M384" s="392"/>
      <c r="N384" s="67">
        <v>44483</v>
      </c>
      <c r="O384" s="228"/>
      <c r="P384" s="108"/>
      <c r="Q384" s="60"/>
      <c r="R384" s="60"/>
      <c r="S384" s="60"/>
      <c r="T384" s="41"/>
      <c r="U384" s="37"/>
      <c r="V384" s="51"/>
      <c r="X384" s="35"/>
    </row>
    <row r="385" spans="2:24" x14ac:dyDescent="0.25">
      <c r="B385" s="405"/>
      <c r="C385" s="89">
        <v>3</v>
      </c>
      <c r="D385" s="203" t="s">
        <v>183</v>
      </c>
      <c r="E385" s="204"/>
      <c r="F385" s="204"/>
      <c r="G385" s="204"/>
      <c r="H385" s="99" t="str">
        <f>CONCATENATE($L$7,"-",LEFT(C385,3),"-",LEFT(D385,3),LEFT(I385,3),"-",LEFT(J385,3),"-",1)</f>
        <v>CGK-3-REMAC -PAN-1</v>
      </c>
      <c r="I385" s="154" t="s">
        <v>23</v>
      </c>
      <c r="J385" s="155" t="s">
        <v>134</v>
      </c>
      <c r="K385" s="157" t="s">
        <v>439</v>
      </c>
      <c r="L385" s="153" t="s">
        <v>206</v>
      </c>
      <c r="M385" s="390">
        <v>3</v>
      </c>
      <c r="N385" s="67">
        <v>44483</v>
      </c>
      <c r="O385" s="228"/>
      <c r="P385" s="108" t="s">
        <v>73</v>
      </c>
      <c r="Q385" s="60"/>
      <c r="R385" s="60"/>
      <c r="S385" s="60"/>
      <c r="T385" s="41"/>
      <c r="U385" s="37"/>
      <c r="V385" s="51"/>
      <c r="X385" s="35"/>
    </row>
    <row r="386" spans="2:24" x14ac:dyDescent="0.25">
      <c r="B386" s="405"/>
      <c r="C386" s="89">
        <v>3</v>
      </c>
      <c r="D386" s="203" t="s">
        <v>183</v>
      </c>
      <c r="E386" s="204"/>
      <c r="F386" s="204"/>
      <c r="G386" s="204"/>
      <c r="H386" s="99" t="str">
        <f>CONCATENATE($L$7,"-",LEFT(C386,3),"-",LEFT(D386,3),LEFT(I386,3),"-",LEFT(J386,3),"-",2)</f>
        <v>CGK-3-REMAC -PAN-2</v>
      </c>
      <c r="I386" s="154" t="s">
        <v>23</v>
      </c>
      <c r="J386" s="155" t="s">
        <v>134</v>
      </c>
      <c r="K386" s="157" t="s">
        <v>239</v>
      </c>
      <c r="L386" s="153" t="s">
        <v>206</v>
      </c>
      <c r="M386" s="391"/>
      <c r="N386" s="67">
        <v>44483</v>
      </c>
      <c r="O386" s="228"/>
      <c r="P386" s="108"/>
      <c r="Q386" s="60"/>
      <c r="R386" s="60"/>
      <c r="S386" s="60"/>
      <c r="T386" s="41"/>
      <c r="U386" s="37"/>
      <c r="V386" s="51"/>
      <c r="X386" s="35"/>
    </row>
    <row r="387" spans="2:24" x14ac:dyDescent="0.25">
      <c r="B387" s="405"/>
      <c r="C387" s="89">
        <v>3</v>
      </c>
      <c r="D387" s="203" t="s">
        <v>183</v>
      </c>
      <c r="E387" s="204"/>
      <c r="F387" s="204"/>
      <c r="G387" s="204"/>
      <c r="H387" s="99" t="str">
        <f>CONCATENATE($L$7,"-",LEFT(C387,3),"-",LEFT(D387,3),LEFT(I387,3),"-",LEFT(J387,3),"-",3)</f>
        <v>CGK-3-REMAC -PAN-3</v>
      </c>
      <c r="I387" s="154" t="s">
        <v>23</v>
      </c>
      <c r="J387" s="155" t="s">
        <v>134</v>
      </c>
      <c r="K387" s="157" t="s">
        <v>419</v>
      </c>
      <c r="L387" s="153" t="s">
        <v>206</v>
      </c>
      <c r="M387" s="392"/>
      <c r="N387" s="67">
        <v>44483</v>
      </c>
      <c r="O387" s="228"/>
      <c r="P387" s="108"/>
      <c r="Q387" s="60"/>
      <c r="R387" s="60"/>
      <c r="S387" s="60"/>
      <c r="T387" s="41"/>
      <c r="U387" s="37"/>
      <c r="V387" s="51"/>
      <c r="X387" s="35"/>
    </row>
    <row r="388" spans="2:24" x14ac:dyDescent="0.25">
      <c r="B388" s="405"/>
      <c r="C388" s="89">
        <v>3</v>
      </c>
      <c r="D388" s="203" t="s">
        <v>183</v>
      </c>
      <c r="E388" s="204"/>
      <c r="F388" s="204"/>
      <c r="G388" s="204"/>
      <c r="H388" s="99" t="str">
        <f>CONCATENATE($L$7,"-",LEFT(C388,3),"-",LEFT(D388,3),LEFT(I388,3),"-",LEFT(J388,3))</f>
        <v>CGK-3-REMAC -SAN</v>
      </c>
      <c r="I388" s="154" t="s">
        <v>23</v>
      </c>
      <c r="J388" s="155" t="s">
        <v>136</v>
      </c>
      <c r="K388" s="157" t="s">
        <v>359</v>
      </c>
      <c r="L388" s="153" t="s">
        <v>206</v>
      </c>
      <c r="M388" s="238">
        <f>'[1]TOTAL R. ATAS'!$F$63</f>
        <v>0</v>
      </c>
      <c r="N388" s="67">
        <v>44483</v>
      </c>
      <c r="O388" s="228"/>
      <c r="P388" s="108" t="s">
        <v>73</v>
      </c>
      <c r="Q388" s="60"/>
      <c r="R388" s="60"/>
      <c r="S388" s="60"/>
      <c r="T388" s="41"/>
      <c r="U388" s="37"/>
      <c r="V388" s="51"/>
      <c r="X388" s="35"/>
    </row>
    <row r="389" spans="2:24" x14ac:dyDescent="0.25">
      <c r="B389" s="405"/>
      <c r="C389" s="89">
        <v>3</v>
      </c>
      <c r="D389" s="203" t="s">
        <v>183</v>
      </c>
      <c r="E389" s="204"/>
      <c r="F389" s="204"/>
      <c r="G389" s="204"/>
      <c r="H389" s="99" t="str">
        <f>CONCATENATE($L$7,"-",LEFT(C389,3),"-",LEFT(D389,3),LEFT(I389,3),"-",LEFT(J389,3),"-",1)</f>
        <v>CGK-3-REMAC -DAI-1</v>
      </c>
      <c r="I389" s="154" t="s">
        <v>23</v>
      </c>
      <c r="J389" s="155" t="s">
        <v>137</v>
      </c>
      <c r="K389" s="157" t="s">
        <v>424</v>
      </c>
      <c r="L389" s="153" t="s">
        <v>206</v>
      </c>
      <c r="M389" s="390">
        <v>4</v>
      </c>
      <c r="N389" s="67">
        <v>44483</v>
      </c>
      <c r="O389" s="228"/>
      <c r="P389" s="108" t="s">
        <v>73</v>
      </c>
      <c r="Q389" s="60"/>
      <c r="R389" s="60"/>
      <c r="S389" s="60"/>
      <c r="T389" s="41"/>
      <c r="U389" s="37"/>
      <c r="V389" s="51"/>
      <c r="X389" s="35"/>
    </row>
    <row r="390" spans="2:24" x14ac:dyDescent="0.25">
      <c r="B390" s="405"/>
      <c r="C390" s="89">
        <v>3</v>
      </c>
      <c r="D390" s="203" t="s">
        <v>183</v>
      </c>
      <c r="E390" s="204"/>
      <c r="F390" s="204"/>
      <c r="G390" s="204"/>
      <c r="H390" s="99" t="str">
        <f>CONCATENATE($L$7,"-",LEFT(C390,3),"-",LEFT(D390,3),LEFT(I390,3),"-",LEFT(J390,3),"-",2)</f>
        <v>CGK-3-REMAC -DAI-2</v>
      </c>
      <c r="I390" s="154" t="s">
        <v>23</v>
      </c>
      <c r="J390" s="155" t="s">
        <v>137</v>
      </c>
      <c r="K390" s="157" t="s">
        <v>423</v>
      </c>
      <c r="L390" s="153" t="s">
        <v>206</v>
      </c>
      <c r="M390" s="391"/>
      <c r="N390" s="67">
        <v>44483</v>
      </c>
      <c r="O390" s="228"/>
      <c r="P390" s="108"/>
      <c r="Q390" s="60"/>
      <c r="R390" s="60"/>
      <c r="S390" s="60"/>
      <c r="T390" s="41"/>
      <c r="U390" s="37"/>
      <c r="V390" s="51"/>
      <c r="X390" s="35"/>
    </row>
    <row r="391" spans="2:24" x14ac:dyDescent="0.25">
      <c r="B391" s="405"/>
      <c r="C391" s="89">
        <v>3</v>
      </c>
      <c r="D391" s="203" t="s">
        <v>183</v>
      </c>
      <c r="E391" s="204"/>
      <c r="F391" s="204"/>
      <c r="G391" s="204"/>
      <c r="H391" s="99" t="str">
        <f>CONCATENATE($L$7,"-",LEFT(C391,3),"-",LEFT(D391,3),LEFT(I391,3),"-",LEFT(J391,3),"-",3)</f>
        <v>CGK-3-REMAC -DAI-3</v>
      </c>
      <c r="I391" s="154" t="s">
        <v>23</v>
      </c>
      <c r="J391" s="155" t="s">
        <v>137</v>
      </c>
      <c r="K391" s="157" t="s">
        <v>432</v>
      </c>
      <c r="L391" s="153" t="s">
        <v>206</v>
      </c>
      <c r="M391" s="391"/>
      <c r="N391" s="67">
        <v>44483</v>
      </c>
      <c r="O391" s="228"/>
      <c r="P391" s="108"/>
      <c r="Q391" s="60"/>
      <c r="R391" s="60"/>
      <c r="S391" s="60"/>
      <c r="T391" s="41"/>
      <c r="U391" s="37"/>
      <c r="V391" s="51"/>
      <c r="X391" s="35"/>
    </row>
    <row r="392" spans="2:24" x14ac:dyDescent="0.25">
      <c r="B392" s="405"/>
      <c r="C392" s="89">
        <v>3</v>
      </c>
      <c r="D392" s="203" t="s">
        <v>183</v>
      </c>
      <c r="E392" s="204"/>
      <c r="F392" s="204"/>
      <c r="G392" s="204"/>
      <c r="H392" s="99" t="str">
        <f>CONCATENATE($L$7,"-",LEFT(C392,3),"-",LEFT(D392,3),LEFT(I392,3),"-",LEFT(J392,3),"-",4)</f>
        <v>CGK-3-REMAC -DAI-4</v>
      </c>
      <c r="I392" s="154" t="s">
        <v>23</v>
      </c>
      <c r="J392" s="155" t="s">
        <v>137</v>
      </c>
      <c r="K392" s="157" t="s">
        <v>425</v>
      </c>
      <c r="L392" s="153" t="s">
        <v>206</v>
      </c>
      <c r="M392" s="392"/>
      <c r="N392" s="67">
        <v>44483</v>
      </c>
      <c r="O392" s="228"/>
      <c r="P392" s="108"/>
      <c r="Q392" s="60"/>
      <c r="R392" s="60"/>
      <c r="S392" s="60"/>
      <c r="T392" s="41"/>
      <c r="U392" s="37"/>
      <c r="V392" s="51"/>
      <c r="X392" s="35"/>
    </row>
    <row r="393" spans="2:24" x14ac:dyDescent="0.25">
      <c r="B393" s="405"/>
      <c r="C393" s="89">
        <v>3</v>
      </c>
      <c r="D393" s="203" t="s">
        <v>183</v>
      </c>
      <c r="E393" s="204"/>
      <c r="F393" s="204"/>
      <c r="G393" s="204"/>
      <c r="H393" s="99" t="str">
        <f t="shared" ref="H393:H401" si="6">CONCATENATE($L$7,"-",LEFT(C393,3),"-",LEFT(D393,3),LEFT(I393,3),"-",LEFT(J393,3))</f>
        <v>CGK-3-REMAC -CHA</v>
      </c>
      <c r="I393" s="154" t="s">
        <v>23</v>
      </c>
      <c r="J393" s="155" t="s">
        <v>339</v>
      </c>
      <c r="K393" s="157" t="s">
        <v>395</v>
      </c>
      <c r="L393" s="153" t="s">
        <v>206</v>
      </c>
      <c r="M393" s="238">
        <v>1</v>
      </c>
      <c r="N393" s="67">
        <v>44483</v>
      </c>
      <c r="O393" s="228"/>
      <c r="P393" s="108" t="s">
        <v>73</v>
      </c>
      <c r="Q393" s="60"/>
      <c r="R393" s="60"/>
      <c r="S393" s="60"/>
      <c r="T393" s="41"/>
      <c r="U393" s="37"/>
      <c r="V393" s="51"/>
      <c r="X393" s="35"/>
    </row>
    <row r="394" spans="2:24" x14ac:dyDescent="0.25">
      <c r="B394" s="405"/>
      <c r="C394" s="89">
        <v>3</v>
      </c>
      <c r="D394" s="203" t="s">
        <v>57</v>
      </c>
      <c r="E394" s="204"/>
      <c r="F394" s="204"/>
      <c r="G394" s="204"/>
      <c r="H394" s="99" t="str">
        <f t="shared" si="6"/>
        <v xml:space="preserve">CGK-3-TVSHA-50 </v>
      </c>
      <c r="I394" s="154" t="s">
        <v>133</v>
      </c>
      <c r="J394" s="155" t="s">
        <v>184</v>
      </c>
      <c r="K394" s="157" t="s">
        <v>457</v>
      </c>
      <c r="L394" s="153" t="s">
        <v>206</v>
      </c>
      <c r="M394" s="238">
        <v>1</v>
      </c>
      <c r="N394" s="67">
        <v>44483</v>
      </c>
      <c r="O394" s="228"/>
      <c r="P394" s="108" t="s">
        <v>73</v>
      </c>
      <c r="Q394" s="60"/>
      <c r="R394" s="60"/>
      <c r="S394" s="60"/>
      <c r="T394" s="41"/>
      <c r="U394" s="37"/>
      <c r="V394" s="51"/>
      <c r="X394" s="35"/>
    </row>
    <row r="395" spans="2:24" x14ac:dyDescent="0.25">
      <c r="B395" s="405"/>
      <c r="C395" s="89">
        <v>3</v>
      </c>
      <c r="D395" s="203" t="s">
        <v>57</v>
      </c>
      <c r="E395" s="204"/>
      <c r="F395" s="204"/>
      <c r="G395" s="204"/>
      <c r="H395" s="99" t="str">
        <f t="shared" si="6"/>
        <v xml:space="preserve">CGK-3-TVPOL-32 </v>
      </c>
      <c r="I395" s="154" t="s">
        <v>305</v>
      </c>
      <c r="J395" s="155" t="s">
        <v>307</v>
      </c>
      <c r="K395" s="157" t="s">
        <v>433</v>
      </c>
      <c r="L395" s="153" t="s">
        <v>206</v>
      </c>
      <c r="M395" s="238">
        <v>1</v>
      </c>
      <c r="N395" s="67">
        <v>44483</v>
      </c>
      <c r="O395" s="228"/>
      <c r="P395" s="108" t="s">
        <v>73</v>
      </c>
      <c r="Q395" s="60"/>
      <c r="R395" s="60"/>
      <c r="S395" s="60"/>
      <c r="T395" s="41"/>
      <c r="U395" s="37"/>
      <c r="V395" s="51"/>
      <c r="X395" s="35"/>
    </row>
    <row r="396" spans="2:24" x14ac:dyDescent="0.25">
      <c r="B396" s="405"/>
      <c r="C396" s="89">
        <v>3</v>
      </c>
      <c r="D396" s="203" t="s">
        <v>57</v>
      </c>
      <c r="E396" s="204"/>
      <c r="F396" s="204"/>
      <c r="G396" s="204"/>
      <c r="H396" s="99" t="str">
        <f t="shared" si="6"/>
        <v xml:space="preserve">CGK-3-TVSAM-32 </v>
      </c>
      <c r="I396" s="154" t="s">
        <v>221</v>
      </c>
      <c r="J396" s="155" t="s">
        <v>307</v>
      </c>
      <c r="K396" s="157" t="s">
        <v>441</v>
      </c>
      <c r="L396" s="153" t="s">
        <v>206</v>
      </c>
      <c r="M396" s="238">
        <v>1</v>
      </c>
      <c r="N396" s="67">
        <v>44483</v>
      </c>
      <c r="O396" s="228"/>
      <c r="P396" s="108" t="s">
        <v>73</v>
      </c>
      <c r="Q396" s="60"/>
      <c r="R396" s="60" t="s">
        <v>325</v>
      </c>
      <c r="S396" s="60" t="s">
        <v>326</v>
      </c>
      <c r="T396" s="41"/>
      <c r="U396" s="37"/>
      <c r="V396" s="51"/>
      <c r="X396" s="35"/>
    </row>
    <row r="397" spans="2:24" x14ac:dyDescent="0.25">
      <c r="B397" s="405"/>
      <c r="C397" s="89">
        <v>3</v>
      </c>
      <c r="D397" s="203" t="s">
        <v>57</v>
      </c>
      <c r="E397" s="204"/>
      <c r="F397" s="204"/>
      <c r="G397" s="204"/>
      <c r="H397" s="99" t="str">
        <f t="shared" si="6"/>
        <v xml:space="preserve">CGK-3-TVPAN-32 </v>
      </c>
      <c r="I397" s="154" t="s">
        <v>134</v>
      </c>
      <c r="J397" s="155" t="s">
        <v>307</v>
      </c>
      <c r="K397" s="157" t="s">
        <v>359</v>
      </c>
      <c r="L397" s="153" t="s">
        <v>206</v>
      </c>
      <c r="M397" s="238">
        <f>'[1]TOTAL R. ATAS'!$F$63</f>
        <v>0</v>
      </c>
      <c r="N397" s="67">
        <v>44483</v>
      </c>
      <c r="O397" s="228"/>
      <c r="P397" s="108" t="s">
        <v>73</v>
      </c>
      <c r="Q397" s="60"/>
      <c r="R397" s="60"/>
      <c r="S397" s="60"/>
      <c r="T397" s="41"/>
      <c r="U397" s="37"/>
      <c r="V397" s="51"/>
      <c r="X397" s="35"/>
    </row>
    <row r="398" spans="2:24" x14ac:dyDescent="0.25">
      <c r="B398" s="405"/>
      <c r="C398" s="89">
        <v>3</v>
      </c>
      <c r="D398" s="203" t="s">
        <v>57</v>
      </c>
      <c r="E398" s="204"/>
      <c r="F398" s="204"/>
      <c r="G398" s="204"/>
      <c r="H398" s="99" t="str">
        <f t="shared" si="6"/>
        <v>CGK-3-TVAKA- 50</v>
      </c>
      <c r="I398" s="154" t="s">
        <v>338</v>
      </c>
      <c r="J398" s="155" t="s">
        <v>341</v>
      </c>
      <c r="K398" s="157" t="s">
        <v>418</v>
      </c>
      <c r="L398" s="153" t="s">
        <v>206</v>
      </c>
      <c r="M398" s="238">
        <v>1</v>
      </c>
      <c r="N398" s="67">
        <v>44483</v>
      </c>
      <c r="O398" s="228"/>
      <c r="P398" s="108" t="s">
        <v>73</v>
      </c>
      <c r="Q398" s="60"/>
      <c r="R398" s="60"/>
      <c r="S398" s="60"/>
      <c r="T398" s="41"/>
      <c r="U398" s="37"/>
      <c r="V398" s="51"/>
      <c r="X398" s="35"/>
    </row>
    <row r="399" spans="2:24" x14ac:dyDescent="0.25">
      <c r="B399" s="405"/>
      <c r="C399" s="89">
        <v>3</v>
      </c>
      <c r="D399" s="203" t="s">
        <v>185</v>
      </c>
      <c r="E399" s="204"/>
      <c r="F399" s="204"/>
      <c r="G399" s="204"/>
      <c r="H399" s="99" t="str">
        <f t="shared" si="6"/>
        <v>CGK-3-DISKRI-PUT</v>
      </c>
      <c r="I399" s="154" t="s">
        <v>187</v>
      </c>
      <c r="J399" s="155" t="s">
        <v>186</v>
      </c>
      <c r="K399" s="157" t="s">
        <v>423</v>
      </c>
      <c r="L399" s="153" t="s">
        <v>206</v>
      </c>
      <c r="M399" s="238">
        <f>'[1]TOTAL R. ATAS'!$F$73</f>
        <v>1</v>
      </c>
      <c r="N399" s="67">
        <v>44483</v>
      </c>
      <c r="O399" s="228"/>
      <c r="P399" s="108" t="s">
        <v>73</v>
      </c>
      <c r="Q399" s="60"/>
      <c r="R399" s="60"/>
      <c r="S399" s="60"/>
      <c r="T399" s="41"/>
      <c r="U399" s="37"/>
      <c r="V399" s="51"/>
      <c r="X399" s="35"/>
    </row>
    <row r="400" spans="2:24" x14ac:dyDescent="0.25">
      <c r="B400" s="405"/>
      <c r="C400" s="89">
        <v>3</v>
      </c>
      <c r="D400" s="203" t="s">
        <v>185</v>
      </c>
      <c r="E400" s="204"/>
      <c r="F400" s="204"/>
      <c r="G400" s="204"/>
      <c r="H400" s="99" t="str">
        <f t="shared" si="6"/>
        <v>CGK-3-DISMIY-HIT</v>
      </c>
      <c r="I400" s="154" t="s">
        <v>330</v>
      </c>
      <c r="J400" s="155" t="s">
        <v>319</v>
      </c>
      <c r="K400" s="157" t="s">
        <v>425</v>
      </c>
      <c r="L400" s="153" t="s">
        <v>206</v>
      </c>
      <c r="M400" s="238">
        <f>'[1]TOTAL R. ATAS'!$F$73</f>
        <v>1</v>
      </c>
      <c r="N400" s="67">
        <v>44483</v>
      </c>
      <c r="O400" s="228"/>
      <c r="P400" s="108" t="s">
        <v>73</v>
      </c>
      <c r="Q400" s="60"/>
      <c r="R400" s="60"/>
      <c r="S400" s="60"/>
      <c r="T400" s="41"/>
      <c r="U400" s="37"/>
      <c r="V400" s="51"/>
      <c r="X400" s="35"/>
    </row>
    <row r="401" spans="2:24" x14ac:dyDescent="0.25">
      <c r="B401" s="405"/>
      <c r="C401" s="89">
        <v>3</v>
      </c>
      <c r="D401" s="203" t="s">
        <v>185</v>
      </c>
      <c r="E401" s="204"/>
      <c r="F401" s="204"/>
      <c r="G401" s="204"/>
      <c r="H401" s="99" t="str">
        <f t="shared" si="6"/>
        <v>CGK-3-DISMIY-PUT</v>
      </c>
      <c r="I401" s="154" t="s">
        <v>330</v>
      </c>
      <c r="J401" s="155" t="s">
        <v>186</v>
      </c>
      <c r="K401" s="157" t="s">
        <v>421</v>
      </c>
      <c r="L401" s="153" t="s">
        <v>206</v>
      </c>
      <c r="M401" s="238">
        <f>'[1]TOTAL R. ATAS'!$F$73</f>
        <v>1</v>
      </c>
      <c r="N401" s="67">
        <v>44483</v>
      </c>
      <c r="O401" s="228"/>
      <c r="P401" s="108"/>
      <c r="Q401" s="60"/>
      <c r="R401" s="60"/>
      <c r="S401" s="60"/>
      <c r="T401" s="41"/>
      <c r="U401" s="37"/>
      <c r="V401" s="51"/>
      <c r="X401" s="35"/>
    </row>
    <row r="402" spans="2:24" x14ac:dyDescent="0.25">
      <c r="B402" s="405"/>
      <c r="C402" s="89">
        <v>3</v>
      </c>
      <c r="D402" s="203" t="s">
        <v>185</v>
      </c>
      <c r="E402" s="204"/>
      <c r="F402" s="204"/>
      <c r="G402" s="204"/>
      <c r="H402" s="99" t="str">
        <f>CONCATENATE($L$7,"-",LEFT(C402,3),"-",LEFT(D402,3),LEFT(I402,3),"-",LEFT(J402,3),"-",1)</f>
        <v>CGK-3-DISSAN-PUT-1</v>
      </c>
      <c r="I402" s="154" t="s">
        <v>458</v>
      </c>
      <c r="J402" s="155" t="s">
        <v>186</v>
      </c>
      <c r="K402" s="157" t="s">
        <v>443</v>
      </c>
      <c r="L402" s="153" t="s">
        <v>206</v>
      </c>
      <c r="M402" s="390">
        <v>2</v>
      </c>
      <c r="N402" s="67">
        <v>44483</v>
      </c>
      <c r="O402" s="228"/>
      <c r="P402" s="108"/>
      <c r="Q402" s="60"/>
      <c r="R402" s="60"/>
      <c r="S402" s="60"/>
      <c r="T402" s="41"/>
      <c r="U402" s="37"/>
      <c r="V402" s="51"/>
      <c r="X402" s="35"/>
    </row>
    <row r="403" spans="2:24" x14ac:dyDescent="0.25">
      <c r="B403" s="405"/>
      <c r="C403" s="89">
        <v>3</v>
      </c>
      <c r="D403" s="203" t="s">
        <v>185</v>
      </c>
      <c r="E403" s="204"/>
      <c r="F403" s="204"/>
      <c r="G403" s="204"/>
      <c r="H403" s="99" t="str">
        <f>CONCATENATE($L$7,"-",LEFT(C403,3),"-",LEFT(D403,3),LEFT(I403,3),"-",LEFT(J403,3),"-",2)</f>
        <v>CGK-3-DISSAN-PUT-2</v>
      </c>
      <c r="I403" s="154" t="s">
        <v>458</v>
      </c>
      <c r="J403" s="155" t="s">
        <v>186</v>
      </c>
      <c r="K403" s="157" t="s">
        <v>420</v>
      </c>
      <c r="L403" s="153" t="s">
        <v>206</v>
      </c>
      <c r="M403" s="391"/>
      <c r="N403" s="67">
        <v>44483</v>
      </c>
      <c r="O403" s="228"/>
      <c r="P403" s="108"/>
      <c r="Q403" s="60"/>
      <c r="R403" s="60"/>
      <c r="S403" s="60"/>
      <c r="T403" s="41"/>
      <c r="U403" s="37"/>
      <c r="V403" s="51"/>
      <c r="X403" s="35"/>
    </row>
    <row r="404" spans="2:24" x14ac:dyDescent="0.25">
      <c r="B404" s="405"/>
      <c r="C404" s="89">
        <v>3</v>
      </c>
      <c r="D404" s="203" t="s">
        <v>185</v>
      </c>
      <c r="E404" s="204"/>
      <c r="F404" s="204"/>
      <c r="G404" s="204"/>
      <c r="H404" s="99" t="str">
        <f t="shared" ref="H404" si="7">CONCATENATE($L$7,"-",LEFT(C404,3),"-",LEFT(D404,3),LEFT(I404,3),"-",LEFT(J404,3))</f>
        <v>CGK-3-DISDEN-PUT</v>
      </c>
      <c r="I404" s="154" t="s">
        <v>459</v>
      </c>
      <c r="J404" s="155" t="s">
        <v>186</v>
      </c>
      <c r="K404" s="157" t="s">
        <v>429</v>
      </c>
      <c r="L404" s="153" t="s">
        <v>206</v>
      </c>
      <c r="M404" s="358">
        <v>1</v>
      </c>
      <c r="N404" s="67">
        <v>44483</v>
      </c>
      <c r="O404" s="228"/>
      <c r="P404" s="108"/>
      <c r="Q404" s="60"/>
      <c r="R404" s="60"/>
      <c r="S404" s="60"/>
      <c r="T404" s="41"/>
      <c r="U404" s="37"/>
      <c r="V404" s="51"/>
      <c r="X404" s="35"/>
    </row>
    <row r="405" spans="2:24" x14ac:dyDescent="0.25">
      <c r="B405" s="405"/>
      <c r="C405" s="89">
        <v>3</v>
      </c>
      <c r="D405" s="203" t="s">
        <v>320</v>
      </c>
      <c r="E405" s="204"/>
      <c r="F405" s="204"/>
      <c r="G405" s="204"/>
      <c r="H405" s="99" t="str">
        <f>CONCATENATE($L$7,"-",LEFT(C405,3),"-",LEFT(D405,3),LEFT(I405,3),"-",LEFT(J405,3),"-",1)</f>
        <v>CGK-3-COFKLA-HIT-1</v>
      </c>
      <c r="I405" s="154" t="s">
        <v>321</v>
      </c>
      <c r="J405" s="155" t="s">
        <v>322</v>
      </c>
      <c r="K405" s="157" t="s">
        <v>423</v>
      </c>
      <c r="L405" s="153" t="s">
        <v>206</v>
      </c>
      <c r="M405" s="390">
        <f>'[1]R. TENGAH STAFF'!$F$74</f>
        <v>2</v>
      </c>
      <c r="N405" s="67">
        <v>44483</v>
      </c>
      <c r="O405" s="228"/>
      <c r="P405" s="108" t="s">
        <v>73</v>
      </c>
      <c r="Q405" s="60"/>
      <c r="R405" s="60"/>
      <c r="S405" s="60"/>
      <c r="T405" s="41"/>
      <c r="U405" s="37"/>
      <c r="V405" s="51"/>
      <c r="X405" s="35"/>
    </row>
    <row r="406" spans="2:24" x14ac:dyDescent="0.25">
      <c r="B406" s="405"/>
      <c r="C406" s="89">
        <v>3</v>
      </c>
      <c r="D406" s="203" t="s">
        <v>320</v>
      </c>
      <c r="E406" s="204"/>
      <c r="F406" s="204"/>
      <c r="G406" s="204"/>
      <c r="H406" s="99" t="str">
        <f>CONCATENATE($L$7,"-",LEFT(C406,3),"-",LEFT(D406,3),LEFT(I406,3),"-",LEFT(J406,3),"-",2)</f>
        <v>CGK-3-COFDOS-HIT-2</v>
      </c>
      <c r="I406" s="154" t="s">
        <v>460</v>
      </c>
      <c r="J406" s="155" t="s">
        <v>322</v>
      </c>
      <c r="K406" s="157" t="s">
        <v>423</v>
      </c>
      <c r="L406" s="153" t="s">
        <v>206</v>
      </c>
      <c r="M406" s="392"/>
      <c r="N406" s="67">
        <v>44483</v>
      </c>
      <c r="O406" s="228"/>
      <c r="P406" s="108"/>
      <c r="Q406" s="60"/>
      <c r="R406" s="60"/>
      <c r="S406" s="60"/>
      <c r="T406" s="41"/>
      <c r="U406" s="37"/>
      <c r="V406" s="51"/>
      <c r="X406" s="35"/>
    </row>
    <row r="407" spans="2:24" x14ac:dyDescent="0.25">
      <c r="B407" s="405"/>
      <c r="C407" s="89">
        <v>3</v>
      </c>
      <c r="D407" s="203" t="s">
        <v>188</v>
      </c>
      <c r="E407" s="204"/>
      <c r="F407" s="204"/>
      <c r="G407" s="204"/>
      <c r="H407" s="99" t="str">
        <f>CONCATENATE($L$7,"-",LEFT(C407,3),"-",LEFT(D407,3),LEFT(I407,3),"-",LEFT(J407,3))</f>
        <v>CGK-3-MICKRI-PUT</v>
      </c>
      <c r="I407" s="154" t="s">
        <v>187</v>
      </c>
      <c r="J407" s="155" t="s">
        <v>186</v>
      </c>
      <c r="K407" s="157" t="s">
        <v>423</v>
      </c>
      <c r="L407" s="153" t="s">
        <v>206</v>
      </c>
      <c r="M407" s="238">
        <f>'[1]TOTAL R. ATAS'!$F$75</f>
        <v>1</v>
      </c>
      <c r="N407" s="67">
        <v>44483</v>
      </c>
      <c r="O407" s="228"/>
      <c r="P407" s="108" t="s">
        <v>73</v>
      </c>
      <c r="Q407" s="60"/>
      <c r="R407" s="60"/>
      <c r="S407" s="60"/>
      <c r="T407" s="41"/>
      <c r="U407" s="37"/>
      <c r="V407" s="51"/>
      <c r="X407" s="35"/>
    </row>
    <row r="408" spans="2:24" x14ac:dyDescent="0.25">
      <c r="B408" s="405"/>
      <c r="C408" s="89">
        <v>3</v>
      </c>
      <c r="D408" s="203" t="s">
        <v>342</v>
      </c>
      <c r="E408" s="204"/>
      <c r="F408" s="204"/>
      <c r="G408" s="204"/>
      <c r="H408" s="99" t="str">
        <f t="shared" ref="H408:H414" si="8">CONCATENATE($L$7,"-",LEFT(C408,3),"-",LEFT(D408,3),LEFT(I408,3),"-",LEFT(J408,3))</f>
        <v>CGK-3-STECON-RAK</v>
      </c>
      <c r="I408" s="154" t="s">
        <v>179</v>
      </c>
      <c r="J408" s="155" t="s">
        <v>343</v>
      </c>
      <c r="K408" s="361" t="s">
        <v>359</v>
      </c>
      <c r="L408" s="153" t="s">
        <v>206</v>
      </c>
      <c r="M408" s="238"/>
      <c r="N408" s="67">
        <v>44483</v>
      </c>
      <c r="O408" s="228"/>
      <c r="P408" s="108" t="s">
        <v>73</v>
      </c>
      <c r="Q408" s="60"/>
      <c r="R408" s="60"/>
      <c r="S408" s="60"/>
      <c r="T408" s="41"/>
      <c r="U408" s="37"/>
      <c r="V408" s="51"/>
      <c r="X408" s="35"/>
    </row>
    <row r="409" spans="2:24" x14ac:dyDescent="0.25">
      <c r="B409" s="405"/>
      <c r="C409" s="89">
        <v>3</v>
      </c>
      <c r="D409" s="203" t="s">
        <v>189</v>
      </c>
      <c r="E409" s="204"/>
      <c r="F409" s="204"/>
      <c r="G409" s="204"/>
      <c r="H409" s="99" t="str">
        <f t="shared" si="8"/>
        <v>CGK-3-REF3 P-TOS</v>
      </c>
      <c r="I409" s="154" t="s">
        <v>190</v>
      </c>
      <c r="J409" s="155" t="s">
        <v>191</v>
      </c>
      <c r="K409" s="361" t="s">
        <v>359</v>
      </c>
      <c r="L409" s="153" t="s">
        <v>206</v>
      </c>
      <c r="M409" s="238">
        <f>'[1]TOTAL R. ATAS'!$F$63</f>
        <v>0</v>
      </c>
      <c r="N409" s="67">
        <v>44483</v>
      </c>
      <c r="O409" s="228"/>
      <c r="P409" s="108" t="s">
        <v>73</v>
      </c>
      <c r="Q409" s="60"/>
      <c r="R409" s="60"/>
      <c r="S409" s="60"/>
      <c r="T409" s="41"/>
      <c r="U409" s="37"/>
      <c r="V409" s="51"/>
      <c r="X409" s="35"/>
    </row>
    <row r="410" spans="2:24" x14ac:dyDescent="0.25">
      <c r="B410" s="405"/>
      <c r="C410" s="89">
        <v>3</v>
      </c>
      <c r="D410" s="203" t="s">
        <v>189</v>
      </c>
      <c r="E410" s="204"/>
      <c r="F410" s="204"/>
      <c r="G410" s="204"/>
      <c r="H410" s="99" t="str">
        <f t="shared" si="8"/>
        <v>CGK-3-REF1 P-TOS</v>
      </c>
      <c r="I410" s="154" t="s">
        <v>315</v>
      </c>
      <c r="J410" s="155" t="s">
        <v>191</v>
      </c>
      <c r="K410" s="361" t="s">
        <v>359</v>
      </c>
      <c r="L410" s="153" t="s">
        <v>206</v>
      </c>
      <c r="M410" s="238">
        <f>'[1]TOTAL R. ATAS'!$F$63</f>
        <v>0</v>
      </c>
      <c r="N410" s="67">
        <v>44483</v>
      </c>
      <c r="O410" s="228"/>
      <c r="P410" s="108" t="s">
        <v>73</v>
      </c>
      <c r="Q410" s="60"/>
      <c r="R410" s="60"/>
      <c r="S410" s="60"/>
      <c r="T410" s="41"/>
      <c r="U410" s="37"/>
      <c r="V410" s="51"/>
      <c r="X410" s="35"/>
    </row>
    <row r="411" spans="2:24" x14ac:dyDescent="0.25">
      <c r="B411" s="405"/>
      <c r="C411" s="89">
        <v>3</v>
      </c>
      <c r="D411" s="203" t="s">
        <v>189</v>
      </c>
      <c r="E411" s="204"/>
      <c r="F411" s="204"/>
      <c r="G411" s="204"/>
      <c r="H411" s="99" t="str">
        <f t="shared" si="8"/>
        <v>CGK-3-REF1 P-SHA</v>
      </c>
      <c r="I411" s="154" t="s">
        <v>315</v>
      </c>
      <c r="J411" s="155" t="s">
        <v>133</v>
      </c>
      <c r="K411" s="157" t="s">
        <v>457</v>
      </c>
      <c r="L411" s="153" t="s">
        <v>206</v>
      </c>
      <c r="M411" s="238">
        <v>1</v>
      </c>
      <c r="N411" s="67">
        <v>44483</v>
      </c>
      <c r="O411" s="228"/>
      <c r="P411" s="108" t="s">
        <v>73</v>
      </c>
      <c r="Q411" s="60"/>
      <c r="R411" s="60"/>
      <c r="S411" s="60"/>
      <c r="T411" s="41"/>
      <c r="U411" s="37"/>
      <c r="V411" s="51"/>
      <c r="X411" s="35"/>
    </row>
    <row r="412" spans="2:24" x14ac:dyDescent="0.25">
      <c r="B412" s="405"/>
      <c r="C412" s="89">
        <v>3</v>
      </c>
      <c r="D412" s="203" t="s">
        <v>189</v>
      </c>
      <c r="E412" s="204"/>
      <c r="F412" s="204"/>
      <c r="G412" s="204"/>
      <c r="H412" s="99" t="str">
        <f t="shared" si="8"/>
        <v>CGK-3-REF2 P-SAM</v>
      </c>
      <c r="I412" s="154" t="s">
        <v>324</v>
      </c>
      <c r="J412" s="155" t="s">
        <v>221</v>
      </c>
      <c r="K412" s="361" t="s">
        <v>359</v>
      </c>
      <c r="L412" s="153" t="s">
        <v>206</v>
      </c>
      <c r="M412" s="238">
        <f>'[1]TOTAL R. ATAS'!$F$63</f>
        <v>0</v>
      </c>
      <c r="N412" s="67">
        <v>44483</v>
      </c>
      <c r="O412" s="228"/>
      <c r="P412" s="108" t="s">
        <v>73</v>
      </c>
      <c r="Q412" s="60"/>
      <c r="R412" s="60"/>
      <c r="S412" s="60"/>
      <c r="T412" s="41"/>
      <c r="U412" s="37"/>
      <c r="V412" s="51"/>
      <c r="X412" s="35"/>
    </row>
    <row r="413" spans="2:24" x14ac:dyDescent="0.25">
      <c r="B413" s="405"/>
      <c r="C413" s="89">
        <v>3</v>
      </c>
      <c r="D413" s="203" t="s">
        <v>312</v>
      </c>
      <c r="E413" s="204"/>
      <c r="F413" s="204"/>
      <c r="G413" s="204"/>
      <c r="H413" s="99" t="str">
        <f t="shared" si="8"/>
        <v>CGK-3-HUMKRI-SHA</v>
      </c>
      <c r="I413" s="154" t="s">
        <v>313</v>
      </c>
      <c r="J413" s="155" t="s">
        <v>133</v>
      </c>
      <c r="K413" s="361" t="s">
        <v>359</v>
      </c>
      <c r="L413" s="153" t="s">
        <v>206</v>
      </c>
      <c r="M413" s="238">
        <f>'[1]TOTAL R. ATAS'!$F$71</f>
        <v>0</v>
      </c>
      <c r="N413" s="67">
        <v>44483</v>
      </c>
      <c r="O413" s="228"/>
      <c r="P413" s="108" t="s">
        <v>73</v>
      </c>
      <c r="Q413" s="60"/>
      <c r="R413" s="60"/>
      <c r="S413" s="60"/>
      <c r="T413" s="41"/>
      <c r="U413" s="37"/>
      <c r="V413" s="51"/>
      <c r="X413" s="35"/>
    </row>
    <row r="414" spans="2:24" x14ac:dyDescent="0.25">
      <c r="B414" s="405"/>
      <c r="C414" s="89">
        <v>3</v>
      </c>
      <c r="D414" s="203" t="s">
        <v>317</v>
      </c>
      <c r="E414" s="204"/>
      <c r="F414" s="204"/>
      <c r="G414" s="204"/>
      <c r="H414" s="99" t="str">
        <f t="shared" si="8"/>
        <v>CGK-3-SOUPOR-HIT</v>
      </c>
      <c r="I414" s="154" t="s">
        <v>318</v>
      </c>
      <c r="J414" s="155" t="s">
        <v>319</v>
      </c>
      <c r="K414" s="361" t="s">
        <v>359</v>
      </c>
      <c r="L414" s="153" t="s">
        <v>206</v>
      </c>
      <c r="M414" s="238">
        <v>0</v>
      </c>
      <c r="N414" s="67">
        <v>44483</v>
      </c>
      <c r="O414" s="228"/>
      <c r="P414" s="108" t="s">
        <v>73</v>
      </c>
      <c r="Q414" s="60"/>
      <c r="R414" s="60"/>
      <c r="S414" s="60"/>
      <c r="T414" s="41"/>
      <c r="U414" s="37"/>
      <c r="V414" s="51"/>
      <c r="X414" s="35"/>
    </row>
    <row r="415" spans="2:24" x14ac:dyDescent="0.25">
      <c r="B415" s="405"/>
      <c r="C415" s="89">
        <v>3</v>
      </c>
      <c r="D415" s="203" t="s">
        <v>192</v>
      </c>
      <c r="E415" s="204"/>
      <c r="F415" s="204"/>
      <c r="G415" s="204"/>
      <c r="H415" s="99" t="str">
        <f>CONCATENATE($L$7,"-",LEFT(C415,3),"-",LEFT(D415,3),LEFT(I415,3),"-",LEFT(J415,5),"-",1)</f>
        <v>CGK-3-LAMREA-STAND-1</v>
      </c>
      <c r="I415" s="154" t="s">
        <v>193</v>
      </c>
      <c r="J415" s="155" t="s">
        <v>194</v>
      </c>
      <c r="K415" s="361" t="s">
        <v>359</v>
      </c>
      <c r="L415" s="153" t="s">
        <v>206</v>
      </c>
      <c r="M415" s="238">
        <v>0</v>
      </c>
      <c r="N415" s="67">
        <v>44483</v>
      </c>
      <c r="O415" s="228"/>
      <c r="P415" s="108" t="s">
        <v>73</v>
      </c>
      <c r="Q415" s="60"/>
      <c r="R415" s="60"/>
      <c r="S415" s="60"/>
      <c r="T415" s="41"/>
      <c r="U415" s="37"/>
      <c r="V415" s="51"/>
      <c r="X415" s="35"/>
    </row>
    <row r="416" spans="2:24" x14ac:dyDescent="0.25">
      <c r="B416" s="405"/>
      <c r="C416" s="89">
        <v>3</v>
      </c>
      <c r="D416" s="203" t="s">
        <v>192</v>
      </c>
      <c r="E416" s="204"/>
      <c r="F416" s="204"/>
      <c r="G416" s="204"/>
      <c r="H416" s="99" t="str">
        <f>CONCATENATE($L$7,"-",LEFT(C416,3),"-",LEFT(D416,3),LEFT(I416,3),"-",LEFT(J416,5),"-",2)</f>
        <v>CGK-3-LAMREA-STAND-2</v>
      </c>
      <c r="I416" s="154" t="s">
        <v>193</v>
      </c>
      <c r="J416" s="155" t="s">
        <v>194</v>
      </c>
      <c r="K416" s="361" t="s">
        <v>359</v>
      </c>
      <c r="L416" s="153" t="s">
        <v>206</v>
      </c>
      <c r="M416" s="238">
        <v>0</v>
      </c>
      <c r="N416" s="67">
        <v>44483</v>
      </c>
      <c r="O416" s="228"/>
      <c r="P416" s="108"/>
      <c r="Q416" s="60"/>
      <c r="R416" s="60"/>
      <c r="S416" s="60"/>
      <c r="T416" s="41"/>
      <c r="U416" s="37"/>
      <c r="V416" s="51"/>
      <c r="X416" s="35"/>
    </row>
    <row r="417" spans="2:24" x14ac:dyDescent="0.25">
      <c r="B417" s="405"/>
      <c r="C417" s="89">
        <v>3</v>
      </c>
      <c r="D417" s="203" t="s">
        <v>192</v>
      </c>
      <c r="E417" s="204"/>
      <c r="F417" s="204"/>
      <c r="G417" s="204"/>
      <c r="H417" s="99" t="str">
        <f>CONCATENATE($L$7,"-",LEFT(C417,3),"-",LEFT(D417,3),LEFT(I417,3),"-",LEFT(J417,5),"-",3)</f>
        <v>CGK-3-LAMREA-STAND-3</v>
      </c>
      <c r="I417" s="154" t="s">
        <v>193</v>
      </c>
      <c r="J417" s="155" t="s">
        <v>194</v>
      </c>
      <c r="K417" s="361" t="s">
        <v>359</v>
      </c>
      <c r="L417" s="153" t="s">
        <v>206</v>
      </c>
      <c r="M417" s="238">
        <v>0</v>
      </c>
      <c r="N417" s="67">
        <v>44483</v>
      </c>
      <c r="O417" s="228"/>
      <c r="P417" s="108"/>
      <c r="Q417" s="60"/>
      <c r="R417" s="60"/>
      <c r="S417" s="60"/>
      <c r="T417" s="41"/>
      <c r="U417" s="37"/>
      <c r="V417" s="51"/>
      <c r="X417" s="35"/>
    </row>
    <row r="418" spans="2:24" x14ac:dyDescent="0.25">
      <c r="B418" s="405"/>
      <c r="C418" s="89">
        <v>3</v>
      </c>
      <c r="D418" s="203" t="s">
        <v>412</v>
      </c>
      <c r="E418" s="204"/>
      <c r="F418" s="204"/>
      <c r="G418" s="204"/>
      <c r="H418" s="99" t="str">
        <f>CONCATENATE($L$7,"-",LEFT(C418,3),"-",LEFT(D418,3),LEFT(I418,3),"-",1)</f>
        <v>CGK-3-FANWAL-1</v>
      </c>
      <c r="I418" s="154" t="s">
        <v>199</v>
      </c>
      <c r="J418" s="155"/>
      <c r="K418" s="157" t="s">
        <v>441</v>
      </c>
      <c r="L418" s="153" t="s">
        <v>206</v>
      </c>
      <c r="M418" s="390">
        <v>5</v>
      </c>
      <c r="N418" s="67">
        <v>44483</v>
      </c>
      <c r="O418" s="228"/>
      <c r="P418" s="108" t="s">
        <v>73</v>
      </c>
      <c r="Q418" s="60"/>
      <c r="R418" s="60"/>
      <c r="S418" s="60"/>
      <c r="T418" s="41"/>
      <c r="U418" s="37"/>
      <c r="V418" s="51"/>
      <c r="X418" s="35"/>
    </row>
    <row r="419" spans="2:24" x14ac:dyDescent="0.25">
      <c r="B419" s="405"/>
      <c r="C419" s="89">
        <v>3</v>
      </c>
      <c r="D419" s="203" t="s">
        <v>412</v>
      </c>
      <c r="E419" s="204"/>
      <c r="F419" s="204"/>
      <c r="G419" s="204"/>
      <c r="H419" s="99" t="str">
        <f>CONCATENATE($L$7,"-",LEFT(C419,3),"-",LEFT(D419,3),LEFT(I419,3),"-",2)</f>
        <v>CGK-3-FANWAL-2</v>
      </c>
      <c r="I419" s="154" t="s">
        <v>199</v>
      </c>
      <c r="J419" s="155"/>
      <c r="K419" s="157" t="s">
        <v>441</v>
      </c>
      <c r="L419" s="153" t="s">
        <v>206</v>
      </c>
      <c r="M419" s="391"/>
      <c r="N419" s="67">
        <v>44483</v>
      </c>
      <c r="O419" s="228"/>
      <c r="P419" s="108"/>
      <c r="Q419" s="60"/>
      <c r="R419" s="60"/>
      <c r="S419" s="60"/>
      <c r="T419" s="41"/>
      <c r="U419" s="37"/>
      <c r="V419" s="51"/>
      <c r="X419" s="35"/>
    </row>
    <row r="420" spans="2:24" x14ac:dyDescent="0.25">
      <c r="B420" s="405"/>
      <c r="C420" s="89">
        <v>3</v>
      </c>
      <c r="D420" s="203" t="s">
        <v>412</v>
      </c>
      <c r="E420" s="204"/>
      <c r="F420" s="204"/>
      <c r="G420" s="204"/>
      <c r="H420" s="99" t="str">
        <f>CONCATENATE($L$7,"-",LEFT(C420,3),"-",LEFT(D420,3),LEFT(I420,3),"-",3)</f>
        <v>CGK-3-FANWAL-3</v>
      </c>
      <c r="I420" s="154" t="s">
        <v>199</v>
      </c>
      <c r="J420" s="155"/>
      <c r="K420" s="157" t="s">
        <v>441</v>
      </c>
      <c r="L420" s="153" t="s">
        <v>206</v>
      </c>
      <c r="M420" s="391"/>
      <c r="N420" s="67">
        <v>44483</v>
      </c>
      <c r="O420" s="228"/>
      <c r="P420" s="108"/>
      <c r="Q420" s="60"/>
      <c r="R420" s="60"/>
      <c r="S420" s="60"/>
      <c r="T420" s="41"/>
      <c r="U420" s="37"/>
      <c r="V420" s="51"/>
      <c r="X420" s="35"/>
    </row>
    <row r="421" spans="2:24" x14ac:dyDescent="0.25">
      <c r="B421" s="405"/>
      <c r="C421" s="89">
        <v>3</v>
      </c>
      <c r="D421" s="203" t="s">
        <v>412</v>
      </c>
      <c r="E421" s="204"/>
      <c r="F421" s="204"/>
      <c r="G421" s="204"/>
      <c r="H421" s="99" t="str">
        <f>CONCATENATE($L$7,"-",LEFT(C421,3),"-",LEFT(D421,3),LEFT(I421,3),"-",4)</f>
        <v>CGK-3-FANWAL-4</v>
      </c>
      <c r="I421" s="154" t="s">
        <v>199</v>
      </c>
      <c r="J421" s="155"/>
      <c r="K421" s="157" t="s">
        <v>441</v>
      </c>
      <c r="L421" s="153" t="s">
        <v>206</v>
      </c>
      <c r="M421" s="391"/>
      <c r="N421" s="67">
        <v>44483</v>
      </c>
      <c r="O421" s="228"/>
      <c r="P421" s="108"/>
      <c r="Q421" s="60"/>
      <c r="R421" s="60"/>
      <c r="S421" s="60"/>
      <c r="T421" s="41"/>
      <c r="U421" s="37"/>
      <c r="V421" s="51"/>
      <c r="X421" s="35"/>
    </row>
    <row r="422" spans="2:24" x14ac:dyDescent="0.25">
      <c r="B422" s="405"/>
      <c r="C422" s="89">
        <v>3</v>
      </c>
      <c r="D422" s="203" t="s">
        <v>412</v>
      </c>
      <c r="E422" s="204"/>
      <c r="F422" s="204"/>
      <c r="G422" s="204"/>
      <c r="H422" s="99" t="str">
        <f>CONCATENATE($L$7,"-",LEFT(C422,3),"-",LEFT(D422,3),LEFT(I422,3),"-",5)</f>
        <v>CGK-3-FANWAL-5</v>
      </c>
      <c r="I422" s="154" t="s">
        <v>199</v>
      </c>
      <c r="J422" s="155"/>
      <c r="K422" s="157" t="s">
        <v>441</v>
      </c>
      <c r="L422" s="153" t="s">
        <v>206</v>
      </c>
      <c r="M422" s="392"/>
      <c r="N422" s="67">
        <v>44483</v>
      </c>
      <c r="O422" s="228"/>
      <c r="P422" s="108"/>
      <c r="Q422" s="60"/>
      <c r="R422" s="60"/>
      <c r="S422" s="60"/>
      <c r="T422" s="41"/>
      <c r="U422" s="37"/>
      <c r="V422" s="51"/>
      <c r="X422" s="35"/>
    </row>
    <row r="423" spans="2:24" x14ac:dyDescent="0.25">
      <c r="B423" s="405"/>
      <c r="C423" s="89">
        <v>3</v>
      </c>
      <c r="D423" s="203" t="s">
        <v>298</v>
      </c>
      <c r="E423" s="204"/>
      <c r="F423" s="204"/>
      <c r="G423" s="204"/>
      <c r="H423" s="99" t="str">
        <f>CONCATENATE($L$7,"-",LEFT(C423,3),"-",LEFT(D423,3),LEFT(I423,3),"-",LEFT(J423,3),"-",1)</f>
        <v>CGK-3-DIEAIR-DEC-1</v>
      </c>
      <c r="I423" s="154" t="s">
        <v>299</v>
      </c>
      <c r="J423" s="155" t="s">
        <v>300</v>
      </c>
      <c r="K423" s="157" t="s">
        <v>418</v>
      </c>
      <c r="L423" s="153" t="s">
        <v>206</v>
      </c>
      <c r="M423" s="390">
        <f>'[1]TOTAL R. ATAS'!$F$66</f>
        <v>2</v>
      </c>
      <c r="N423" s="67">
        <v>44483</v>
      </c>
      <c r="O423" s="228"/>
      <c r="P423" s="108" t="s">
        <v>73</v>
      </c>
      <c r="Q423" s="60"/>
      <c r="R423" s="60"/>
      <c r="S423" s="60"/>
      <c r="T423" s="41"/>
      <c r="U423" s="37"/>
      <c r="V423" s="51"/>
      <c r="X423" s="35"/>
    </row>
    <row r="424" spans="2:24" x14ac:dyDescent="0.25">
      <c r="B424" s="405"/>
      <c r="C424" s="89">
        <v>3</v>
      </c>
      <c r="D424" s="203" t="s">
        <v>298</v>
      </c>
      <c r="E424" s="204"/>
      <c r="F424" s="204"/>
      <c r="G424" s="204"/>
      <c r="H424" s="99" t="str">
        <f>CONCATENATE($L$7,"-",LEFT(C424,3),"-",LEFT(D424,3),LEFT(I424,3),"-",LEFT(J424,3),"-",2)</f>
        <v>CGK-3-DIEAIR-DEC-2</v>
      </c>
      <c r="I424" s="154" t="s">
        <v>299</v>
      </c>
      <c r="J424" s="155" t="s">
        <v>300</v>
      </c>
      <c r="K424" s="157" t="s">
        <v>418</v>
      </c>
      <c r="L424" s="153" t="s">
        <v>206</v>
      </c>
      <c r="M424" s="392"/>
      <c r="N424" s="67">
        <v>44483</v>
      </c>
      <c r="O424" s="228"/>
      <c r="P424" s="108"/>
      <c r="Q424" s="60"/>
      <c r="R424" s="60"/>
      <c r="S424" s="60"/>
      <c r="T424" s="41"/>
      <c r="U424" s="37"/>
      <c r="V424" s="51"/>
      <c r="X424" s="35"/>
    </row>
    <row r="425" spans="2:24" x14ac:dyDescent="0.25">
      <c r="B425" s="405"/>
      <c r="C425" s="89">
        <v>3</v>
      </c>
      <c r="D425" s="203" t="s">
        <v>301</v>
      </c>
      <c r="E425" s="204"/>
      <c r="F425" s="204"/>
      <c r="G425" s="204"/>
      <c r="H425" s="99" t="str">
        <f>CONCATENATE($L$7,"-",LEFT(C425,3),"-",LEFT(D425,3),LEFT(I425,3),"-",LEFT(J425,3))</f>
        <v>CGK-3-PLAPLA-AIR</v>
      </c>
      <c r="I425" s="154" t="s">
        <v>301</v>
      </c>
      <c r="J425" s="155" t="s">
        <v>302</v>
      </c>
      <c r="K425" s="157"/>
      <c r="L425" s="153" t="s">
        <v>206</v>
      </c>
      <c r="M425" s="238">
        <v>0</v>
      </c>
      <c r="N425" s="67">
        <v>44483</v>
      </c>
      <c r="O425" s="228"/>
      <c r="P425" s="108" t="s">
        <v>73</v>
      </c>
      <c r="Q425" s="60"/>
      <c r="R425" s="60"/>
      <c r="S425" s="60"/>
      <c r="T425" s="41"/>
      <c r="U425" s="37"/>
      <c r="V425" s="51"/>
      <c r="X425" s="35"/>
    </row>
    <row r="426" spans="2:24" x14ac:dyDescent="0.25">
      <c r="B426" s="405"/>
      <c r="C426" s="89">
        <v>3</v>
      </c>
      <c r="D426" s="203" t="s">
        <v>452</v>
      </c>
      <c r="E426" s="204"/>
      <c r="F426" s="204"/>
      <c r="G426" s="204"/>
      <c r="H426" s="99" t="str">
        <f>CONCATENATE($L$7,"-",LEFT(C426,3),"-",LEFT(D426,3),LEFT(I426,3),"-",LEFT(J426,3))</f>
        <v>CGK-3-MESMES-UAN</v>
      </c>
      <c r="I426" s="154" t="s">
        <v>453</v>
      </c>
      <c r="J426" s="155" t="s">
        <v>454</v>
      </c>
      <c r="K426" s="157" t="s">
        <v>424</v>
      </c>
      <c r="L426" s="153" t="s">
        <v>206</v>
      </c>
      <c r="M426" s="238">
        <v>1</v>
      </c>
      <c r="N426" s="67">
        <v>44483</v>
      </c>
      <c r="O426" s="228"/>
      <c r="P426" s="108"/>
      <c r="Q426" s="60"/>
      <c r="R426" s="60"/>
      <c r="S426" s="60"/>
      <c r="T426" s="41"/>
      <c r="U426" s="37"/>
      <c r="V426" s="51"/>
      <c r="X426" s="35"/>
    </row>
    <row r="427" spans="2:24" x14ac:dyDescent="0.25">
      <c r="B427" s="405"/>
      <c r="C427" s="89">
        <v>3</v>
      </c>
      <c r="D427" s="203" t="s">
        <v>303</v>
      </c>
      <c r="E427" s="204"/>
      <c r="F427" s="204"/>
      <c r="G427" s="204"/>
      <c r="H427" s="99" t="str">
        <f>CONCATENATE($L$7,"-",LEFT(C427,3),"-",LEFT(D427,3),LEFT(I427,3),"-",LEFT(J427,6))</f>
        <v>CGK-3-TIRSEK-PEMBAT</v>
      </c>
      <c r="I427" s="154" t="s">
        <v>352</v>
      </c>
      <c r="J427" s="155" t="s">
        <v>304</v>
      </c>
      <c r="K427" s="157"/>
      <c r="L427" s="153" t="s">
        <v>206</v>
      </c>
      <c r="M427" s="238">
        <v>0</v>
      </c>
      <c r="N427" s="67">
        <v>44483</v>
      </c>
      <c r="O427" s="228"/>
      <c r="P427" s="108" t="s">
        <v>73</v>
      </c>
      <c r="Q427" s="60"/>
      <c r="R427" s="60"/>
      <c r="S427" s="60"/>
      <c r="T427" s="41"/>
      <c r="U427" s="37"/>
      <c r="V427" s="51"/>
      <c r="X427" s="35"/>
    </row>
    <row r="428" spans="2:24" ht="6" customHeight="1" thickBot="1" x14ac:dyDescent="0.3">
      <c r="B428" s="45"/>
      <c r="C428" s="46"/>
      <c r="D428" s="74"/>
      <c r="E428" s="241"/>
      <c r="F428" s="241"/>
      <c r="G428" s="241"/>
      <c r="H428" s="65"/>
      <c r="I428" s="145"/>
      <c r="J428" s="146"/>
      <c r="K428" s="146"/>
      <c r="L428" s="146"/>
      <c r="M428" s="226"/>
      <c r="N428" s="47"/>
      <c r="O428" s="231"/>
      <c r="P428" s="110"/>
      <c r="Q428" s="62"/>
      <c r="R428" s="62"/>
      <c r="S428" s="62"/>
      <c r="T428" s="47"/>
      <c r="U428" s="47"/>
      <c r="V428" s="54"/>
    </row>
    <row r="429" spans="2:24" x14ac:dyDescent="0.25">
      <c r="B429" s="404">
        <v>1</v>
      </c>
      <c r="C429" s="88">
        <v>1</v>
      </c>
      <c r="D429" s="202" t="s">
        <v>128</v>
      </c>
      <c r="E429" s="257"/>
      <c r="F429" s="257"/>
      <c r="G429" s="257"/>
      <c r="H429" s="258" t="str">
        <f>CONCATENATE(L429,"-",C429,"-",LEFT(D429,3),LEFT(I429,3),"-",LEFT(J429,6))</f>
        <v>HLP-1-ACSHA-1/2 PK</v>
      </c>
      <c r="I429" s="187" t="s">
        <v>133</v>
      </c>
      <c r="J429" s="188" t="s">
        <v>177</v>
      </c>
      <c r="K429" s="356" t="s">
        <v>359</v>
      </c>
      <c r="L429" s="193" t="s">
        <v>209</v>
      </c>
      <c r="M429" s="274">
        <v>0</v>
      </c>
      <c r="N429" s="278"/>
      <c r="O429" s="279"/>
      <c r="P429" s="280"/>
      <c r="Q429" s="279"/>
      <c r="R429" s="281"/>
      <c r="S429" s="282"/>
      <c r="T429" s="282"/>
      <c r="U429" s="282"/>
      <c r="V429" s="283"/>
      <c r="W429" s="36"/>
      <c r="X429" s="48"/>
    </row>
    <row r="430" spans="2:24" x14ac:dyDescent="0.25">
      <c r="B430" s="405"/>
      <c r="C430" s="89">
        <v>1</v>
      </c>
      <c r="D430" s="203" t="s">
        <v>128</v>
      </c>
      <c r="E430" s="259"/>
      <c r="F430" s="259"/>
      <c r="G430" s="259"/>
      <c r="H430" s="201" t="str">
        <f t="shared" ref="H430:H493" si="9">CONCATENATE(L430,"-",C430,"-",LEFT(D430,3),LEFT(I430,3),"-",LEFT(J430,6))</f>
        <v>HLP-1-ACSHA-3/4 PK</v>
      </c>
      <c r="I430" s="189" t="s">
        <v>133</v>
      </c>
      <c r="J430" s="190" t="s">
        <v>217</v>
      </c>
      <c r="K430" s="356" t="s">
        <v>359</v>
      </c>
      <c r="L430" s="193" t="s">
        <v>209</v>
      </c>
      <c r="M430" s="274">
        <v>0</v>
      </c>
      <c r="N430" s="265"/>
      <c r="O430" s="284"/>
      <c r="P430" s="41"/>
      <c r="Q430" s="284"/>
      <c r="R430" s="105"/>
      <c r="S430" s="57"/>
      <c r="T430" s="57"/>
      <c r="U430" s="57"/>
      <c r="V430" s="285"/>
      <c r="W430" s="36"/>
      <c r="X430" s="48"/>
    </row>
    <row r="431" spans="2:24" x14ac:dyDescent="0.25">
      <c r="B431" s="405"/>
      <c r="C431" s="89">
        <v>1</v>
      </c>
      <c r="D431" s="203" t="s">
        <v>128</v>
      </c>
      <c r="E431" s="259"/>
      <c r="F431" s="259"/>
      <c r="G431" s="259"/>
      <c r="H431" s="201" t="str">
        <f>CONCATENATE(L431,"-",C431,"-",LEFT(D431,3),LEFT(I431,3),"-",LEFT(J431,6),"-",1)</f>
        <v>HLP-1-ACSHA-1 PK-1</v>
      </c>
      <c r="I431" s="189" t="s">
        <v>133</v>
      </c>
      <c r="J431" s="191" t="s">
        <v>129</v>
      </c>
      <c r="K431" s="198" t="s">
        <v>382</v>
      </c>
      <c r="L431" s="193" t="s">
        <v>209</v>
      </c>
      <c r="M431" s="389">
        <v>5</v>
      </c>
      <c r="N431" s="265"/>
      <c r="O431" s="284"/>
      <c r="P431" s="41"/>
      <c r="Q431" s="284"/>
      <c r="R431" s="105"/>
      <c r="S431" s="57"/>
      <c r="T431" s="57"/>
      <c r="U431" s="57"/>
      <c r="V431" s="285"/>
      <c r="W431" s="36"/>
      <c r="X431" s="48"/>
    </row>
    <row r="432" spans="2:24" x14ac:dyDescent="0.25">
      <c r="B432" s="405"/>
      <c r="C432" s="89">
        <v>1</v>
      </c>
      <c r="D432" s="203" t="s">
        <v>128</v>
      </c>
      <c r="E432" s="259"/>
      <c r="F432" s="259"/>
      <c r="G432" s="259"/>
      <c r="H432" s="201" t="str">
        <f>CONCATENATE(L432,"-",C432,"-",LEFT(D432,3),LEFT(I432,3),"-",LEFT(J432,6),"-",2)</f>
        <v>HLP-1-ACSHA-1 PK-2</v>
      </c>
      <c r="I432" s="189" t="s">
        <v>133</v>
      </c>
      <c r="J432" s="191" t="s">
        <v>129</v>
      </c>
      <c r="K432" s="198" t="s">
        <v>382</v>
      </c>
      <c r="L432" s="193" t="s">
        <v>209</v>
      </c>
      <c r="M432" s="387"/>
      <c r="N432" s="265"/>
      <c r="O432" s="284"/>
      <c r="P432" s="41"/>
      <c r="Q432" s="284"/>
      <c r="R432" s="105"/>
      <c r="S432" s="57"/>
      <c r="T432" s="57"/>
      <c r="U432" s="57"/>
      <c r="V432" s="285"/>
      <c r="W432" s="36"/>
      <c r="X432" s="48"/>
    </row>
    <row r="433" spans="2:24" x14ac:dyDescent="0.25">
      <c r="B433" s="405"/>
      <c r="C433" s="89">
        <v>1</v>
      </c>
      <c r="D433" s="203" t="s">
        <v>128</v>
      </c>
      <c r="E433" s="259"/>
      <c r="F433" s="259"/>
      <c r="G433" s="259"/>
      <c r="H433" s="201" t="str">
        <f>CONCATENATE(L433,"-",C433,"-",LEFT(D433,3),LEFT(I433,3),"-",LEFT(J433,6),"-",3)</f>
        <v>HLP-1-ACSHA-1 PK-3</v>
      </c>
      <c r="I433" s="189" t="s">
        <v>133</v>
      </c>
      <c r="J433" s="191" t="s">
        <v>129</v>
      </c>
      <c r="K433" s="198" t="s">
        <v>383</v>
      </c>
      <c r="L433" s="193" t="s">
        <v>209</v>
      </c>
      <c r="M433" s="387"/>
      <c r="N433" s="265"/>
      <c r="O433" s="284"/>
      <c r="P433" s="41"/>
      <c r="Q433" s="284"/>
      <c r="R433" s="105"/>
      <c r="S433" s="57"/>
      <c r="T433" s="57"/>
      <c r="U433" s="57"/>
      <c r="V433" s="285"/>
      <c r="W433" s="36"/>
      <c r="X433" s="48"/>
    </row>
    <row r="434" spans="2:24" x14ac:dyDescent="0.25">
      <c r="B434" s="405"/>
      <c r="C434" s="89">
        <v>1</v>
      </c>
      <c r="D434" s="203" t="s">
        <v>128</v>
      </c>
      <c r="E434" s="259"/>
      <c r="F434" s="259"/>
      <c r="G434" s="259"/>
      <c r="H434" s="201" t="str">
        <f>CONCATENATE(L434,"-",C434,"-",LEFT(D434,3),LEFT(I434,3),"-",LEFT(J434,6),"-",4)</f>
        <v>HLP-1-ACSHA-1 PK-4</v>
      </c>
      <c r="I434" s="189" t="s">
        <v>133</v>
      </c>
      <c r="J434" s="191" t="s">
        <v>129</v>
      </c>
      <c r="K434" s="198" t="s">
        <v>384</v>
      </c>
      <c r="L434" s="193" t="s">
        <v>209</v>
      </c>
      <c r="M434" s="387"/>
      <c r="N434" s="265"/>
      <c r="O434" s="284"/>
      <c r="P434" s="41"/>
      <c r="Q434" s="284"/>
      <c r="R434" s="105"/>
      <c r="S434" s="57"/>
      <c r="T434" s="57"/>
      <c r="U434" s="57"/>
      <c r="V434" s="285"/>
      <c r="W434" s="36"/>
      <c r="X434" s="48"/>
    </row>
    <row r="435" spans="2:24" x14ac:dyDescent="0.25">
      <c r="B435" s="405"/>
      <c r="C435" s="89">
        <v>1</v>
      </c>
      <c r="D435" s="203" t="s">
        <v>128</v>
      </c>
      <c r="E435" s="259"/>
      <c r="F435" s="259"/>
      <c r="G435" s="259"/>
      <c r="H435" s="201" t="str">
        <f>CONCATENATE(L435,"-",C435,"-",LEFT(D435,3),LEFT(I435,3),"-",LEFT(J435,6),"-",5)</f>
        <v>HLP-1-ACSHA-1 PK-5</v>
      </c>
      <c r="I435" s="189" t="s">
        <v>133</v>
      </c>
      <c r="J435" s="191" t="s">
        <v>129</v>
      </c>
      <c r="K435" s="198" t="s">
        <v>247</v>
      </c>
      <c r="L435" s="193" t="s">
        <v>209</v>
      </c>
      <c r="M435" s="388"/>
      <c r="N435" s="265"/>
      <c r="O435" s="284"/>
      <c r="P435" s="41"/>
      <c r="Q435" s="284"/>
      <c r="R435" s="105"/>
      <c r="S435" s="57"/>
      <c r="T435" s="57"/>
      <c r="U435" s="57"/>
      <c r="V435" s="285"/>
      <c r="W435" s="36"/>
      <c r="X435" s="48"/>
    </row>
    <row r="436" spans="2:24" x14ac:dyDescent="0.25">
      <c r="B436" s="405"/>
      <c r="C436" s="89">
        <v>1</v>
      </c>
      <c r="D436" s="203" t="s">
        <v>128</v>
      </c>
      <c r="E436" s="259"/>
      <c r="F436" s="259"/>
      <c r="G436" s="259"/>
      <c r="H436" s="201" t="str">
        <f t="shared" si="9"/>
        <v>HLP-1-ACSHA-1,5 PK</v>
      </c>
      <c r="I436" s="189" t="s">
        <v>133</v>
      </c>
      <c r="J436" s="191" t="s">
        <v>130</v>
      </c>
      <c r="K436" s="198" t="s">
        <v>385</v>
      </c>
      <c r="L436" s="193" t="s">
        <v>209</v>
      </c>
      <c r="M436" s="274">
        <v>1</v>
      </c>
      <c r="N436" s="265"/>
      <c r="O436" s="284"/>
      <c r="P436" s="41"/>
      <c r="Q436" s="284"/>
      <c r="R436" s="105"/>
      <c r="S436" s="57"/>
      <c r="T436" s="57"/>
      <c r="U436" s="57"/>
      <c r="V436" s="285"/>
      <c r="W436" s="36"/>
      <c r="X436" s="48"/>
    </row>
    <row r="437" spans="2:24" x14ac:dyDescent="0.25">
      <c r="B437" s="405"/>
      <c r="C437" s="89">
        <v>1</v>
      </c>
      <c r="D437" s="203" t="s">
        <v>128</v>
      </c>
      <c r="E437" s="259"/>
      <c r="F437" s="259"/>
      <c r="G437" s="259"/>
      <c r="H437" s="201" t="str">
        <f t="shared" si="9"/>
        <v>HLP-1-ACSHA-2 PK</v>
      </c>
      <c r="I437" s="189" t="s">
        <v>133</v>
      </c>
      <c r="J437" s="192" t="s">
        <v>131</v>
      </c>
      <c r="K437" s="356" t="s">
        <v>359</v>
      </c>
      <c r="L437" s="193" t="s">
        <v>209</v>
      </c>
      <c r="M437" s="274">
        <v>0</v>
      </c>
      <c r="N437" s="265"/>
      <c r="O437" s="284"/>
      <c r="P437" s="41"/>
      <c r="Q437" s="284"/>
      <c r="R437" s="105"/>
      <c r="S437" s="57"/>
      <c r="T437" s="57"/>
      <c r="U437" s="57"/>
      <c r="V437" s="285"/>
      <c r="W437" s="36"/>
      <c r="X437" s="48"/>
    </row>
    <row r="438" spans="2:24" x14ac:dyDescent="0.25">
      <c r="B438" s="405"/>
      <c r="C438" s="89">
        <v>1</v>
      </c>
      <c r="D438" s="203" t="s">
        <v>128</v>
      </c>
      <c r="E438" s="259"/>
      <c r="F438" s="259"/>
      <c r="G438" s="259"/>
      <c r="H438" s="201" t="str">
        <f t="shared" si="9"/>
        <v>HLP-1-ACSHA-5 PK</v>
      </c>
      <c r="I438" s="189" t="s">
        <v>133</v>
      </c>
      <c r="J438" s="191" t="s">
        <v>132</v>
      </c>
      <c r="K438" s="356" t="s">
        <v>359</v>
      </c>
      <c r="L438" s="193" t="s">
        <v>209</v>
      </c>
      <c r="M438" s="274">
        <v>0</v>
      </c>
      <c r="N438" s="265"/>
      <c r="O438" s="284"/>
      <c r="P438" s="41"/>
      <c r="Q438" s="284"/>
      <c r="R438" s="105"/>
      <c r="S438" s="57"/>
      <c r="T438" s="57"/>
      <c r="U438" s="57"/>
      <c r="V438" s="285"/>
      <c r="W438" s="36"/>
      <c r="X438" s="48"/>
    </row>
    <row r="439" spans="2:24" x14ac:dyDescent="0.25">
      <c r="B439" s="405"/>
      <c r="C439" s="89">
        <v>1</v>
      </c>
      <c r="D439" s="203" t="s">
        <v>128</v>
      </c>
      <c r="E439" s="259"/>
      <c r="F439" s="259"/>
      <c r="G439" s="259"/>
      <c r="H439" s="201" t="str">
        <f t="shared" si="9"/>
        <v>HLP-1-ACPAN-1/2 PK</v>
      </c>
      <c r="I439" s="189" t="s">
        <v>134</v>
      </c>
      <c r="J439" s="193" t="s">
        <v>177</v>
      </c>
      <c r="K439" s="356" t="s">
        <v>359</v>
      </c>
      <c r="L439" s="193" t="s">
        <v>209</v>
      </c>
      <c r="M439" s="274">
        <v>0</v>
      </c>
      <c r="N439" s="265"/>
      <c r="O439" s="284"/>
      <c r="P439" s="41"/>
      <c r="Q439" s="284"/>
      <c r="R439" s="105"/>
      <c r="S439" s="57"/>
      <c r="T439" s="57"/>
      <c r="U439" s="57"/>
      <c r="V439" s="285"/>
      <c r="W439" s="36"/>
      <c r="X439" s="48"/>
    </row>
    <row r="440" spans="2:24" x14ac:dyDescent="0.25">
      <c r="B440" s="405"/>
      <c r="C440" s="89">
        <v>1</v>
      </c>
      <c r="D440" s="203" t="s">
        <v>128</v>
      </c>
      <c r="E440" s="259"/>
      <c r="F440" s="259"/>
      <c r="G440" s="259"/>
      <c r="H440" s="201" t="str">
        <f t="shared" si="9"/>
        <v>HLP-1-ACPAN-3/4 PK</v>
      </c>
      <c r="I440" s="189" t="s">
        <v>134</v>
      </c>
      <c r="J440" s="190" t="s">
        <v>217</v>
      </c>
      <c r="K440" s="356" t="s">
        <v>359</v>
      </c>
      <c r="L440" s="193" t="s">
        <v>209</v>
      </c>
      <c r="M440" s="274">
        <v>0</v>
      </c>
      <c r="N440" s="265"/>
      <c r="O440" s="284"/>
      <c r="P440" s="41"/>
      <c r="Q440" s="284"/>
      <c r="R440" s="105"/>
      <c r="S440" s="57"/>
      <c r="T440" s="57"/>
      <c r="U440" s="57"/>
      <c r="V440" s="285"/>
      <c r="W440" s="36"/>
      <c r="X440" s="48"/>
    </row>
    <row r="441" spans="2:24" x14ac:dyDescent="0.25">
      <c r="B441" s="405"/>
      <c r="C441" s="89">
        <v>1</v>
      </c>
      <c r="D441" s="203" t="s">
        <v>128</v>
      </c>
      <c r="E441" s="259"/>
      <c r="F441" s="259"/>
      <c r="G441" s="259"/>
      <c r="H441" s="201" t="str">
        <f>CONCATENATE(L441,"-",C441,"-",LEFT(D441,3),LEFT(I441,3),"-",LEFT(J441,6),"-",1)</f>
        <v>HLP-1-ACPAN-1 PK-1</v>
      </c>
      <c r="I441" s="189" t="s">
        <v>134</v>
      </c>
      <c r="J441" s="191" t="s">
        <v>129</v>
      </c>
      <c r="K441" s="198" t="s">
        <v>386</v>
      </c>
      <c r="L441" s="193" t="s">
        <v>209</v>
      </c>
      <c r="M441" s="389">
        <v>4</v>
      </c>
      <c r="N441" s="265"/>
      <c r="O441" s="284"/>
      <c r="P441" s="41"/>
      <c r="Q441" s="284"/>
      <c r="R441" s="105"/>
      <c r="S441" s="57"/>
      <c r="T441" s="57"/>
      <c r="U441" s="57"/>
      <c r="V441" s="285"/>
      <c r="W441" s="36"/>
      <c r="X441" s="48"/>
    </row>
    <row r="442" spans="2:24" x14ac:dyDescent="0.25">
      <c r="B442" s="405"/>
      <c r="C442" s="89">
        <v>1</v>
      </c>
      <c r="D442" s="203" t="s">
        <v>128</v>
      </c>
      <c r="E442" s="259"/>
      <c r="F442" s="259"/>
      <c r="G442" s="259"/>
      <c r="H442" s="201" t="str">
        <f>CONCATENATE(L442,"-",C442,"-",LEFT(D442,3),LEFT(I442,3),"-",LEFT(J442,6),"-",2)</f>
        <v>HLP-1-ACPAN-1 PK-2</v>
      </c>
      <c r="I442" s="189" t="s">
        <v>134</v>
      </c>
      <c r="J442" s="191" t="s">
        <v>129</v>
      </c>
      <c r="K442" s="198" t="s">
        <v>239</v>
      </c>
      <c r="L442" s="193" t="s">
        <v>209</v>
      </c>
      <c r="M442" s="387"/>
      <c r="N442" s="265"/>
      <c r="O442" s="284"/>
      <c r="P442" s="41"/>
      <c r="Q442" s="284"/>
      <c r="R442" s="105"/>
      <c r="S442" s="57"/>
      <c r="T442" s="57"/>
      <c r="U442" s="57"/>
      <c r="V442" s="285"/>
      <c r="W442" s="36"/>
      <c r="X442" s="48"/>
    </row>
    <row r="443" spans="2:24" x14ac:dyDescent="0.25">
      <c r="B443" s="405"/>
      <c r="C443" s="89">
        <v>1</v>
      </c>
      <c r="D443" s="203" t="s">
        <v>128</v>
      </c>
      <c r="E443" s="259"/>
      <c r="F443" s="259"/>
      <c r="G443" s="259"/>
      <c r="H443" s="201" t="str">
        <f>CONCATENATE(L443,"-",C443,"-",LEFT(D443,3),LEFT(I443,3),"-",LEFT(J443,6),"-",3)</f>
        <v>HLP-1-ACPAN-1 PK-3</v>
      </c>
      <c r="I443" s="189" t="s">
        <v>134</v>
      </c>
      <c r="J443" s="191" t="s">
        <v>129</v>
      </c>
      <c r="K443" s="198" t="s">
        <v>387</v>
      </c>
      <c r="L443" s="193" t="s">
        <v>209</v>
      </c>
      <c r="M443" s="387"/>
      <c r="N443" s="265"/>
      <c r="O443" s="284"/>
      <c r="P443" s="41"/>
      <c r="Q443" s="284"/>
      <c r="R443" s="105"/>
      <c r="S443" s="57"/>
      <c r="T443" s="57"/>
      <c r="U443" s="57"/>
      <c r="V443" s="285"/>
      <c r="W443" s="36"/>
      <c r="X443" s="48"/>
    </row>
    <row r="444" spans="2:24" x14ac:dyDescent="0.25">
      <c r="B444" s="405"/>
      <c r="C444" s="89">
        <v>1</v>
      </c>
      <c r="D444" s="203" t="s">
        <v>128</v>
      </c>
      <c r="E444" s="259"/>
      <c r="F444" s="259"/>
      <c r="G444" s="259"/>
      <c r="H444" s="201" t="str">
        <f>CONCATENATE(L444,"-",C444,"-",LEFT(D444,3),LEFT(I444,3),"-",LEFT(J444,6),"-",4)</f>
        <v>HLP-1-ACPAN-1 PK-4</v>
      </c>
      <c r="I444" s="189" t="s">
        <v>134</v>
      </c>
      <c r="J444" s="191" t="s">
        <v>129</v>
      </c>
      <c r="K444" s="198" t="s">
        <v>388</v>
      </c>
      <c r="L444" s="193" t="s">
        <v>209</v>
      </c>
      <c r="M444" s="388"/>
      <c r="N444" s="265"/>
      <c r="O444" s="284"/>
      <c r="P444" s="41"/>
      <c r="Q444" s="284"/>
      <c r="R444" s="105"/>
      <c r="S444" s="57"/>
      <c r="T444" s="57"/>
      <c r="U444" s="57"/>
      <c r="V444" s="285"/>
      <c r="W444" s="36"/>
      <c r="X444" s="48"/>
    </row>
    <row r="445" spans="2:24" x14ac:dyDescent="0.25">
      <c r="B445" s="405"/>
      <c r="C445" s="89">
        <v>1</v>
      </c>
      <c r="D445" s="203" t="s">
        <v>128</v>
      </c>
      <c r="E445" s="259"/>
      <c r="F445" s="259"/>
      <c r="G445" s="259"/>
      <c r="H445" s="201" t="str">
        <f t="shared" si="9"/>
        <v>HLP-1-ACPAN-1,5 PK</v>
      </c>
      <c r="I445" s="189" t="s">
        <v>134</v>
      </c>
      <c r="J445" s="191" t="s">
        <v>130</v>
      </c>
      <c r="K445" s="198" t="s">
        <v>389</v>
      </c>
      <c r="L445" s="193" t="s">
        <v>209</v>
      </c>
      <c r="M445" s="274">
        <v>1</v>
      </c>
      <c r="N445" s="265"/>
      <c r="O445" s="284"/>
      <c r="P445" s="41"/>
      <c r="Q445" s="284"/>
      <c r="R445" s="105"/>
      <c r="S445" s="57"/>
      <c r="T445" s="57"/>
      <c r="U445" s="57"/>
      <c r="V445" s="285"/>
      <c r="W445" s="36"/>
      <c r="X445" s="48"/>
    </row>
    <row r="446" spans="2:24" x14ac:dyDescent="0.25">
      <c r="B446" s="405"/>
      <c r="C446" s="89">
        <v>1</v>
      </c>
      <c r="D446" s="203" t="s">
        <v>128</v>
      </c>
      <c r="E446" s="259"/>
      <c r="F446" s="259"/>
      <c r="G446" s="259"/>
      <c r="H446" s="201" t="str">
        <f t="shared" si="9"/>
        <v>HLP-1-ACPAN-2 PK</v>
      </c>
      <c r="I446" s="189" t="s">
        <v>134</v>
      </c>
      <c r="J446" s="192" t="s">
        <v>131</v>
      </c>
      <c r="K446" s="356" t="s">
        <v>359</v>
      </c>
      <c r="L446" s="193" t="s">
        <v>209</v>
      </c>
      <c r="M446" s="274">
        <v>0</v>
      </c>
      <c r="N446" s="265"/>
      <c r="O446" s="284"/>
      <c r="P446" s="41"/>
      <c r="Q446" s="284"/>
      <c r="R446" s="105"/>
      <c r="S446" s="57"/>
      <c r="T446" s="57"/>
      <c r="U446" s="57"/>
      <c r="V446" s="285"/>
      <c r="W446" s="36"/>
      <c r="X446" s="48"/>
    </row>
    <row r="447" spans="2:24" x14ac:dyDescent="0.25">
      <c r="B447" s="405"/>
      <c r="C447" s="89">
        <v>1</v>
      </c>
      <c r="D447" s="203" t="s">
        <v>128</v>
      </c>
      <c r="E447" s="259"/>
      <c r="F447" s="259"/>
      <c r="G447" s="259"/>
      <c r="H447" s="201" t="str">
        <f t="shared" si="9"/>
        <v>HLP-1-ACPAN-5 PK</v>
      </c>
      <c r="I447" s="189" t="s">
        <v>134</v>
      </c>
      <c r="J447" s="191" t="s">
        <v>132</v>
      </c>
      <c r="K447" s="356" t="s">
        <v>359</v>
      </c>
      <c r="L447" s="193" t="s">
        <v>209</v>
      </c>
      <c r="M447" s="274">
        <v>0</v>
      </c>
      <c r="N447" s="265"/>
      <c r="O447" s="284"/>
      <c r="P447" s="41"/>
      <c r="Q447" s="284"/>
      <c r="R447" s="105"/>
      <c r="S447" s="57"/>
      <c r="T447" s="57"/>
      <c r="U447" s="57"/>
      <c r="V447" s="285"/>
      <c r="W447" s="36"/>
      <c r="X447" s="48"/>
    </row>
    <row r="448" spans="2:24" x14ac:dyDescent="0.25">
      <c r="B448" s="405"/>
      <c r="C448" s="89">
        <v>1</v>
      </c>
      <c r="D448" s="203" t="s">
        <v>128</v>
      </c>
      <c r="E448" s="259"/>
      <c r="F448" s="259"/>
      <c r="G448" s="259"/>
      <c r="H448" s="201" t="str">
        <f t="shared" si="9"/>
        <v>HLP-1-ACCHA-1/2 PK</v>
      </c>
      <c r="I448" s="189" t="s">
        <v>339</v>
      </c>
      <c r="J448" s="193" t="s">
        <v>177</v>
      </c>
      <c r="K448" s="356" t="s">
        <v>359</v>
      </c>
      <c r="L448" s="193" t="s">
        <v>209</v>
      </c>
      <c r="M448" s="274">
        <v>0</v>
      </c>
      <c r="N448" s="265"/>
      <c r="O448" s="284"/>
      <c r="P448" s="41"/>
      <c r="Q448" s="284"/>
      <c r="R448" s="105"/>
      <c r="S448" s="57"/>
      <c r="T448" s="57"/>
      <c r="U448" s="57"/>
      <c r="V448" s="285"/>
      <c r="W448" s="36"/>
      <c r="X448" s="48"/>
    </row>
    <row r="449" spans="2:24" x14ac:dyDescent="0.25">
      <c r="B449" s="405"/>
      <c r="C449" s="89">
        <v>1</v>
      </c>
      <c r="D449" s="203" t="s">
        <v>128</v>
      </c>
      <c r="E449" s="259"/>
      <c r="F449" s="259"/>
      <c r="G449" s="259"/>
      <c r="H449" s="201" t="str">
        <f t="shared" si="9"/>
        <v>HLP-1-ACCHA-3/4 PK</v>
      </c>
      <c r="I449" s="189" t="s">
        <v>339</v>
      </c>
      <c r="J449" s="190" t="s">
        <v>217</v>
      </c>
      <c r="K449" s="356" t="s">
        <v>359</v>
      </c>
      <c r="L449" s="193" t="s">
        <v>209</v>
      </c>
      <c r="M449" s="274">
        <v>0</v>
      </c>
      <c r="N449" s="265"/>
      <c r="O449" s="284"/>
      <c r="P449" s="41"/>
      <c r="Q449" s="284"/>
      <c r="R449" s="105"/>
      <c r="S449" s="57"/>
      <c r="T449" s="57"/>
      <c r="U449" s="57"/>
      <c r="V449" s="285"/>
      <c r="W449" s="36"/>
      <c r="X449" s="48"/>
    </row>
    <row r="450" spans="2:24" x14ac:dyDescent="0.25">
      <c r="B450" s="405"/>
      <c r="C450" s="89">
        <v>1</v>
      </c>
      <c r="D450" s="203" t="s">
        <v>128</v>
      </c>
      <c r="E450" s="259"/>
      <c r="F450" s="259"/>
      <c r="G450" s="259"/>
      <c r="H450" s="201" t="str">
        <f t="shared" si="9"/>
        <v>HLP-1-ACCHA-1 PK</v>
      </c>
      <c r="I450" s="189" t="s">
        <v>339</v>
      </c>
      <c r="J450" s="191" t="s">
        <v>129</v>
      </c>
      <c r="K450" s="356" t="s">
        <v>359</v>
      </c>
      <c r="L450" s="193" t="s">
        <v>209</v>
      </c>
      <c r="M450" s="274">
        <v>0</v>
      </c>
      <c r="N450" s="265"/>
      <c r="O450" s="284"/>
      <c r="P450" s="41"/>
      <c r="Q450" s="284"/>
      <c r="R450" s="105"/>
      <c r="S450" s="57"/>
      <c r="T450" s="57"/>
      <c r="U450" s="57"/>
      <c r="V450" s="285"/>
      <c r="W450" s="36"/>
      <c r="X450" s="48"/>
    </row>
    <row r="451" spans="2:24" x14ac:dyDescent="0.25">
      <c r="B451" s="405"/>
      <c r="C451" s="89">
        <v>1</v>
      </c>
      <c r="D451" s="203" t="s">
        <v>128</v>
      </c>
      <c r="E451" s="259"/>
      <c r="F451" s="259"/>
      <c r="G451" s="259"/>
      <c r="H451" s="201" t="str">
        <f t="shared" si="9"/>
        <v>HLP-1-ACCHA-1,5 PK</v>
      </c>
      <c r="I451" s="189" t="s">
        <v>339</v>
      </c>
      <c r="J451" s="191" t="s">
        <v>130</v>
      </c>
      <c r="K451" s="356" t="s">
        <v>359</v>
      </c>
      <c r="L451" s="193" t="s">
        <v>209</v>
      </c>
      <c r="M451" s="274">
        <v>0</v>
      </c>
      <c r="N451" s="265"/>
      <c r="O451" s="284"/>
      <c r="P451" s="41"/>
      <c r="Q451" s="284"/>
      <c r="R451" s="105"/>
      <c r="S451" s="57"/>
      <c r="T451" s="57"/>
      <c r="U451" s="57"/>
      <c r="V451" s="285"/>
      <c r="W451" s="36"/>
      <c r="X451" s="48"/>
    </row>
    <row r="452" spans="2:24" x14ac:dyDescent="0.25">
      <c r="B452" s="405"/>
      <c r="C452" s="89">
        <v>1</v>
      </c>
      <c r="D452" s="203" t="s">
        <v>128</v>
      </c>
      <c r="E452" s="259"/>
      <c r="F452" s="259"/>
      <c r="G452" s="259"/>
      <c r="H452" s="201" t="str">
        <f t="shared" si="9"/>
        <v>HLP-1-ACCHA-2 PK</v>
      </c>
      <c r="I452" s="189" t="s">
        <v>339</v>
      </c>
      <c r="J452" s="192" t="s">
        <v>131</v>
      </c>
      <c r="K452" s="356" t="s">
        <v>359</v>
      </c>
      <c r="L452" s="193" t="s">
        <v>209</v>
      </c>
      <c r="M452" s="274">
        <v>0</v>
      </c>
      <c r="N452" s="265"/>
      <c r="O452" s="284"/>
      <c r="P452" s="41"/>
      <c r="Q452" s="284"/>
      <c r="R452" s="105"/>
      <c r="S452" s="57"/>
      <c r="T452" s="57"/>
      <c r="U452" s="57"/>
      <c r="V452" s="285"/>
      <c r="W452" s="36"/>
      <c r="X452" s="48"/>
    </row>
    <row r="453" spans="2:24" x14ac:dyDescent="0.25">
      <c r="B453" s="405"/>
      <c r="C453" s="89">
        <v>1</v>
      </c>
      <c r="D453" s="203" t="s">
        <v>128</v>
      </c>
      <c r="E453" s="259"/>
      <c r="F453" s="259"/>
      <c r="G453" s="259"/>
      <c r="H453" s="201" t="str">
        <f t="shared" si="9"/>
        <v>HLP-1-ACCHA-5 PK</v>
      </c>
      <c r="I453" s="189" t="s">
        <v>339</v>
      </c>
      <c r="J453" s="191" t="s">
        <v>132</v>
      </c>
      <c r="K453" s="356" t="s">
        <v>359</v>
      </c>
      <c r="L453" s="193" t="s">
        <v>209</v>
      </c>
      <c r="M453" s="274">
        <v>0</v>
      </c>
      <c r="N453" s="265"/>
      <c r="O453" s="284"/>
      <c r="P453" s="41"/>
      <c r="Q453" s="284"/>
      <c r="R453" s="105"/>
      <c r="S453" s="57"/>
      <c r="T453" s="57"/>
      <c r="U453" s="57"/>
      <c r="V453" s="285"/>
      <c r="W453" s="36"/>
      <c r="X453" s="48"/>
    </row>
    <row r="454" spans="2:24" x14ac:dyDescent="0.25">
      <c r="B454" s="405"/>
      <c r="C454" s="89">
        <v>1</v>
      </c>
      <c r="D454" s="203" t="s">
        <v>128</v>
      </c>
      <c r="E454" s="259"/>
      <c r="F454" s="259"/>
      <c r="G454" s="259"/>
      <c r="H454" s="201" t="str">
        <f t="shared" si="9"/>
        <v>HLP-1-ACGRE-1/2 PK</v>
      </c>
      <c r="I454" s="189" t="s">
        <v>135</v>
      </c>
      <c r="J454" s="193" t="s">
        <v>177</v>
      </c>
      <c r="K454" s="356" t="s">
        <v>359</v>
      </c>
      <c r="L454" s="193" t="s">
        <v>209</v>
      </c>
      <c r="M454" s="274">
        <v>0</v>
      </c>
      <c r="N454" s="265"/>
      <c r="O454" s="284"/>
      <c r="P454" s="41"/>
      <c r="Q454" s="284"/>
      <c r="R454" s="105"/>
      <c r="S454" s="57"/>
      <c r="T454" s="57"/>
      <c r="U454" s="57"/>
      <c r="V454" s="285"/>
      <c r="W454" s="36"/>
      <c r="X454" s="48"/>
    </row>
    <row r="455" spans="2:24" x14ac:dyDescent="0.25">
      <c r="B455" s="405"/>
      <c r="C455" s="89">
        <v>1</v>
      </c>
      <c r="D455" s="203" t="s">
        <v>128</v>
      </c>
      <c r="E455" s="259"/>
      <c r="F455" s="259"/>
      <c r="G455" s="259"/>
      <c r="H455" s="201" t="str">
        <f t="shared" si="9"/>
        <v>HLP-1-ACGRE-3/4 PK</v>
      </c>
      <c r="I455" s="189" t="s">
        <v>135</v>
      </c>
      <c r="J455" s="190" t="s">
        <v>217</v>
      </c>
      <c r="K455" s="356" t="s">
        <v>359</v>
      </c>
      <c r="L455" s="193" t="s">
        <v>209</v>
      </c>
      <c r="M455" s="274">
        <v>0</v>
      </c>
      <c r="N455" s="265"/>
      <c r="O455" s="284"/>
      <c r="P455" s="41"/>
      <c r="Q455" s="284"/>
      <c r="R455" s="105"/>
      <c r="S455" s="57"/>
      <c r="T455" s="57"/>
      <c r="U455" s="57"/>
      <c r="V455" s="285"/>
      <c r="W455" s="36"/>
      <c r="X455" s="48"/>
    </row>
    <row r="456" spans="2:24" x14ac:dyDescent="0.25">
      <c r="B456" s="405"/>
      <c r="C456" s="89">
        <v>1</v>
      </c>
      <c r="D456" s="203" t="s">
        <v>128</v>
      </c>
      <c r="E456" s="259"/>
      <c r="F456" s="259"/>
      <c r="G456" s="259"/>
      <c r="H456" s="201" t="str">
        <f t="shared" si="9"/>
        <v>HLP-1-ACGRE-1 PK</v>
      </c>
      <c r="I456" s="189" t="s">
        <v>135</v>
      </c>
      <c r="J456" s="191" t="s">
        <v>129</v>
      </c>
      <c r="K456" s="198" t="s">
        <v>249</v>
      </c>
      <c r="L456" s="193" t="s">
        <v>209</v>
      </c>
      <c r="M456" s="274">
        <v>1</v>
      </c>
      <c r="N456" s="265"/>
      <c r="O456" s="284"/>
      <c r="P456" s="41"/>
      <c r="Q456" s="284"/>
      <c r="R456" s="105"/>
      <c r="S456" s="57"/>
      <c r="T456" s="57"/>
      <c r="U456" s="57"/>
      <c r="V456" s="285"/>
      <c r="W456" s="36"/>
      <c r="X456" s="48"/>
    </row>
    <row r="457" spans="2:24" x14ac:dyDescent="0.25">
      <c r="B457" s="405"/>
      <c r="C457" s="89">
        <v>1</v>
      </c>
      <c r="D457" s="203" t="s">
        <v>128</v>
      </c>
      <c r="E457" s="259"/>
      <c r="F457" s="259"/>
      <c r="G457" s="259"/>
      <c r="H457" s="201" t="str">
        <f t="shared" si="9"/>
        <v>HLP-1-ACGRE-1,5 PK</v>
      </c>
      <c r="I457" s="189" t="s">
        <v>135</v>
      </c>
      <c r="J457" s="191" t="s">
        <v>130</v>
      </c>
      <c r="K457" s="356" t="s">
        <v>359</v>
      </c>
      <c r="L457" s="193" t="s">
        <v>209</v>
      </c>
      <c r="M457" s="274">
        <v>0</v>
      </c>
      <c r="N457" s="265"/>
      <c r="O457" s="284"/>
      <c r="P457" s="41"/>
      <c r="Q457" s="284"/>
      <c r="R457" s="105"/>
      <c r="S457" s="57"/>
      <c r="T457" s="57"/>
      <c r="U457" s="57"/>
      <c r="V457" s="285"/>
      <c r="W457" s="36"/>
      <c r="X457" s="48"/>
    </row>
    <row r="458" spans="2:24" x14ac:dyDescent="0.25">
      <c r="B458" s="405"/>
      <c r="C458" s="89">
        <v>1</v>
      </c>
      <c r="D458" s="203" t="s">
        <v>128</v>
      </c>
      <c r="E458" s="259"/>
      <c r="F458" s="259"/>
      <c r="G458" s="259"/>
      <c r="H458" s="201" t="str">
        <f t="shared" si="9"/>
        <v>HLP-1-ACGRE-2 PK</v>
      </c>
      <c r="I458" s="189" t="s">
        <v>135</v>
      </c>
      <c r="J458" s="192" t="s">
        <v>131</v>
      </c>
      <c r="K458" s="356" t="s">
        <v>359</v>
      </c>
      <c r="L458" s="193" t="s">
        <v>209</v>
      </c>
      <c r="M458" s="274">
        <v>0</v>
      </c>
      <c r="N458" s="265"/>
      <c r="O458" s="284"/>
      <c r="P458" s="41"/>
      <c r="Q458" s="284"/>
      <c r="R458" s="105"/>
      <c r="S458" s="57"/>
      <c r="T458" s="57"/>
      <c r="U458" s="57"/>
      <c r="V458" s="285"/>
      <c r="W458" s="36"/>
      <c r="X458" s="48"/>
    </row>
    <row r="459" spans="2:24" x14ac:dyDescent="0.25">
      <c r="B459" s="405"/>
      <c r="C459" s="89">
        <v>1</v>
      </c>
      <c r="D459" s="203" t="s">
        <v>128</v>
      </c>
      <c r="E459" s="259"/>
      <c r="F459" s="259"/>
      <c r="G459" s="259"/>
      <c r="H459" s="201" t="str">
        <f t="shared" si="9"/>
        <v>HLP-1-ACGRE-5 PK</v>
      </c>
      <c r="I459" s="189" t="s">
        <v>135</v>
      </c>
      <c r="J459" s="191" t="s">
        <v>132</v>
      </c>
      <c r="K459" s="356" t="s">
        <v>359</v>
      </c>
      <c r="L459" s="193" t="s">
        <v>209</v>
      </c>
      <c r="M459" s="274">
        <v>0</v>
      </c>
      <c r="N459" s="265"/>
      <c r="O459" s="284"/>
      <c r="P459" s="41"/>
      <c r="Q459" s="284"/>
      <c r="R459" s="105"/>
      <c r="S459" s="57"/>
      <c r="T459" s="57"/>
      <c r="U459" s="57"/>
      <c r="V459" s="285"/>
      <c r="W459" s="36"/>
      <c r="X459" s="48"/>
    </row>
    <row r="460" spans="2:24" x14ac:dyDescent="0.25">
      <c r="B460" s="405"/>
      <c r="C460" s="89">
        <v>1</v>
      </c>
      <c r="D460" s="203" t="s">
        <v>128</v>
      </c>
      <c r="E460" s="259"/>
      <c r="F460" s="259"/>
      <c r="G460" s="259"/>
      <c r="H460" s="201" t="str">
        <f t="shared" si="9"/>
        <v>HLP-1-ACSAN-1/2 PK</v>
      </c>
      <c r="I460" s="189" t="s">
        <v>136</v>
      </c>
      <c r="J460" s="193" t="s">
        <v>177</v>
      </c>
      <c r="K460" s="356" t="s">
        <v>359</v>
      </c>
      <c r="L460" s="193" t="s">
        <v>209</v>
      </c>
      <c r="M460" s="274">
        <v>0</v>
      </c>
      <c r="N460" s="265"/>
      <c r="O460" s="284"/>
      <c r="P460" s="41"/>
      <c r="Q460" s="284"/>
      <c r="R460" s="105"/>
      <c r="S460" s="57"/>
      <c r="T460" s="57"/>
      <c r="U460" s="57"/>
      <c r="V460" s="285"/>
      <c r="W460" s="36"/>
      <c r="X460" s="48"/>
    </row>
    <row r="461" spans="2:24" x14ac:dyDescent="0.25">
      <c r="B461" s="405"/>
      <c r="C461" s="89">
        <v>1</v>
      </c>
      <c r="D461" s="203" t="s">
        <v>128</v>
      </c>
      <c r="E461" s="259"/>
      <c r="F461" s="259"/>
      <c r="G461" s="259"/>
      <c r="H461" s="201" t="str">
        <f t="shared" si="9"/>
        <v>HLP-1-ACSAN-3/4 PK</v>
      </c>
      <c r="I461" s="189" t="s">
        <v>136</v>
      </c>
      <c r="J461" s="190" t="s">
        <v>217</v>
      </c>
      <c r="K461" s="356" t="s">
        <v>359</v>
      </c>
      <c r="L461" s="193" t="s">
        <v>209</v>
      </c>
      <c r="M461" s="274">
        <v>0</v>
      </c>
      <c r="N461" s="265"/>
      <c r="O461" s="284"/>
      <c r="P461" s="41"/>
      <c r="Q461" s="284"/>
      <c r="R461" s="105"/>
      <c r="S461" s="57"/>
      <c r="T461" s="57"/>
      <c r="U461" s="57"/>
      <c r="V461" s="285"/>
      <c r="W461" s="36"/>
      <c r="X461" s="48"/>
    </row>
    <row r="462" spans="2:24" x14ac:dyDescent="0.25">
      <c r="B462" s="405"/>
      <c r="C462" s="89">
        <v>1</v>
      </c>
      <c r="D462" s="203" t="s">
        <v>128</v>
      </c>
      <c r="E462" s="259"/>
      <c r="F462" s="259"/>
      <c r="G462" s="259"/>
      <c r="H462" s="201" t="str">
        <f t="shared" si="9"/>
        <v>HLP-1-ACSAN-1 PK</v>
      </c>
      <c r="I462" s="189" t="s">
        <v>136</v>
      </c>
      <c r="J462" s="191" t="s">
        <v>129</v>
      </c>
      <c r="K462" s="198" t="s">
        <v>390</v>
      </c>
      <c r="L462" s="193" t="s">
        <v>209</v>
      </c>
      <c r="M462" s="274">
        <v>1</v>
      </c>
      <c r="N462" s="265"/>
      <c r="O462" s="284"/>
      <c r="P462" s="41"/>
      <c r="Q462" s="284"/>
      <c r="R462" s="105"/>
      <c r="S462" s="57"/>
      <c r="T462" s="57"/>
      <c r="U462" s="57"/>
      <c r="V462" s="285"/>
      <c r="W462" s="36"/>
      <c r="X462" s="48"/>
    </row>
    <row r="463" spans="2:24" x14ac:dyDescent="0.25">
      <c r="B463" s="405"/>
      <c r="C463" s="89">
        <v>1</v>
      </c>
      <c r="D463" s="203" t="s">
        <v>128</v>
      </c>
      <c r="E463" s="259"/>
      <c r="F463" s="259"/>
      <c r="G463" s="259"/>
      <c r="H463" s="201" t="str">
        <f t="shared" si="9"/>
        <v>HLP-1-ACSAN-1,5 PK</v>
      </c>
      <c r="I463" s="189" t="s">
        <v>136</v>
      </c>
      <c r="J463" s="191" t="s">
        <v>130</v>
      </c>
      <c r="K463" s="356" t="s">
        <v>359</v>
      </c>
      <c r="L463" s="193" t="s">
        <v>209</v>
      </c>
      <c r="M463" s="274">
        <v>0</v>
      </c>
      <c r="N463" s="265"/>
      <c r="O463" s="284"/>
      <c r="P463" s="41"/>
      <c r="Q463" s="284"/>
      <c r="R463" s="105"/>
      <c r="S463" s="57"/>
      <c r="T463" s="57"/>
      <c r="U463" s="57"/>
      <c r="V463" s="285"/>
      <c r="W463" s="36"/>
      <c r="X463" s="48"/>
    </row>
    <row r="464" spans="2:24" x14ac:dyDescent="0.25">
      <c r="B464" s="405"/>
      <c r="C464" s="89">
        <v>1</v>
      </c>
      <c r="D464" s="203" t="s">
        <v>128</v>
      </c>
      <c r="E464" s="259"/>
      <c r="F464" s="259"/>
      <c r="G464" s="259"/>
      <c r="H464" s="201" t="str">
        <f t="shared" si="9"/>
        <v>HLP-1-ACSAN-2 PK</v>
      </c>
      <c r="I464" s="189" t="s">
        <v>136</v>
      </c>
      <c r="J464" s="192" t="s">
        <v>131</v>
      </c>
      <c r="K464" s="356" t="s">
        <v>359</v>
      </c>
      <c r="L464" s="193" t="s">
        <v>209</v>
      </c>
      <c r="M464" s="274">
        <v>0</v>
      </c>
      <c r="N464" s="265"/>
      <c r="O464" s="284"/>
      <c r="P464" s="41"/>
      <c r="Q464" s="284"/>
      <c r="R464" s="105"/>
      <c r="S464" s="57"/>
      <c r="T464" s="57"/>
      <c r="U464" s="57"/>
      <c r="V464" s="285"/>
      <c r="W464" s="36"/>
      <c r="X464" s="48"/>
    </row>
    <row r="465" spans="2:24" x14ac:dyDescent="0.25">
      <c r="B465" s="405"/>
      <c r="C465" s="89">
        <v>1</v>
      </c>
      <c r="D465" s="203" t="s">
        <v>128</v>
      </c>
      <c r="E465" s="259"/>
      <c r="F465" s="259"/>
      <c r="G465" s="259"/>
      <c r="H465" s="201" t="str">
        <f t="shared" si="9"/>
        <v>HLP-1-ACSAN-5 PK</v>
      </c>
      <c r="I465" s="189" t="s">
        <v>136</v>
      </c>
      <c r="J465" s="191" t="s">
        <v>132</v>
      </c>
      <c r="K465" s="356" t="s">
        <v>359</v>
      </c>
      <c r="L465" s="193" t="s">
        <v>209</v>
      </c>
      <c r="M465" s="274">
        <v>0</v>
      </c>
      <c r="N465" s="265"/>
      <c r="O465" s="284"/>
      <c r="P465" s="41"/>
      <c r="Q465" s="284"/>
      <c r="R465" s="105"/>
      <c r="S465" s="57"/>
      <c r="T465" s="57"/>
      <c r="U465" s="57"/>
      <c r="V465" s="285"/>
      <c r="W465" s="36"/>
      <c r="X465" s="48"/>
    </row>
    <row r="466" spans="2:24" x14ac:dyDescent="0.25">
      <c r="B466" s="405"/>
      <c r="C466" s="89">
        <v>1</v>
      </c>
      <c r="D466" s="203" t="s">
        <v>128</v>
      </c>
      <c r="E466" s="259"/>
      <c r="F466" s="259"/>
      <c r="G466" s="259"/>
      <c r="H466" s="201" t="str">
        <f t="shared" si="9"/>
        <v>HLP-1-ACDAI-1/2 PK</v>
      </c>
      <c r="I466" s="189" t="s">
        <v>137</v>
      </c>
      <c r="J466" s="193" t="s">
        <v>177</v>
      </c>
      <c r="K466" s="356" t="s">
        <v>359</v>
      </c>
      <c r="L466" s="193" t="s">
        <v>209</v>
      </c>
      <c r="M466" s="274">
        <v>0</v>
      </c>
      <c r="N466" s="265"/>
      <c r="O466" s="284"/>
      <c r="P466" s="41"/>
      <c r="Q466" s="284"/>
      <c r="R466" s="105"/>
      <c r="S466" s="57"/>
      <c r="T466" s="57"/>
      <c r="U466" s="57"/>
      <c r="V466" s="285"/>
      <c r="W466" s="36"/>
      <c r="X466" s="48"/>
    </row>
    <row r="467" spans="2:24" x14ac:dyDescent="0.25">
      <c r="B467" s="405"/>
      <c r="C467" s="89">
        <v>1</v>
      </c>
      <c r="D467" s="203" t="s">
        <v>128</v>
      </c>
      <c r="E467" s="259"/>
      <c r="F467" s="259"/>
      <c r="G467" s="259"/>
      <c r="H467" s="201" t="str">
        <f t="shared" si="9"/>
        <v>HLP-1-ACDAI-3/4 PK</v>
      </c>
      <c r="I467" s="189" t="s">
        <v>137</v>
      </c>
      <c r="J467" s="190" t="s">
        <v>217</v>
      </c>
      <c r="K467" s="356" t="s">
        <v>359</v>
      </c>
      <c r="L467" s="193" t="s">
        <v>209</v>
      </c>
      <c r="M467" s="274">
        <v>0</v>
      </c>
      <c r="N467" s="265"/>
      <c r="O467" s="284"/>
      <c r="P467" s="41"/>
      <c r="Q467" s="284"/>
      <c r="R467" s="105"/>
      <c r="S467" s="57"/>
      <c r="T467" s="57"/>
      <c r="U467" s="57"/>
      <c r="V467" s="285"/>
      <c r="W467" s="36"/>
      <c r="X467" s="48"/>
    </row>
    <row r="468" spans="2:24" x14ac:dyDescent="0.25">
      <c r="B468" s="405"/>
      <c r="C468" s="89">
        <v>1</v>
      </c>
      <c r="D468" s="203" t="s">
        <v>128</v>
      </c>
      <c r="E468" s="259"/>
      <c r="F468" s="259"/>
      <c r="G468" s="259"/>
      <c r="H468" s="201" t="str">
        <f t="shared" si="9"/>
        <v>HLP-1-ACDAI-1 PK</v>
      </c>
      <c r="I468" s="189" t="s">
        <v>137</v>
      </c>
      <c r="J468" s="191" t="s">
        <v>129</v>
      </c>
      <c r="K468" s="356" t="s">
        <v>359</v>
      </c>
      <c r="L468" s="193" t="s">
        <v>209</v>
      </c>
      <c r="M468" s="274">
        <v>0</v>
      </c>
      <c r="N468" s="265"/>
      <c r="O468" s="284"/>
      <c r="P468" s="41"/>
      <c r="Q468" s="284"/>
      <c r="R468" s="105"/>
      <c r="S468" s="57"/>
      <c r="T468" s="57"/>
      <c r="U468" s="57"/>
      <c r="V468" s="285"/>
      <c r="W468" s="36"/>
      <c r="X468" s="48"/>
    </row>
    <row r="469" spans="2:24" x14ac:dyDescent="0.25">
      <c r="B469" s="405"/>
      <c r="C469" s="89">
        <v>1</v>
      </c>
      <c r="D469" s="203" t="s">
        <v>128</v>
      </c>
      <c r="E469" s="259"/>
      <c r="F469" s="259"/>
      <c r="G469" s="259"/>
      <c r="H469" s="201" t="str">
        <f>CONCATENATE(L469,"-",C469,"-",LEFT(D469,3),LEFT(I469,3),"-",LEFT(J469,6),"-",1)</f>
        <v>HLP-1-ACDAI-1,5 PK-1</v>
      </c>
      <c r="I469" s="189" t="s">
        <v>137</v>
      </c>
      <c r="J469" s="191" t="s">
        <v>130</v>
      </c>
      <c r="K469" s="198" t="s">
        <v>356</v>
      </c>
      <c r="L469" s="193" t="s">
        <v>209</v>
      </c>
      <c r="M469" s="389">
        <v>2</v>
      </c>
      <c r="N469" s="265"/>
      <c r="O469" s="284"/>
      <c r="P469" s="41"/>
      <c r="Q469" s="284"/>
      <c r="R469" s="105"/>
      <c r="S469" s="57"/>
      <c r="T469" s="57"/>
      <c r="U469" s="57"/>
      <c r="V469" s="285"/>
      <c r="W469" s="36"/>
      <c r="X469" s="48"/>
    </row>
    <row r="470" spans="2:24" x14ac:dyDescent="0.25">
      <c r="B470" s="405"/>
      <c r="C470" s="89">
        <v>1</v>
      </c>
      <c r="D470" s="203" t="s">
        <v>128</v>
      </c>
      <c r="E470" s="259"/>
      <c r="F470" s="259"/>
      <c r="G470" s="259"/>
      <c r="H470" s="201" t="str">
        <f>CONCATENATE(L470,"-",C470,"-",LEFT(D470,3),LEFT(I470,3),"-",LEFT(J470,6),"-",2)</f>
        <v>HLP-1-ACDAI-1,5 PK-2</v>
      </c>
      <c r="I470" s="189" t="s">
        <v>137</v>
      </c>
      <c r="J470" s="191" t="s">
        <v>130</v>
      </c>
      <c r="K470" s="198" t="s">
        <v>354</v>
      </c>
      <c r="L470" s="193" t="s">
        <v>209</v>
      </c>
      <c r="M470" s="388"/>
      <c r="N470" s="265"/>
      <c r="O470" s="284"/>
      <c r="P470" s="41"/>
      <c r="Q470" s="284"/>
      <c r="R470" s="105"/>
      <c r="S470" s="57"/>
      <c r="T470" s="57"/>
      <c r="U470" s="57"/>
      <c r="V470" s="285"/>
      <c r="W470" s="36"/>
      <c r="X470" s="48"/>
    </row>
    <row r="471" spans="2:24" x14ac:dyDescent="0.25">
      <c r="B471" s="405"/>
      <c r="C471" s="89">
        <v>1</v>
      </c>
      <c r="D471" s="203" t="s">
        <v>128</v>
      </c>
      <c r="E471" s="259"/>
      <c r="F471" s="259"/>
      <c r="G471" s="259"/>
      <c r="H471" s="201" t="str">
        <f t="shared" si="9"/>
        <v>HLP-1-ACDAI-2 PK</v>
      </c>
      <c r="I471" s="189" t="s">
        <v>137</v>
      </c>
      <c r="J471" s="191" t="s">
        <v>131</v>
      </c>
      <c r="K471" s="356" t="s">
        <v>359</v>
      </c>
      <c r="L471" s="193" t="s">
        <v>209</v>
      </c>
      <c r="M471" s="274">
        <v>0</v>
      </c>
      <c r="N471" s="265"/>
      <c r="O471" s="284"/>
      <c r="P471" s="41"/>
      <c r="Q471" s="284"/>
      <c r="R471" s="105"/>
      <c r="S471" s="57"/>
      <c r="T471" s="57"/>
      <c r="U471" s="57"/>
      <c r="V471" s="285"/>
      <c r="W471" s="36"/>
      <c r="X471" s="48"/>
    </row>
    <row r="472" spans="2:24" x14ac:dyDescent="0.25">
      <c r="B472" s="405"/>
      <c r="C472" s="89">
        <v>1</v>
      </c>
      <c r="D472" s="203" t="s">
        <v>128</v>
      </c>
      <c r="E472" s="259"/>
      <c r="F472" s="259"/>
      <c r="G472" s="259"/>
      <c r="H472" s="201" t="str">
        <f t="shared" si="9"/>
        <v>HLP-1-ACDAI-5 PK</v>
      </c>
      <c r="I472" s="189" t="s">
        <v>137</v>
      </c>
      <c r="J472" s="191" t="s">
        <v>132</v>
      </c>
      <c r="K472" s="198" t="s">
        <v>391</v>
      </c>
      <c r="L472" s="193" t="s">
        <v>209</v>
      </c>
      <c r="M472" s="274">
        <v>1</v>
      </c>
      <c r="N472" s="265"/>
      <c r="O472" s="284"/>
      <c r="P472" s="41"/>
      <c r="Q472" s="284"/>
      <c r="R472" s="105"/>
      <c r="S472" s="57"/>
      <c r="T472" s="57"/>
      <c r="U472" s="57"/>
      <c r="V472" s="285"/>
      <c r="W472" s="36"/>
      <c r="X472" s="48"/>
    </row>
    <row r="473" spans="2:24" x14ac:dyDescent="0.25">
      <c r="B473" s="405"/>
      <c r="C473" s="89">
        <v>1</v>
      </c>
      <c r="D473" s="203" t="s">
        <v>128</v>
      </c>
      <c r="E473" s="259"/>
      <c r="F473" s="259"/>
      <c r="G473" s="259"/>
      <c r="H473" s="201" t="str">
        <f t="shared" si="9"/>
        <v>HLP-1-ACSAM-1/2 PK</v>
      </c>
      <c r="I473" s="189" t="s">
        <v>221</v>
      </c>
      <c r="J473" s="193" t="s">
        <v>177</v>
      </c>
      <c r="K473" s="356" t="s">
        <v>359</v>
      </c>
      <c r="L473" s="193" t="s">
        <v>209</v>
      </c>
      <c r="M473" s="274">
        <v>0</v>
      </c>
      <c r="N473" s="265"/>
      <c r="O473" s="284"/>
      <c r="P473" s="41"/>
      <c r="Q473" s="284"/>
      <c r="R473" s="105"/>
      <c r="S473" s="57"/>
      <c r="T473" s="57"/>
      <c r="U473" s="57"/>
      <c r="V473" s="285"/>
      <c r="W473" s="36"/>
      <c r="X473" s="48"/>
    </row>
    <row r="474" spans="2:24" x14ac:dyDescent="0.25">
      <c r="B474" s="405"/>
      <c r="C474" s="89">
        <v>1</v>
      </c>
      <c r="D474" s="203" t="s">
        <v>128</v>
      </c>
      <c r="E474" s="259"/>
      <c r="F474" s="259"/>
      <c r="G474" s="259"/>
      <c r="H474" s="201" t="str">
        <f t="shared" si="9"/>
        <v>HLP-1-ACSAM-3/4 PK</v>
      </c>
      <c r="I474" s="189" t="s">
        <v>221</v>
      </c>
      <c r="J474" s="190" t="s">
        <v>217</v>
      </c>
      <c r="K474" s="356" t="s">
        <v>359</v>
      </c>
      <c r="L474" s="193" t="s">
        <v>209</v>
      </c>
      <c r="M474" s="274">
        <v>0</v>
      </c>
      <c r="N474" s="265"/>
      <c r="O474" s="284"/>
      <c r="P474" s="41"/>
      <c r="Q474" s="284"/>
      <c r="R474" s="105"/>
      <c r="S474" s="57"/>
      <c r="T474" s="57"/>
      <c r="U474" s="57"/>
      <c r="V474" s="285"/>
      <c r="W474" s="36"/>
      <c r="X474" s="48"/>
    </row>
    <row r="475" spans="2:24" x14ac:dyDescent="0.25">
      <c r="B475" s="405"/>
      <c r="C475" s="89">
        <v>1</v>
      </c>
      <c r="D475" s="203" t="s">
        <v>128</v>
      </c>
      <c r="E475" s="259"/>
      <c r="F475" s="259"/>
      <c r="G475" s="259"/>
      <c r="H475" s="201" t="str">
        <f t="shared" si="9"/>
        <v>HLP-1-ACSAM-1 PK</v>
      </c>
      <c r="I475" s="189" t="s">
        <v>221</v>
      </c>
      <c r="J475" s="191" t="s">
        <v>129</v>
      </c>
      <c r="K475" s="356" t="s">
        <v>359</v>
      </c>
      <c r="L475" s="193" t="s">
        <v>209</v>
      </c>
      <c r="M475" s="274">
        <v>0</v>
      </c>
      <c r="N475" s="265"/>
      <c r="O475" s="284"/>
      <c r="P475" s="41"/>
      <c r="Q475" s="284"/>
      <c r="R475" s="105"/>
      <c r="S475" s="57"/>
      <c r="T475" s="57"/>
      <c r="U475" s="57"/>
      <c r="V475" s="285"/>
      <c r="W475" s="36"/>
      <c r="X475" s="48"/>
    </row>
    <row r="476" spans="2:24" x14ac:dyDescent="0.25">
      <c r="B476" s="405"/>
      <c r="C476" s="89">
        <v>1</v>
      </c>
      <c r="D476" s="203" t="s">
        <v>128</v>
      </c>
      <c r="E476" s="259"/>
      <c r="F476" s="259"/>
      <c r="G476" s="259"/>
      <c r="H476" s="201" t="str">
        <f t="shared" si="9"/>
        <v>HLP-1-ACSAM-1,5 PK</v>
      </c>
      <c r="I476" s="189" t="s">
        <v>221</v>
      </c>
      <c r="J476" s="191" t="s">
        <v>130</v>
      </c>
      <c r="K476" s="356" t="s">
        <v>359</v>
      </c>
      <c r="L476" s="193" t="s">
        <v>209</v>
      </c>
      <c r="M476" s="274">
        <v>0</v>
      </c>
      <c r="N476" s="265"/>
      <c r="O476" s="284"/>
      <c r="P476" s="41"/>
      <c r="Q476" s="284"/>
      <c r="R476" s="105"/>
      <c r="S476" s="57"/>
      <c r="T476" s="57"/>
      <c r="U476" s="57"/>
      <c r="V476" s="285"/>
      <c r="W476" s="36"/>
      <c r="X476" s="48"/>
    </row>
    <row r="477" spans="2:24" x14ac:dyDescent="0.25">
      <c r="B477" s="405"/>
      <c r="C477" s="89">
        <v>1</v>
      </c>
      <c r="D477" s="203" t="s">
        <v>128</v>
      </c>
      <c r="E477" s="259"/>
      <c r="F477" s="259"/>
      <c r="G477" s="259"/>
      <c r="H477" s="201" t="str">
        <f t="shared" si="9"/>
        <v>HLP-1-ACSAM-2 PK</v>
      </c>
      <c r="I477" s="189" t="s">
        <v>221</v>
      </c>
      <c r="J477" s="191" t="s">
        <v>131</v>
      </c>
      <c r="K477" s="356" t="s">
        <v>359</v>
      </c>
      <c r="L477" s="193" t="s">
        <v>209</v>
      </c>
      <c r="M477" s="274">
        <v>0</v>
      </c>
      <c r="N477" s="265"/>
      <c r="O477" s="284"/>
      <c r="P477" s="41"/>
      <c r="Q477" s="284"/>
      <c r="R477" s="105"/>
      <c r="S477" s="57"/>
      <c r="T477" s="57"/>
      <c r="U477" s="57"/>
      <c r="V477" s="285"/>
      <c r="W477" s="36"/>
      <c r="X477" s="48"/>
    </row>
    <row r="478" spans="2:24" x14ac:dyDescent="0.25">
      <c r="B478" s="405"/>
      <c r="C478" s="89">
        <v>1</v>
      </c>
      <c r="D478" s="203" t="s">
        <v>128</v>
      </c>
      <c r="E478" s="259"/>
      <c r="F478" s="259"/>
      <c r="G478" s="259"/>
      <c r="H478" s="201" t="str">
        <f t="shared" si="9"/>
        <v>HLP-1-ACSAM-5 PK</v>
      </c>
      <c r="I478" s="189" t="s">
        <v>221</v>
      </c>
      <c r="J478" s="191" t="s">
        <v>132</v>
      </c>
      <c r="K478" s="356" t="s">
        <v>359</v>
      </c>
      <c r="L478" s="193" t="s">
        <v>209</v>
      </c>
      <c r="M478" s="274">
        <v>0</v>
      </c>
      <c r="N478" s="265"/>
      <c r="O478" s="284"/>
      <c r="P478" s="41"/>
      <c r="Q478" s="284"/>
      <c r="R478" s="105"/>
      <c r="S478" s="57"/>
      <c r="T478" s="57"/>
      <c r="U478" s="57"/>
      <c r="V478" s="285"/>
      <c r="W478" s="36"/>
      <c r="X478" s="48"/>
    </row>
    <row r="479" spans="2:24" x14ac:dyDescent="0.25">
      <c r="B479" s="405"/>
      <c r="C479" s="89">
        <v>1</v>
      </c>
      <c r="D479" s="203" t="s">
        <v>297</v>
      </c>
      <c r="E479" s="259"/>
      <c r="F479" s="259"/>
      <c r="G479" s="259"/>
      <c r="H479" s="201" t="str">
        <f>CONCATENATE(L479,"-",C479,"-",LEFT(D479,3),LEFT(I479,3),"-",LEFT(J479,6),"-",1)</f>
        <v>HLP-1-VERBLI-SMALL-1</v>
      </c>
      <c r="I479" s="189" t="s">
        <v>224</v>
      </c>
      <c r="J479" s="191" t="s">
        <v>138</v>
      </c>
      <c r="K479" s="198" t="s">
        <v>386</v>
      </c>
      <c r="L479" s="193" t="s">
        <v>209</v>
      </c>
      <c r="M479" s="389">
        <f>'[2]Total Item Gudang HLP'!$F$63</f>
        <v>6</v>
      </c>
      <c r="N479" s="265"/>
      <c r="O479" s="284"/>
      <c r="P479" s="41"/>
      <c r="Q479" s="284"/>
      <c r="R479" s="105"/>
      <c r="S479" s="57"/>
      <c r="T479" s="57"/>
      <c r="U479" s="57"/>
      <c r="V479" s="285"/>
      <c r="W479" s="36"/>
      <c r="X479" s="48"/>
    </row>
    <row r="480" spans="2:24" x14ac:dyDescent="0.25">
      <c r="B480" s="405"/>
      <c r="C480" s="89">
        <v>1</v>
      </c>
      <c r="D480" s="203" t="s">
        <v>297</v>
      </c>
      <c r="E480" s="259"/>
      <c r="F480" s="259"/>
      <c r="G480" s="259"/>
      <c r="H480" s="201" t="str">
        <f>CONCATENATE(L480,"-",C480,"-",LEFT(D480,3),LEFT(I480,3),"-",LEFT(J480,6),"-",2)</f>
        <v>HLP-1-VERBLI-SMALL-2</v>
      </c>
      <c r="I480" s="189" t="s">
        <v>224</v>
      </c>
      <c r="J480" s="191" t="s">
        <v>138</v>
      </c>
      <c r="K480" s="198" t="s">
        <v>354</v>
      </c>
      <c r="L480" s="193" t="s">
        <v>209</v>
      </c>
      <c r="M480" s="387"/>
      <c r="N480" s="265"/>
      <c r="O480" s="284"/>
      <c r="P480" s="41"/>
      <c r="Q480" s="284"/>
      <c r="R480" s="105"/>
      <c r="S480" s="57"/>
      <c r="T480" s="57"/>
      <c r="U480" s="57"/>
      <c r="V480" s="285"/>
      <c r="W480" s="36"/>
      <c r="X480" s="48"/>
    </row>
    <row r="481" spans="2:24" x14ac:dyDescent="0.25">
      <c r="B481" s="405"/>
      <c r="C481" s="89">
        <v>1</v>
      </c>
      <c r="D481" s="203" t="s">
        <v>297</v>
      </c>
      <c r="E481" s="259"/>
      <c r="F481" s="259"/>
      <c r="G481" s="259"/>
      <c r="H481" s="201" t="str">
        <f>CONCATENATE(L481,"-",C481,"-",LEFT(D481,3),LEFT(I481,3),"-",LEFT(J481,6),"-",3)</f>
        <v>HLP-1-VERBLI-SMALL-3</v>
      </c>
      <c r="I481" s="189" t="s">
        <v>224</v>
      </c>
      <c r="J481" s="191" t="s">
        <v>138</v>
      </c>
      <c r="K481" s="198" t="s">
        <v>354</v>
      </c>
      <c r="L481" s="193" t="s">
        <v>209</v>
      </c>
      <c r="M481" s="387"/>
      <c r="N481" s="265"/>
      <c r="O481" s="284"/>
      <c r="P481" s="41"/>
      <c r="Q481" s="284"/>
      <c r="R481" s="105"/>
      <c r="S481" s="57"/>
      <c r="T481" s="57"/>
      <c r="U481" s="57"/>
      <c r="V481" s="285"/>
      <c r="W481" s="36"/>
      <c r="X481" s="48"/>
    </row>
    <row r="482" spans="2:24" x14ac:dyDescent="0.25">
      <c r="B482" s="405"/>
      <c r="C482" s="89">
        <v>1</v>
      </c>
      <c r="D482" s="203" t="s">
        <v>297</v>
      </c>
      <c r="E482" s="259"/>
      <c r="F482" s="259"/>
      <c r="G482" s="259"/>
      <c r="H482" s="201" t="str">
        <f>CONCATENATE(L482,"-",C482,"-",LEFT(D482,3),LEFT(I482,3),"-",LEFT(J482,6),"-",4)</f>
        <v>HLP-1-VERBLI-SMALL-4</v>
      </c>
      <c r="I482" s="189" t="s">
        <v>224</v>
      </c>
      <c r="J482" s="191" t="s">
        <v>138</v>
      </c>
      <c r="K482" s="198" t="s">
        <v>354</v>
      </c>
      <c r="L482" s="193" t="s">
        <v>209</v>
      </c>
      <c r="M482" s="387"/>
      <c r="N482" s="265"/>
      <c r="O482" s="284"/>
      <c r="P482" s="41"/>
      <c r="Q482" s="284"/>
      <c r="R482" s="105"/>
      <c r="S482" s="57"/>
      <c r="T482" s="57"/>
      <c r="U482" s="57"/>
      <c r="V482" s="285"/>
      <c r="W482" s="36"/>
      <c r="X482" s="48"/>
    </row>
    <row r="483" spans="2:24" x14ac:dyDescent="0.25">
      <c r="B483" s="405"/>
      <c r="C483" s="89">
        <v>1</v>
      </c>
      <c r="D483" s="203" t="s">
        <v>297</v>
      </c>
      <c r="E483" s="259"/>
      <c r="F483" s="259"/>
      <c r="G483" s="259"/>
      <c r="H483" s="201" t="str">
        <f>CONCATENATE(L483,"-",C483,"-",LEFT(D483,3),LEFT(I483,3),"-",LEFT(J483,6),"-",5)</f>
        <v>HLP-1-VERBLI-SMALL-5</v>
      </c>
      <c r="I483" s="189" t="s">
        <v>224</v>
      </c>
      <c r="J483" s="191" t="s">
        <v>138</v>
      </c>
      <c r="K483" s="198" t="s">
        <v>354</v>
      </c>
      <c r="L483" s="193" t="s">
        <v>209</v>
      </c>
      <c r="M483" s="387"/>
      <c r="N483" s="265"/>
      <c r="O483" s="284"/>
      <c r="P483" s="41"/>
      <c r="Q483" s="284"/>
      <c r="R483" s="105"/>
      <c r="S483" s="57"/>
      <c r="T483" s="57"/>
      <c r="U483" s="57"/>
      <c r="V483" s="285"/>
      <c r="W483" s="36"/>
      <c r="X483" s="48"/>
    </row>
    <row r="484" spans="2:24" x14ac:dyDescent="0.25">
      <c r="B484" s="405"/>
      <c r="C484" s="89">
        <v>1</v>
      </c>
      <c r="D484" s="203" t="s">
        <v>297</v>
      </c>
      <c r="E484" s="259"/>
      <c r="F484" s="259"/>
      <c r="G484" s="259"/>
      <c r="H484" s="201" t="str">
        <f>CONCATENATE(L484,"-",C484,"-",LEFT(D484,3),LEFT(I484,3),"-",LEFT(J484,6),"-",6)</f>
        <v>HLP-1-VERBLI-SMALL-6</v>
      </c>
      <c r="I484" s="189" t="s">
        <v>224</v>
      </c>
      <c r="J484" s="191" t="s">
        <v>138</v>
      </c>
      <c r="K484" s="198" t="s">
        <v>387</v>
      </c>
      <c r="L484" s="193" t="s">
        <v>209</v>
      </c>
      <c r="M484" s="388"/>
      <c r="N484" s="265"/>
      <c r="O484" s="284"/>
      <c r="P484" s="41"/>
      <c r="Q484" s="284"/>
      <c r="R484" s="105"/>
      <c r="S484" s="57"/>
      <c r="T484" s="57"/>
      <c r="U484" s="57"/>
      <c r="V484" s="285"/>
      <c r="W484" s="36"/>
      <c r="X484" s="48"/>
    </row>
    <row r="485" spans="2:24" x14ac:dyDescent="0.25">
      <c r="B485" s="405"/>
      <c r="C485" s="89">
        <v>1</v>
      </c>
      <c r="D485" s="203" t="s">
        <v>297</v>
      </c>
      <c r="E485" s="259"/>
      <c r="F485" s="259"/>
      <c r="G485" s="259"/>
      <c r="H485" s="201" t="str">
        <f>CONCATENATE(L485,"-",C485,"-",LEFT(D485,3),LEFT(I485,3),"-",LEFT(J485,6),"-",1)</f>
        <v>HLP-1-VERBLI-LARGE-1</v>
      </c>
      <c r="I485" s="189" t="s">
        <v>224</v>
      </c>
      <c r="J485" s="191" t="s">
        <v>139</v>
      </c>
      <c r="K485" s="198" t="s">
        <v>390</v>
      </c>
      <c r="L485" s="193" t="s">
        <v>209</v>
      </c>
      <c r="M485" s="389">
        <f>'[2]Total Item Gudang HLP'!$F$62</f>
        <v>8</v>
      </c>
      <c r="N485" s="265"/>
      <c r="O485" s="284"/>
      <c r="P485" s="41"/>
      <c r="Q485" s="284"/>
      <c r="R485" s="105"/>
      <c r="S485" s="57"/>
      <c r="T485" s="57"/>
      <c r="U485" s="57"/>
      <c r="V485" s="285"/>
      <c r="W485" s="36"/>
      <c r="X485" s="48"/>
    </row>
    <row r="486" spans="2:24" x14ac:dyDescent="0.25">
      <c r="B486" s="405"/>
      <c r="C486" s="89">
        <v>1</v>
      </c>
      <c r="D486" s="203" t="s">
        <v>297</v>
      </c>
      <c r="E486" s="259"/>
      <c r="F486" s="259"/>
      <c r="G486" s="259"/>
      <c r="H486" s="201" t="str">
        <f>CONCATENATE(L486,"-",C486,"-",LEFT(D486,3),LEFT(I486,3),"-",LEFT(J486,6),"-",2)</f>
        <v>HLP-1-VERBLI-LARGE-2</v>
      </c>
      <c r="I486" s="189" t="s">
        <v>224</v>
      </c>
      <c r="J486" s="191" t="s">
        <v>139</v>
      </c>
      <c r="K486" s="198" t="s">
        <v>354</v>
      </c>
      <c r="L486" s="193" t="s">
        <v>209</v>
      </c>
      <c r="M486" s="387"/>
      <c r="N486" s="265"/>
      <c r="O486" s="284"/>
      <c r="P486" s="41"/>
      <c r="Q486" s="284"/>
      <c r="R486" s="105"/>
      <c r="S486" s="57"/>
      <c r="T486" s="57"/>
      <c r="U486" s="57"/>
      <c r="V486" s="285"/>
      <c r="W486" s="36"/>
      <c r="X486" s="48"/>
    </row>
    <row r="487" spans="2:24" x14ac:dyDescent="0.25">
      <c r="B487" s="405"/>
      <c r="C487" s="89">
        <v>1</v>
      </c>
      <c r="D487" s="203" t="s">
        <v>297</v>
      </c>
      <c r="E487" s="259"/>
      <c r="F487" s="259"/>
      <c r="G487" s="259"/>
      <c r="H487" s="201" t="str">
        <f>CONCATENATE(L487,"-",C487,"-",LEFT(D487,3),LEFT(I487,3),"-",LEFT(J487,6),"-",3)</f>
        <v>HLP-1-VERBLI-LARGE-3</v>
      </c>
      <c r="I487" s="189" t="s">
        <v>224</v>
      </c>
      <c r="J487" s="191" t="s">
        <v>139</v>
      </c>
      <c r="K487" s="198" t="s">
        <v>354</v>
      </c>
      <c r="L487" s="193" t="s">
        <v>209</v>
      </c>
      <c r="M487" s="387"/>
      <c r="N487" s="265"/>
      <c r="O487" s="284"/>
      <c r="P487" s="41"/>
      <c r="Q487" s="284"/>
      <c r="R487" s="105"/>
      <c r="S487" s="57"/>
      <c r="T487" s="57"/>
      <c r="U487" s="57"/>
      <c r="V487" s="285"/>
      <c r="W487" s="36"/>
      <c r="X487" s="48"/>
    </row>
    <row r="488" spans="2:24" x14ac:dyDescent="0.25">
      <c r="B488" s="405"/>
      <c r="C488" s="89">
        <v>1</v>
      </c>
      <c r="D488" s="203" t="s">
        <v>297</v>
      </c>
      <c r="E488" s="259"/>
      <c r="F488" s="259"/>
      <c r="G488" s="259"/>
      <c r="H488" s="201" t="str">
        <f>CONCATENATE(L488,"-",C488,"-",LEFT(D488,3),LEFT(I488,3),"-",LEFT(J488,6),"-",4)</f>
        <v>HLP-1-VERBLI-LARGE-4</v>
      </c>
      <c r="I488" s="189" t="s">
        <v>224</v>
      </c>
      <c r="J488" s="191" t="s">
        <v>139</v>
      </c>
      <c r="K488" s="198" t="s">
        <v>387</v>
      </c>
      <c r="L488" s="193" t="s">
        <v>209</v>
      </c>
      <c r="M488" s="387"/>
      <c r="N488" s="265"/>
      <c r="O488" s="284"/>
      <c r="P488" s="41"/>
      <c r="Q488" s="284"/>
      <c r="R488" s="105"/>
      <c r="S488" s="57"/>
      <c r="T488" s="57"/>
      <c r="U488" s="57"/>
      <c r="V488" s="285"/>
      <c r="W488" s="36"/>
      <c r="X488" s="48"/>
    </row>
    <row r="489" spans="2:24" x14ac:dyDescent="0.25">
      <c r="B489" s="405"/>
      <c r="C489" s="89">
        <v>1</v>
      </c>
      <c r="D489" s="203" t="s">
        <v>297</v>
      </c>
      <c r="E489" s="259"/>
      <c r="F489" s="259"/>
      <c r="G489" s="259"/>
      <c r="H489" s="201" t="str">
        <f>CONCATENATE(L489,"-",C489,"-",LEFT(D489,3),LEFT(I489,3),"-",LEFT(J489,6),"-",5)</f>
        <v>HLP-1-VERBLI-LARGE-5</v>
      </c>
      <c r="I489" s="189" t="s">
        <v>224</v>
      </c>
      <c r="J489" s="191" t="s">
        <v>139</v>
      </c>
      <c r="K489" s="198" t="s">
        <v>389</v>
      </c>
      <c r="L489" s="193" t="s">
        <v>209</v>
      </c>
      <c r="M489" s="387"/>
      <c r="N489" s="265"/>
      <c r="O489" s="284"/>
      <c r="P489" s="41"/>
      <c r="Q489" s="284"/>
      <c r="R489" s="105"/>
      <c r="S489" s="57"/>
      <c r="T489" s="57"/>
      <c r="U489" s="57"/>
      <c r="V489" s="285"/>
      <c r="W489" s="36"/>
      <c r="X489" s="48"/>
    </row>
    <row r="490" spans="2:24" x14ac:dyDescent="0.25">
      <c r="B490" s="405"/>
      <c r="C490" s="89">
        <v>1</v>
      </c>
      <c r="D490" s="203" t="s">
        <v>297</v>
      </c>
      <c r="E490" s="259"/>
      <c r="F490" s="259"/>
      <c r="G490" s="259"/>
      <c r="H490" s="201" t="str">
        <f>CONCATENATE(L490,"-",C490,"-",LEFT(D490,3),LEFT(I490,3),"-",LEFT(J490,6),"-",6)</f>
        <v>HLP-1-VERBLI-LARGE-6</v>
      </c>
      <c r="I490" s="189" t="s">
        <v>224</v>
      </c>
      <c r="J490" s="191" t="s">
        <v>139</v>
      </c>
      <c r="K490" s="198" t="s">
        <v>389</v>
      </c>
      <c r="L490" s="193" t="s">
        <v>209</v>
      </c>
      <c r="M490" s="387"/>
      <c r="N490" s="265"/>
      <c r="O490" s="284"/>
      <c r="P490" s="41"/>
      <c r="Q490" s="284"/>
      <c r="R490" s="105"/>
      <c r="S490" s="57"/>
      <c r="T490" s="57"/>
      <c r="U490" s="57"/>
      <c r="V490" s="285"/>
      <c r="W490" s="36"/>
      <c r="X490" s="48"/>
    </row>
    <row r="491" spans="2:24" x14ac:dyDescent="0.25">
      <c r="B491" s="405"/>
      <c r="C491" s="89">
        <v>1</v>
      </c>
      <c r="D491" s="203" t="s">
        <v>297</v>
      </c>
      <c r="E491" s="259"/>
      <c r="F491" s="259"/>
      <c r="G491" s="259"/>
      <c r="H491" s="201" t="str">
        <f>CONCATENATE(L491,"-",C491,"-",LEFT(D491,3),LEFT(I491,3),"-",LEFT(J491,6),"-",7)</f>
        <v>HLP-1-VERBLI-LARGE-7</v>
      </c>
      <c r="I491" s="189" t="s">
        <v>224</v>
      </c>
      <c r="J491" s="191" t="s">
        <v>139</v>
      </c>
      <c r="K491" s="198" t="s">
        <v>389</v>
      </c>
      <c r="L491" s="193" t="s">
        <v>209</v>
      </c>
      <c r="M491" s="387"/>
      <c r="N491" s="265"/>
      <c r="O491" s="284"/>
      <c r="P491" s="41"/>
      <c r="Q491" s="284"/>
      <c r="R491" s="105"/>
      <c r="S491" s="57"/>
      <c r="T491" s="57"/>
      <c r="U491" s="57"/>
      <c r="V491" s="285"/>
      <c r="W491" s="36"/>
      <c r="X491" s="48"/>
    </row>
    <row r="492" spans="2:24" x14ac:dyDescent="0.25">
      <c r="B492" s="405"/>
      <c r="C492" s="89">
        <v>1</v>
      </c>
      <c r="D492" s="203" t="s">
        <v>297</v>
      </c>
      <c r="E492" s="259"/>
      <c r="F492" s="259"/>
      <c r="G492" s="259"/>
      <c r="H492" s="201" t="str">
        <f>CONCATENATE(L492,"-",C492,"-",LEFT(D492,3),LEFT(I492,3),"-",LEFT(J492,6),"-",8)</f>
        <v>HLP-1-VERBLI-LARGE-8</v>
      </c>
      <c r="I492" s="189" t="s">
        <v>224</v>
      </c>
      <c r="J492" s="191" t="s">
        <v>139</v>
      </c>
      <c r="K492" s="198" t="s">
        <v>239</v>
      </c>
      <c r="L492" s="193" t="s">
        <v>209</v>
      </c>
      <c r="M492" s="388"/>
      <c r="N492" s="265"/>
      <c r="O492" s="284"/>
      <c r="P492" s="41"/>
      <c r="Q492" s="284"/>
      <c r="R492" s="105"/>
      <c r="S492" s="57"/>
      <c r="T492" s="57"/>
      <c r="U492" s="57"/>
      <c r="V492" s="285"/>
      <c r="W492" s="36"/>
      <c r="X492" s="48"/>
    </row>
    <row r="493" spans="2:24" x14ac:dyDescent="0.25">
      <c r="B493" s="405"/>
      <c r="C493" s="299">
        <v>1</v>
      </c>
      <c r="D493" s="208" t="s">
        <v>225</v>
      </c>
      <c r="E493" s="300"/>
      <c r="F493" s="300"/>
      <c r="G493" s="300"/>
      <c r="H493" s="201" t="str">
        <f t="shared" si="9"/>
        <v>HLP-1-LAMPHI-NEON</v>
      </c>
      <c r="I493" s="212" t="s">
        <v>226</v>
      </c>
      <c r="J493" s="213" t="s">
        <v>140</v>
      </c>
      <c r="K493" s="356" t="s">
        <v>359</v>
      </c>
      <c r="L493" s="301" t="s">
        <v>209</v>
      </c>
      <c r="M493" s="302">
        <f>'[2]Total Item Gudang HLP'!$F$21</f>
        <v>38</v>
      </c>
      <c r="N493" s="265"/>
      <c r="O493" s="284"/>
      <c r="P493" s="41"/>
      <c r="Q493" s="284"/>
      <c r="R493" s="105"/>
      <c r="S493" s="57"/>
      <c r="T493" s="57"/>
      <c r="U493" s="57"/>
      <c r="V493" s="285"/>
      <c r="W493" s="36"/>
      <c r="X493" s="48"/>
    </row>
    <row r="494" spans="2:24" x14ac:dyDescent="0.25">
      <c r="B494" s="405"/>
      <c r="C494" s="299">
        <v>1</v>
      </c>
      <c r="D494" s="208" t="s">
        <v>225</v>
      </c>
      <c r="E494" s="300"/>
      <c r="F494" s="300"/>
      <c r="G494" s="300"/>
      <c r="H494" s="201" t="str">
        <f>CONCATENATE(L494,"-",C494,"-",LEFT(D494,3),LEFT(I494,3),"-",LEFT(J494,6))</f>
        <v>HLP-1-LAMPHI-BULB</v>
      </c>
      <c r="I494" s="212" t="s">
        <v>226</v>
      </c>
      <c r="J494" s="213" t="s">
        <v>141</v>
      </c>
      <c r="K494" s="356" t="s">
        <v>359</v>
      </c>
      <c r="L494" s="301" t="s">
        <v>209</v>
      </c>
      <c r="M494" s="302">
        <f>'[2]Total Item Gudang HLP'!$F$22</f>
        <v>1</v>
      </c>
      <c r="N494" s="265"/>
      <c r="O494" s="284"/>
      <c r="P494" s="41"/>
      <c r="Q494" s="284"/>
      <c r="R494" s="105"/>
      <c r="S494" s="57"/>
      <c r="T494" s="57"/>
      <c r="U494" s="57"/>
      <c r="V494" s="285"/>
      <c r="W494" s="36"/>
      <c r="X494" s="48"/>
    </row>
    <row r="495" spans="2:24" x14ac:dyDescent="0.25">
      <c r="B495" s="405"/>
      <c r="C495" s="299">
        <v>1</v>
      </c>
      <c r="D495" s="208" t="s">
        <v>228</v>
      </c>
      <c r="E495" s="300"/>
      <c r="F495" s="300"/>
      <c r="G495" s="300"/>
      <c r="H495" s="201" t="str">
        <f>CONCATENATE(L495,"-",C495,"-",LEFT(D495,3),LEFT(I495,3),"-",LEFT(J495,6))</f>
        <v>HLP-1-ELE-SOCKET</v>
      </c>
      <c r="I495" s="303"/>
      <c r="J495" s="304" t="s">
        <v>229</v>
      </c>
      <c r="K495" s="356" t="s">
        <v>359</v>
      </c>
      <c r="L495" s="301" t="s">
        <v>209</v>
      </c>
      <c r="M495" s="302">
        <f>'[2]Total Item Gudang HLP'!$F$18</f>
        <v>61</v>
      </c>
      <c r="N495" s="265"/>
      <c r="O495" s="284"/>
      <c r="P495" s="41"/>
      <c r="Q495" s="284"/>
      <c r="R495" s="105"/>
      <c r="S495" s="57"/>
      <c r="T495" s="57"/>
      <c r="U495" s="57"/>
      <c r="V495" s="285"/>
      <c r="W495" s="36"/>
      <c r="X495" s="48"/>
    </row>
    <row r="496" spans="2:24" x14ac:dyDescent="0.25">
      <c r="B496" s="405"/>
      <c r="C496" s="299">
        <v>1</v>
      </c>
      <c r="D496" s="305" t="s">
        <v>230</v>
      </c>
      <c r="E496" s="300"/>
      <c r="F496" s="300"/>
      <c r="G496" s="300"/>
      <c r="H496" s="201" t="str">
        <f>CONCATENATE(L496,"-",C496,"-",LEFT(D496,3),LEFT(I496,3),"-",LEFT(J496,6))</f>
        <v>HLP-1-SWI-SINGLE</v>
      </c>
      <c r="I496" s="212"/>
      <c r="J496" s="213" t="s">
        <v>142</v>
      </c>
      <c r="K496" s="356" t="s">
        <v>359</v>
      </c>
      <c r="L496" s="301" t="s">
        <v>209</v>
      </c>
      <c r="M496" s="302">
        <f>'[2]Total Item Gudang HLP'!$F$19</f>
        <v>12</v>
      </c>
      <c r="N496" s="265"/>
      <c r="O496" s="284"/>
      <c r="P496" s="41"/>
      <c r="Q496" s="284"/>
      <c r="R496" s="105"/>
      <c r="S496" s="57"/>
      <c r="T496" s="57"/>
      <c r="U496" s="57"/>
      <c r="V496" s="285"/>
      <c r="W496" s="36"/>
      <c r="X496" s="48"/>
    </row>
    <row r="497" spans="2:24" x14ac:dyDescent="0.25">
      <c r="B497" s="405"/>
      <c r="C497" s="299">
        <v>1</v>
      </c>
      <c r="D497" s="305" t="s">
        <v>230</v>
      </c>
      <c r="E497" s="300"/>
      <c r="F497" s="300"/>
      <c r="G497" s="300"/>
      <c r="H497" s="201" t="str">
        <f>CONCATENATE(L497,"-",C497,"-",LEFT(D497,3),LEFT(I497,3),"-",LEFT(J497,6))</f>
        <v>HLP-1-SWI-DOUBLE</v>
      </c>
      <c r="I497" s="212"/>
      <c r="J497" s="213" t="s">
        <v>143</v>
      </c>
      <c r="K497" s="356" t="s">
        <v>359</v>
      </c>
      <c r="L497" s="301" t="s">
        <v>209</v>
      </c>
      <c r="M497" s="302">
        <f>'[2]Total Item Gudang HLP'!$F$20</f>
        <v>2</v>
      </c>
      <c r="N497" s="265"/>
      <c r="O497" s="284"/>
      <c r="P497" s="41"/>
      <c r="Q497" s="284"/>
      <c r="R497" s="105"/>
      <c r="S497" s="57"/>
      <c r="T497" s="57"/>
      <c r="U497" s="57"/>
      <c r="V497" s="285"/>
      <c r="W497" s="36"/>
      <c r="X497" s="48"/>
    </row>
    <row r="498" spans="2:24" x14ac:dyDescent="0.25">
      <c r="B498" s="405"/>
      <c r="C498" s="89">
        <v>1</v>
      </c>
      <c r="D498" s="203" t="s">
        <v>198</v>
      </c>
      <c r="E498" s="259"/>
      <c r="F498" s="259"/>
      <c r="G498" s="259"/>
      <c r="H498" s="201" t="str">
        <f>CONCATENATE(L498,"-",C498,"-",LEFT(D498,3),LEFT(I498,3),"-",LEFT(J498,3))</f>
        <v>HLP-1-RAKWAL-TRI</v>
      </c>
      <c r="I498" s="189" t="s">
        <v>199</v>
      </c>
      <c r="J498" s="191" t="s">
        <v>231</v>
      </c>
      <c r="K498" s="198" t="s">
        <v>354</v>
      </c>
      <c r="L498" s="193" t="s">
        <v>209</v>
      </c>
      <c r="M498" s="274">
        <f>'[2]Total Item Gudang HLP'!$F$59</f>
        <v>1</v>
      </c>
      <c r="N498" s="265"/>
      <c r="O498" s="284"/>
      <c r="P498" s="41"/>
      <c r="Q498" s="284"/>
      <c r="R498" s="105"/>
      <c r="S498" s="57"/>
      <c r="T498" s="57"/>
      <c r="U498" s="57"/>
      <c r="V498" s="285"/>
      <c r="W498" s="36"/>
      <c r="X498" s="48"/>
    </row>
    <row r="499" spans="2:24" x14ac:dyDescent="0.25">
      <c r="B499" s="405"/>
      <c r="C499" s="89">
        <v>1</v>
      </c>
      <c r="D499" s="203" t="s">
        <v>198</v>
      </c>
      <c r="E499" s="259"/>
      <c r="F499" s="259"/>
      <c r="G499" s="259"/>
      <c r="H499" s="201" t="str">
        <f>CONCATENATE(L499,"-",C499,"-",LEFT(D499,3),LEFT(I499,3),"-",LEFT(J499,3))</f>
        <v>HLP-1-RAKWAL-HEX</v>
      </c>
      <c r="I499" s="189" t="s">
        <v>199</v>
      </c>
      <c r="J499" s="191" t="s">
        <v>232</v>
      </c>
      <c r="K499" s="198" t="s">
        <v>354</v>
      </c>
      <c r="L499" s="193" t="s">
        <v>209</v>
      </c>
      <c r="M499" s="274">
        <f>'[2]Total Item Gudang HLP'!$F$58</f>
        <v>1</v>
      </c>
      <c r="N499" s="265"/>
      <c r="O499" s="284"/>
      <c r="P499" s="41"/>
      <c r="Q499" s="284"/>
      <c r="R499" s="105"/>
      <c r="S499" s="57"/>
      <c r="T499" s="57"/>
      <c r="U499" s="57"/>
      <c r="V499" s="285"/>
      <c r="W499" s="36"/>
      <c r="X499" s="48"/>
    </row>
    <row r="500" spans="2:24" x14ac:dyDescent="0.25">
      <c r="B500" s="405"/>
      <c r="C500" s="89">
        <v>1</v>
      </c>
      <c r="D500" s="203" t="s">
        <v>198</v>
      </c>
      <c r="E500" s="259"/>
      <c r="F500" s="259"/>
      <c r="G500" s="259"/>
      <c r="H500" s="201" t="str">
        <f>CONCATENATE(L500,"-",C500,"-",LEFT(D500,3),LEFT(I500,3),"-",LEFT(J500,3),"-",1)</f>
        <v>HLP-1-RAKWAL-REC-1</v>
      </c>
      <c r="I500" s="189" t="s">
        <v>199</v>
      </c>
      <c r="J500" s="191" t="s">
        <v>233</v>
      </c>
      <c r="K500" s="198" t="s">
        <v>354</v>
      </c>
      <c r="L500" s="193" t="s">
        <v>209</v>
      </c>
      <c r="M500" s="389">
        <f>'[2]Total Item Gudang HLP'!$F$57</f>
        <v>3</v>
      </c>
      <c r="N500" s="265"/>
      <c r="O500" s="284"/>
      <c r="P500" s="41"/>
      <c r="Q500" s="284"/>
      <c r="R500" s="105"/>
      <c r="S500" s="57"/>
      <c r="T500" s="57"/>
      <c r="U500" s="57"/>
      <c r="V500" s="285"/>
      <c r="W500" s="36"/>
      <c r="X500" s="48"/>
    </row>
    <row r="501" spans="2:24" x14ac:dyDescent="0.25">
      <c r="B501" s="405"/>
      <c r="C501" s="89">
        <v>1</v>
      </c>
      <c r="D501" s="203" t="s">
        <v>198</v>
      </c>
      <c r="E501" s="259"/>
      <c r="F501" s="259"/>
      <c r="G501" s="259"/>
      <c r="H501" s="201" t="str">
        <f>CONCATENATE(L501,"-",C501,"-",LEFT(D501,3),LEFT(I501,3),"-",LEFT(J501,3),"-",2)</f>
        <v>HLP-1-RAKWAL-REC-2</v>
      </c>
      <c r="I501" s="189" t="s">
        <v>199</v>
      </c>
      <c r="J501" s="191" t="s">
        <v>233</v>
      </c>
      <c r="K501" s="198" t="s">
        <v>392</v>
      </c>
      <c r="L501" s="193" t="s">
        <v>209</v>
      </c>
      <c r="M501" s="387"/>
      <c r="N501" s="265"/>
      <c r="O501" s="284"/>
      <c r="P501" s="41"/>
      <c r="Q501" s="284"/>
      <c r="R501" s="105"/>
      <c r="S501" s="57"/>
      <c r="T501" s="57"/>
      <c r="U501" s="57"/>
      <c r="V501" s="285"/>
      <c r="W501" s="36"/>
      <c r="X501" s="48"/>
    </row>
    <row r="502" spans="2:24" x14ac:dyDescent="0.25">
      <c r="B502" s="405"/>
      <c r="C502" s="89">
        <v>1</v>
      </c>
      <c r="D502" s="203" t="s">
        <v>198</v>
      </c>
      <c r="E502" s="259"/>
      <c r="F502" s="259"/>
      <c r="G502" s="259"/>
      <c r="H502" s="201" t="str">
        <f>CONCATENATE(L502,"-",C502,"-",LEFT(D502,3),LEFT(I502,3),"-",LEFT(J502,3),"-",3)</f>
        <v>HLP-1-RAKWAL-REC-3</v>
      </c>
      <c r="I502" s="189" t="s">
        <v>199</v>
      </c>
      <c r="J502" s="191" t="s">
        <v>233</v>
      </c>
      <c r="K502" s="198" t="s">
        <v>239</v>
      </c>
      <c r="L502" s="193" t="s">
        <v>209</v>
      </c>
      <c r="M502" s="388"/>
      <c r="N502" s="265"/>
      <c r="O502" s="284"/>
      <c r="P502" s="41"/>
      <c r="Q502" s="284"/>
      <c r="R502" s="105"/>
      <c r="S502" s="57"/>
      <c r="T502" s="57"/>
      <c r="U502" s="57"/>
      <c r="V502" s="285"/>
      <c r="W502" s="36"/>
      <c r="X502" s="48"/>
    </row>
    <row r="503" spans="2:24" x14ac:dyDescent="0.25">
      <c r="B503" s="405"/>
      <c r="C503" s="89">
        <v>1</v>
      </c>
      <c r="D503" s="204" t="s">
        <v>145</v>
      </c>
      <c r="E503" s="260"/>
      <c r="F503" s="260"/>
      <c r="G503" s="260"/>
      <c r="H503" s="201" t="str">
        <f>CONCATENATE(L503,"-",C503,"-",LEFT(D503,3),LEFT(I503,3),"-",LEFT(J503,3),"-",1)</f>
        <v>HLP-1-JAM-DIN-1</v>
      </c>
      <c r="I503" s="196"/>
      <c r="J503" s="197" t="s">
        <v>197</v>
      </c>
      <c r="K503" s="197" t="s">
        <v>354</v>
      </c>
      <c r="L503" s="193" t="s">
        <v>209</v>
      </c>
      <c r="M503" s="389">
        <f>'[2]Total Item Gudang HLP'!$F$77</f>
        <v>2</v>
      </c>
      <c r="N503" s="265"/>
      <c r="O503" s="284"/>
      <c r="P503" s="41"/>
      <c r="Q503" s="284"/>
      <c r="R503" s="105"/>
      <c r="S503" s="57"/>
      <c r="T503" s="57"/>
      <c r="U503" s="57"/>
      <c r="V503" s="285"/>
      <c r="W503" s="36"/>
      <c r="X503" s="48"/>
    </row>
    <row r="504" spans="2:24" x14ac:dyDescent="0.25">
      <c r="B504" s="406"/>
      <c r="C504" s="89">
        <v>1</v>
      </c>
      <c r="D504" s="204" t="s">
        <v>145</v>
      </c>
      <c r="E504" s="260"/>
      <c r="F504" s="260"/>
      <c r="G504" s="260"/>
      <c r="H504" s="201" t="str">
        <f>CONCATENATE(L504,"-",C504,"-",LEFT(D504,3),LEFT(I504,3),"-",LEFT(J504,3),"-",2)</f>
        <v>HLP-1-JAM-DIN-2</v>
      </c>
      <c r="I504" s="196"/>
      <c r="J504" s="197" t="s">
        <v>197</v>
      </c>
      <c r="K504" s="197" t="s">
        <v>390</v>
      </c>
      <c r="L504" s="193" t="s">
        <v>209</v>
      </c>
      <c r="M504" s="388"/>
      <c r="N504" s="265"/>
      <c r="O504" s="284"/>
      <c r="P504" s="41"/>
      <c r="Q504" s="284"/>
      <c r="R504" s="105"/>
      <c r="S504" s="57"/>
      <c r="T504" s="57"/>
      <c r="U504" s="57"/>
      <c r="V504" s="285"/>
      <c r="W504" s="36"/>
      <c r="X504" s="48"/>
    </row>
    <row r="505" spans="2:24" x14ac:dyDescent="0.25">
      <c r="B505" s="427">
        <v>2</v>
      </c>
      <c r="C505" s="89">
        <v>2</v>
      </c>
      <c r="D505" s="204" t="s">
        <v>146</v>
      </c>
      <c r="H505" s="201" t="str">
        <f>CONCATENATE(L505,"-",C505,"-",LEFT(D505,3),LEFT(I505,3),"-",LEFT(J505,5),"-",1)</f>
        <v>HLP-2-MEJKER-1 BIR-1</v>
      </c>
      <c r="I505" s="199" t="s">
        <v>147</v>
      </c>
      <c r="J505" s="198" t="s">
        <v>175</v>
      </c>
      <c r="K505" s="198" t="s">
        <v>386</v>
      </c>
      <c r="L505" s="193" t="s">
        <v>209</v>
      </c>
      <c r="M505" s="389">
        <f>'[2]Total Item Gudang HLP'!$F$25</f>
        <v>5</v>
      </c>
      <c r="N505" s="265"/>
      <c r="O505" s="284"/>
      <c r="P505" s="41"/>
      <c r="Q505" s="284"/>
      <c r="R505" s="105"/>
      <c r="S505" s="57"/>
      <c r="T505" s="57"/>
      <c r="U505" s="57"/>
      <c r="V505" s="285"/>
      <c r="W505" s="36"/>
      <c r="X505" s="48"/>
    </row>
    <row r="506" spans="2:24" x14ac:dyDescent="0.25">
      <c r="B506" s="405"/>
      <c r="C506" s="89">
        <v>2</v>
      </c>
      <c r="D506" s="204" t="s">
        <v>146</v>
      </c>
      <c r="H506" s="201" t="str">
        <f>CONCATENATE(L506,"-",C506,"-",LEFT(D506,3),LEFT(I506,3),"-",LEFT(J506,5),"-",2)</f>
        <v>HLP-2-MEJKER-1 BIR-2</v>
      </c>
      <c r="I506" s="199" t="s">
        <v>147</v>
      </c>
      <c r="J506" s="198" t="s">
        <v>175</v>
      </c>
      <c r="K506" s="198" t="s">
        <v>386</v>
      </c>
      <c r="L506" s="193" t="s">
        <v>209</v>
      </c>
      <c r="M506" s="387"/>
      <c r="N506" s="265"/>
      <c r="O506" s="284"/>
      <c r="P506" s="41"/>
      <c r="Q506" s="284"/>
      <c r="R506" s="105"/>
      <c r="S506" s="57"/>
      <c r="T506" s="57"/>
      <c r="U506" s="57"/>
      <c r="V506" s="285"/>
      <c r="W506" s="36"/>
      <c r="X506" s="48"/>
    </row>
    <row r="507" spans="2:24" x14ac:dyDescent="0.25">
      <c r="B507" s="405"/>
      <c r="C507" s="89">
        <v>2</v>
      </c>
      <c r="D507" s="204" t="s">
        <v>146</v>
      </c>
      <c r="H507" s="201" t="str">
        <f>CONCATENATE(L507,"-",C507,"-",LEFT(D507,3),LEFT(I507,3),"-",LEFT(J507,5),"-",3)</f>
        <v>HLP-2-MEJKER-1 BIR-3</v>
      </c>
      <c r="I507" s="199" t="s">
        <v>147</v>
      </c>
      <c r="J507" s="198" t="s">
        <v>175</v>
      </c>
      <c r="K507" s="198" t="s">
        <v>386</v>
      </c>
      <c r="L507" s="193" t="s">
        <v>209</v>
      </c>
      <c r="M507" s="387"/>
      <c r="N507" s="265"/>
      <c r="O507" s="284"/>
      <c r="P507" s="41"/>
      <c r="Q507" s="284"/>
      <c r="R507" s="105"/>
      <c r="S507" s="57"/>
      <c r="T507" s="57"/>
      <c r="U507" s="57"/>
      <c r="V507" s="285"/>
      <c r="W507" s="36"/>
      <c r="X507" s="48"/>
    </row>
    <row r="508" spans="2:24" x14ac:dyDescent="0.25">
      <c r="B508" s="405"/>
      <c r="C508" s="89">
        <v>2</v>
      </c>
      <c r="D508" s="204" t="s">
        <v>146</v>
      </c>
      <c r="H508" s="201" t="str">
        <f>CONCATENATE(L508,"-",C508,"-",LEFT(D508,3),LEFT(I508,3),"-",LEFT(J508,5),"-",4)</f>
        <v>HLP-2-MEJKER-1 BIR-4</v>
      </c>
      <c r="I508" s="199" t="s">
        <v>147</v>
      </c>
      <c r="J508" s="198" t="s">
        <v>175</v>
      </c>
      <c r="K508" s="198" t="s">
        <v>393</v>
      </c>
      <c r="L508" s="193" t="s">
        <v>209</v>
      </c>
      <c r="M508" s="387"/>
      <c r="N508" s="265"/>
      <c r="O508" s="284"/>
      <c r="P508" s="41"/>
      <c r="Q508" s="284"/>
      <c r="R508" s="105"/>
      <c r="S508" s="57"/>
      <c r="T508" s="57"/>
      <c r="U508" s="57"/>
      <c r="V508" s="285"/>
      <c r="W508" s="36"/>
      <c r="X508" s="48"/>
    </row>
    <row r="509" spans="2:24" x14ac:dyDescent="0.25">
      <c r="B509" s="405"/>
      <c r="C509" s="89">
        <v>2</v>
      </c>
      <c r="D509" s="204" t="s">
        <v>146</v>
      </c>
      <c r="H509" s="201" t="str">
        <f>CONCATENATE(L509,"-",C509,"-",LEFT(D509,3),LEFT(I509,3),"-",LEFT(J509,5),"-",5)</f>
        <v>HLP-2-MEJKER-1 BIR-5</v>
      </c>
      <c r="I509" s="199" t="s">
        <v>147</v>
      </c>
      <c r="J509" s="198" t="s">
        <v>175</v>
      </c>
      <c r="K509" s="198" t="s">
        <v>390</v>
      </c>
      <c r="L509" s="193" t="s">
        <v>209</v>
      </c>
      <c r="M509" s="388"/>
      <c r="N509" s="265"/>
      <c r="O509" s="284"/>
      <c r="P509" s="41"/>
      <c r="Q509" s="284"/>
      <c r="R509" s="105"/>
      <c r="S509" s="57"/>
      <c r="T509" s="57"/>
      <c r="U509" s="57"/>
      <c r="V509" s="285"/>
      <c r="W509" s="36"/>
      <c r="X509" s="48"/>
    </row>
    <row r="510" spans="2:24" x14ac:dyDescent="0.25">
      <c r="B510" s="405"/>
      <c r="C510" s="90">
        <v>2</v>
      </c>
      <c r="D510" s="204" t="s">
        <v>146</v>
      </c>
      <c r="H510" s="201" t="str">
        <f>CONCATENATE(L510,"-",C510,"-",LEFT(D510,3),LEFT(I510,3),"-",LEFT(J510,7),"-",1)</f>
        <v>HLP-2-MEJKER-1/2 BIR-1</v>
      </c>
      <c r="I510" s="199" t="s">
        <v>147</v>
      </c>
      <c r="J510" s="198" t="s">
        <v>176</v>
      </c>
      <c r="K510" s="198" t="s">
        <v>390</v>
      </c>
      <c r="L510" s="193" t="s">
        <v>209</v>
      </c>
      <c r="M510" s="389">
        <v>43</v>
      </c>
      <c r="N510" s="265"/>
      <c r="O510" s="284"/>
      <c r="P510" s="41"/>
      <c r="Q510" s="284"/>
      <c r="R510" s="105"/>
      <c r="S510" s="57"/>
      <c r="T510" s="57"/>
      <c r="U510" s="57"/>
      <c r="V510" s="285"/>
      <c r="W510" s="36"/>
      <c r="X510" s="48"/>
    </row>
    <row r="511" spans="2:24" x14ac:dyDescent="0.25">
      <c r="B511" s="405"/>
      <c r="C511" s="90">
        <v>2</v>
      </c>
      <c r="D511" s="204" t="s">
        <v>146</v>
      </c>
      <c r="H511" s="201" t="str">
        <f>CONCATENATE(L511,"-",C511,"-",LEFT(D511,3),LEFT(I511,3),"-",LEFT(J511,7),"-",2)</f>
        <v>HLP-2-MEJKER-1/2 BIR-2</v>
      </c>
      <c r="I511" s="199" t="s">
        <v>147</v>
      </c>
      <c r="J511" s="198" t="s">
        <v>176</v>
      </c>
      <c r="K511" s="198" t="s">
        <v>390</v>
      </c>
      <c r="L511" s="193" t="s">
        <v>209</v>
      </c>
      <c r="M511" s="387"/>
      <c r="N511" s="265"/>
      <c r="O511" s="284"/>
      <c r="P511" s="41"/>
      <c r="Q511" s="284"/>
      <c r="R511" s="105"/>
      <c r="S511" s="57"/>
      <c r="T511" s="57"/>
      <c r="U511" s="57"/>
      <c r="V511" s="285"/>
      <c r="W511" s="36"/>
      <c r="X511" s="48"/>
    </row>
    <row r="512" spans="2:24" x14ac:dyDescent="0.25">
      <c r="B512" s="405"/>
      <c r="C512" s="90">
        <v>2</v>
      </c>
      <c r="D512" s="204" t="s">
        <v>146</v>
      </c>
      <c r="H512" s="201" t="str">
        <f>CONCATENATE(L512,"-",C512,"-",LEFT(D512,3),LEFT(I512,3),"-",LEFT(J512,7),"-",3)</f>
        <v>HLP-2-MEJKER-1/2 BIR-3</v>
      </c>
      <c r="I512" s="199" t="s">
        <v>147</v>
      </c>
      <c r="J512" s="198" t="s">
        <v>176</v>
      </c>
      <c r="K512" s="198" t="s">
        <v>389</v>
      </c>
      <c r="L512" s="193" t="s">
        <v>209</v>
      </c>
      <c r="M512" s="387"/>
      <c r="N512" s="265"/>
      <c r="O512" s="284"/>
      <c r="P512" s="41"/>
      <c r="Q512" s="284"/>
      <c r="R512" s="105"/>
      <c r="S512" s="57"/>
      <c r="T512" s="57"/>
      <c r="U512" s="57"/>
      <c r="V512" s="285"/>
      <c r="W512" s="36"/>
      <c r="X512" s="48"/>
    </row>
    <row r="513" spans="2:24" x14ac:dyDescent="0.25">
      <c r="B513" s="405"/>
      <c r="C513" s="90">
        <v>2</v>
      </c>
      <c r="D513" s="204" t="s">
        <v>146</v>
      </c>
      <c r="H513" s="201" t="str">
        <f>CONCATENATE(L513,"-",C513,"-",LEFT(D513,3),LEFT(I513,3),"-",LEFT(J513,7),"-",4)</f>
        <v>HLP-2-MEJKER-1/2 BIR-4</v>
      </c>
      <c r="I513" s="199" t="s">
        <v>147</v>
      </c>
      <c r="J513" s="198" t="s">
        <v>176</v>
      </c>
      <c r="K513" s="198" t="s">
        <v>389</v>
      </c>
      <c r="L513" s="193" t="s">
        <v>209</v>
      </c>
      <c r="M513" s="387"/>
      <c r="N513" s="265"/>
      <c r="O513" s="284"/>
      <c r="P513" s="41"/>
      <c r="Q513" s="284"/>
      <c r="R513" s="105"/>
      <c r="S513" s="57"/>
      <c r="T513" s="57"/>
      <c r="U513" s="57"/>
      <c r="V513" s="285"/>
      <c r="W513" s="36"/>
      <c r="X513" s="48"/>
    </row>
    <row r="514" spans="2:24" x14ac:dyDescent="0.25">
      <c r="B514" s="405"/>
      <c r="C514" s="90">
        <v>2</v>
      </c>
      <c r="D514" s="204" t="s">
        <v>146</v>
      </c>
      <c r="H514" s="201" t="str">
        <f>CONCATENATE(L514,"-",C514,"-",LEFT(D514,3),LEFT(I514,3),"-",LEFT(J514,7),"-",5)</f>
        <v>HLP-2-MEJKER-1/2 BIR-5</v>
      </c>
      <c r="I514" s="199" t="s">
        <v>147</v>
      </c>
      <c r="J514" s="198" t="s">
        <v>176</v>
      </c>
      <c r="K514" s="198" t="s">
        <v>389</v>
      </c>
      <c r="L514" s="193" t="s">
        <v>209</v>
      </c>
      <c r="M514" s="387"/>
      <c r="N514" s="265"/>
      <c r="O514" s="284"/>
      <c r="P514" s="41"/>
      <c r="Q514" s="284"/>
      <c r="R514" s="105"/>
      <c r="S514" s="57"/>
      <c r="T514" s="57"/>
      <c r="U514" s="57"/>
      <c r="V514" s="285"/>
      <c r="W514" s="36"/>
      <c r="X514" s="48"/>
    </row>
    <row r="515" spans="2:24" x14ac:dyDescent="0.25">
      <c r="B515" s="405"/>
      <c r="C515" s="90">
        <v>2</v>
      </c>
      <c r="D515" s="204" t="s">
        <v>146</v>
      </c>
      <c r="H515" s="201" t="str">
        <f>CONCATENATE(L515,"-",C515,"-",LEFT(D515,3),LEFT(I515,3),"-",LEFT(J515,7),"-",6)</f>
        <v>HLP-2-MEJKER-1/2 BIR-6</v>
      </c>
      <c r="I515" s="199" t="s">
        <v>147</v>
      </c>
      <c r="J515" s="198" t="s">
        <v>176</v>
      </c>
      <c r="K515" s="198" t="s">
        <v>389</v>
      </c>
      <c r="L515" s="193" t="s">
        <v>209</v>
      </c>
      <c r="M515" s="387"/>
      <c r="N515" s="265"/>
      <c r="O515" s="284"/>
      <c r="P515" s="41"/>
      <c r="Q515" s="284"/>
      <c r="R515" s="105"/>
      <c r="S515" s="57"/>
      <c r="T515" s="57"/>
      <c r="U515" s="57"/>
      <c r="V515" s="285"/>
      <c r="W515" s="36"/>
      <c r="X515" s="48"/>
    </row>
    <row r="516" spans="2:24" x14ac:dyDescent="0.25">
      <c r="B516" s="405"/>
      <c r="C516" s="90">
        <v>2</v>
      </c>
      <c r="D516" s="204" t="s">
        <v>146</v>
      </c>
      <c r="H516" s="201" t="str">
        <f>CONCATENATE(L516,"-",C516,"-",LEFT(D516,3),LEFT(I516,3),"-",LEFT(J516,7),"-",7)</f>
        <v>HLP-2-MEJKER-1/2 BIR-7</v>
      </c>
      <c r="I516" s="199" t="s">
        <v>147</v>
      </c>
      <c r="J516" s="198" t="s">
        <v>176</v>
      </c>
      <c r="K516" s="198" t="s">
        <v>389</v>
      </c>
      <c r="L516" s="193" t="s">
        <v>209</v>
      </c>
      <c r="M516" s="387"/>
      <c r="N516" s="265"/>
      <c r="O516" s="284"/>
      <c r="P516" s="41"/>
      <c r="Q516" s="284"/>
      <c r="R516" s="105"/>
      <c r="S516" s="57"/>
      <c r="T516" s="57"/>
      <c r="U516" s="57"/>
      <c r="V516" s="285"/>
      <c r="W516" s="36"/>
      <c r="X516" s="48"/>
    </row>
    <row r="517" spans="2:24" x14ac:dyDescent="0.25">
      <c r="B517" s="405"/>
      <c r="C517" s="90">
        <v>2</v>
      </c>
      <c r="D517" s="204" t="s">
        <v>146</v>
      </c>
      <c r="H517" s="201" t="str">
        <f>CONCATENATE(L517,"-",C517,"-",LEFT(D517,3),LEFT(I517,3),"-",LEFT(J517,7),"-",8)</f>
        <v>HLP-2-MEJKER-1/2 BIR-8</v>
      </c>
      <c r="I517" s="199" t="s">
        <v>147</v>
      </c>
      <c r="J517" s="198" t="s">
        <v>176</v>
      </c>
      <c r="K517" s="198" t="s">
        <v>387</v>
      </c>
      <c r="L517" s="193" t="s">
        <v>209</v>
      </c>
      <c r="M517" s="387"/>
      <c r="N517" s="265"/>
      <c r="O517" s="284"/>
      <c r="P517" s="41"/>
      <c r="Q517" s="284"/>
      <c r="R517" s="105"/>
      <c r="S517" s="57"/>
      <c r="T517" s="57"/>
      <c r="U517" s="57"/>
      <c r="V517" s="285"/>
      <c r="W517" s="36"/>
      <c r="X517" s="48"/>
    </row>
    <row r="518" spans="2:24" x14ac:dyDescent="0.25">
      <c r="B518" s="405"/>
      <c r="C518" s="90">
        <v>2</v>
      </c>
      <c r="D518" s="204" t="s">
        <v>146</v>
      </c>
      <c r="H518" s="201" t="str">
        <f>CONCATENATE(L518,"-",C518,"-",LEFT(D518,3),LEFT(I518,3),"-",LEFT(J518,7),"-",9)</f>
        <v>HLP-2-MEJKER-1/2 BIR-9</v>
      </c>
      <c r="I518" s="199" t="s">
        <v>147</v>
      </c>
      <c r="J518" s="198" t="s">
        <v>176</v>
      </c>
      <c r="K518" s="198" t="s">
        <v>394</v>
      </c>
      <c r="L518" s="193" t="s">
        <v>209</v>
      </c>
      <c r="M518" s="387"/>
      <c r="N518" s="265"/>
      <c r="O518" s="284"/>
      <c r="P518" s="41"/>
      <c r="Q518" s="284"/>
      <c r="R518" s="105"/>
      <c r="S518" s="57"/>
      <c r="T518" s="57"/>
      <c r="U518" s="57"/>
      <c r="V518" s="285"/>
      <c r="W518" s="36"/>
      <c r="X518" s="48"/>
    </row>
    <row r="519" spans="2:24" x14ac:dyDescent="0.25">
      <c r="B519" s="405"/>
      <c r="C519" s="90">
        <v>2</v>
      </c>
      <c r="D519" s="204" t="s">
        <v>146</v>
      </c>
      <c r="H519" s="201" t="str">
        <f>CONCATENATE(L519,"-",C519,"-",LEFT(D519,3),LEFT(I519,3),"-",LEFT(J519,7),"-",10)</f>
        <v>HLP-2-MEJKER-1/2 BIR-10</v>
      </c>
      <c r="I519" s="199" t="s">
        <v>147</v>
      </c>
      <c r="J519" s="198" t="s">
        <v>176</v>
      </c>
      <c r="K519" s="198" t="s">
        <v>395</v>
      </c>
      <c r="L519" s="193" t="s">
        <v>209</v>
      </c>
      <c r="M519" s="387"/>
      <c r="N519" s="265"/>
      <c r="O519" s="284"/>
      <c r="P519" s="41"/>
      <c r="Q519" s="284"/>
      <c r="R519" s="105"/>
      <c r="S519" s="57"/>
      <c r="T519" s="57"/>
      <c r="U519" s="57"/>
      <c r="V519" s="285"/>
      <c r="W519" s="36"/>
      <c r="X519" s="48"/>
    </row>
    <row r="520" spans="2:24" x14ac:dyDescent="0.25">
      <c r="B520" s="405"/>
      <c r="C520" s="90">
        <v>2</v>
      </c>
      <c r="D520" s="204" t="s">
        <v>146</v>
      </c>
      <c r="H520" s="201" t="str">
        <f>CONCATENATE(L520,"-",C520,"-",LEFT(D520,3),LEFT(I520,3),"-",LEFT(J520,7),"-",11)</f>
        <v>HLP-2-MEJKER-1/2 BIR-11</v>
      </c>
      <c r="I520" s="199" t="s">
        <v>147</v>
      </c>
      <c r="J520" s="198" t="s">
        <v>176</v>
      </c>
      <c r="K520" s="198" t="s">
        <v>391</v>
      </c>
      <c r="L520" s="193" t="s">
        <v>209</v>
      </c>
      <c r="M520" s="387"/>
      <c r="N520" s="265"/>
      <c r="O520" s="284"/>
      <c r="P520" s="41"/>
      <c r="Q520" s="284"/>
      <c r="R520" s="105"/>
      <c r="S520" s="57"/>
      <c r="T520" s="57"/>
      <c r="U520" s="57"/>
      <c r="V520" s="285"/>
      <c r="W520" s="36"/>
      <c r="X520" s="48"/>
    </row>
    <row r="521" spans="2:24" x14ac:dyDescent="0.25">
      <c r="B521" s="405"/>
      <c r="C521" s="90">
        <v>2</v>
      </c>
      <c r="D521" s="204" t="s">
        <v>146</v>
      </c>
      <c r="H521" s="201" t="str">
        <f>CONCATENATE(L521,"-",C521,"-",LEFT(D521,3),LEFT(I521,3),"-",LEFT(J521,7),"-",12)</f>
        <v>HLP-2-MEJKER-1/2 BIR-12</v>
      </c>
      <c r="I521" s="199" t="s">
        <v>147</v>
      </c>
      <c r="J521" s="198" t="s">
        <v>176</v>
      </c>
      <c r="K521" s="198" t="s">
        <v>391</v>
      </c>
      <c r="L521" s="193" t="s">
        <v>209</v>
      </c>
      <c r="M521" s="387"/>
      <c r="N521" s="265"/>
      <c r="O521" s="284"/>
      <c r="P521" s="41"/>
      <c r="Q521" s="284"/>
      <c r="R521" s="105"/>
      <c r="S521" s="57"/>
      <c r="T521" s="57"/>
      <c r="U521" s="57"/>
      <c r="V521" s="285"/>
      <c r="W521" s="36"/>
      <c r="X521" s="48"/>
    </row>
    <row r="522" spans="2:24" x14ac:dyDescent="0.25">
      <c r="B522" s="405"/>
      <c r="C522" s="90">
        <v>2</v>
      </c>
      <c r="D522" s="204" t="s">
        <v>146</v>
      </c>
      <c r="H522" s="201" t="str">
        <f>CONCATENATE(L522,"-",C522,"-",LEFT(D522,3),LEFT(I522,3),"-",LEFT(J522,7),"-",13)</f>
        <v>HLP-2-MEJKER-1/2 BIR-13</v>
      </c>
      <c r="I522" s="199" t="s">
        <v>147</v>
      </c>
      <c r="J522" s="198" t="s">
        <v>176</v>
      </c>
      <c r="K522" s="198" t="s">
        <v>239</v>
      </c>
      <c r="L522" s="193" t="s">
        <v>209</v>
      </c>
      <c r="M522" s="387"/>
      <c r="N522" s="265"/>
      <c r="O522" s="284"/>
      <c r="P522" s="41"/>
      <c r="Q522" s="284"/>
      <c r="R522" s="105"/>
      <c r="S522" s="57"/>
      <c r="T522" s="57"/>
      <c r="U522" s="57"/>
      <c r="V522" s="285"/>
      <c r="W522" s="36"/>
      <c r="X522" s="48"/>
    </row>
    <row r="523" spans="2:24" x14ac:dyDescent="0.25">
      <c r="B523" s="405"/>
      <c r="C523" s="90">
        <v>2</v>
      </c>
      <c r="D523" s="204" t="s">
        <v>146</v>
      </c>
      <c r="H523" s="201" t="str">
        <f>CONCATENATE(L523,"-",C523,"-",LEFT(D523,3),LEFT(I523,3),"-",LEFT(J523,7),"-",14)</f>
        <v>HLP-2-MEJKER-1/2 BIR-14</v>
      </c>
      <c r="I523" s="199" t="s">
        <v>147</v>
      </c>
      <c r="J523" s="198" t="s">
        <v>176</v>
      </c>
      <c r="K523" s="198" t="s">
        <v>239</v>
      </c>
      <c r="L523" s="193" t="s">
        <v>209</v>
      </c>
      <c r="M523" s="387"/>
      <c r="N523" s="265"/>
      <c r="O523" s="284"/>
      <c r="P523" s="41"/>
      <c r="Q523" s="284"/>
      <c r="R523" s="105"/>
      <c r="S523" s="57"/>
      <c r="T523" s="57"/>
      <c r="U523" s="57"/>
      <c r="V523" s="285"/>
      <c r="W523" s="36"/>
      <c r="X523" s="48"/>
    </row>
    <row r="524" spans="2:24" x14ac:dyDescent="0.25">
      <c r="B524" s="405"/>
      <c r="C524" s="90">
        <v>2</v>
      </c>
      <c r="D524" s="204" t="s">
        <v>146</v>
      </c>
      <c r="H524" s="201" t="str">
        <f>CONCATENATE(L524,"-",C524,"-",LEFT(D524,3),LEFT(I524,3),"-",LEFT(J524,7),"-",15)</f>
        <v>HLP-2-MEJKER-1/2 BIR-15</v>
      </c>
      <c r="I524" s="199" t="s">
        <v>147</v>
      </c>
      <c r="J524" s="198" t="s">
        <v>176</v>
      </c>
      <c r="K524" s="198" t="s">
        <v>392</v>
      </c>
      <c r="L524" s="193" t="s">
        <v>209</v>
      </c>
      <c r="M524" s="387"/>
      <c r="N524" s="265"/>
      <c r="O524" s="284"/>
      <c r="P524" s="41"/>
      <c r="Q524" s="284"/>
      <c r="R524" s="105"/>
      <c r="S524" s="57"/>
      <c r="T524" s="57"/>
      <c r="U524" s="57"/>
      <c r="V524" s="285"/>
      <c r="W524" s="36"/>
      <c r="X524" s="48"/>
    </row>
    <row r="525" spans="2:24" x14ac:dyDescent="0.25">
      <c r="B525" s="405"/>
      <c r="C525" s="90">
        <v>2</v>
      </c>
      <c r="D525" s="204" t="s">
        <v>146</v>
      </c>
      <c r="H525" s="201" t="str">
        <f>CONCATENATE(L525,"-",C525,"-",LEFT(D525,3),LEFT(I525,3),"-",LEFT(J525,7),"-",16)</f>
        <v>HLP-2-MEJKER-1/2 BIR-16</v>
      </c>
      <c r="I525" s="199" t="s">
        <v>147</v>
      </c>
      <c r="J525" s="198" t="s">
        <v>176</v>
      </c>
      <c r="K525" s="198" t="s">
        <v>382</v>
      </c>
      <c r="L525" s="193" t="s">
        <v>209</v>
      </c>
      <c r="M525" s="387"/>
      <c r="N525" s="265"/>
      <c r="O525" s="284"/>
      <c r="P525" s="41"/>
      <c r="Q525" s="284"/>
      <c r="R525" s="105"/>
      <c r="S525" s="57"/>
      <c r="T525" s="57"/>
      <c r="U525" s="57"/>
      <c r="V525" s="285"/>
      <c r="W525" s="36"/>
      <c r="X525" s="48"/>
    </row>
    <row r="526" spans="2:24" x14ac:dyDescent="0.25">
      <c r="B526" s="405"/>
      <c r="C526" s="90">
        <v>2</v>
      </c>
      <c r="D526" s="204" t="s">
        <v>146</v>
      </c>
      <c r="H526" s="201" t="str">
        <f>CONCATENATE(L526,"-",C526,"-",LEFT(D526,3),LEFT(I526,3),"-",LEFT(J526,7),"-",17)</f>
        <v>HLP-2-MEJKER-1/2 BIR-17</v>
      </c>
      <c r="I526" s="199" t="s">
        <v>147</v>
      </c>
      <c r="J526" s="198" t="s">
        <v>176</v>
      </c>
      <c r="K526" s="198" t="s">
        <v>382</v>
      </c>
      <c r="L526" s="193" t="s">
        <v>209</v>
      </c>
      <c r="M526" s="387"/>
      <c r="N526" s="265"/>
      <c r="O526" s="284"/>
      <c r="P526" s="41"/>
      <c r="Q526" s="284"/>
      <c r="R526" s="105"/>
      <c r="S526" s="57"/>
      <c r="T526" s="57"/>
      <c r="U526" s="57"/>
      <c r="V526" s="285"/>
      <c r="W526" s="36"/>
      <c r="X526" s="48"/>
    </row>
    <row r="527" spans="2:24" x14ac:dyDescent="0.25">
      <c r="B527" s="405"/>
      <c r="C527" s="90">
        <v>2</v>
      </c>
      <c r="D527" s="204" t="s">
        <v>146</v>
      </c>
      <c r="H527" s="201" t="str">
        <f>CONCATENATE(L527,"-",C527,"-",LEFT(D527,3),LEFT(I527,3),"-",LEFT(J527,7),"-",18)</f>
        <v>HLP-2-MEJKER-1/2 BIR-18</v>
      </c>
      <c r="I527" s="199" t="s">
        <v>147</v>
      </c>
      <c r="J527" s="198" t="s">
        <v>176</v>
      </c>
      <c r="K527" s="198" t="s">
        <v>382</v>
      </c>
      <c r="L527" s="193" t="s">
        <v>209</v>
      </c>
      <c r="M527" s="387"/>
      <c r="N527" s="265"/>
      <c r="O527" s="284"/>
      <c r="P527" s="41"/>
      <c r="Q527" s="284"/>
      <c r="R527" s="105"/>
      <c r="S527" s="57"/>
      <c r="T527" s="57"/>
      <c r="U527" s="57"/>
      <c r="V527" s="285"/>
      <c r="W527" s="36"/>
      <c r="X527" s="48"/>
    </row>
    <row r="528" spans="2:24" x14ac:dyDescent="0.25">
      <c r="B528" s="405"/>
      <c r="C528" s="90">
        <v>2</v>
      </c>
      <c r="D528" s="204" t="s">
        <v>146</v>
      </c>
      <c r="H528" s="201" t="str">
        <f>CONCATENATE(L528,"-",C528,"-",LEFT(D528,3),LEFT(I528,3),"-",LEFT(J528,7),"-",19)</f>
        <v>HLP-2-MEJKER-1/2 BIR-19</v>
      </c>
      <c r="I528" s="199" t="s">
        <v>147</v>
      </c>
      <c r="J528" s="198" t="s">
        <v>176</v>
      </c>
      <c r="K528" s="198" t="s">
        <v>382</v>
      </c>
      <c r="L528" s="193" t="s">
        <v>209</v>
      </c>
      <c r="M528" s="387"/>
      <c r="N528" s="265"/>
      <c r="O528" s="284"/>
      <c r="P528" s="41"/>
      <c r="Q528" s="284"/>
      <c r="R528" s="105"/>
      <c r="S528" s="57"/>
      <c r="T528" s="57"/>
      <c r="U528" s="57"/>
      <c r="V528" s="285"/>
      <c r="W528" s="36"/>
      <c r="X528" s="48"/>
    </row>
    <row r="529" spans="2:24" x14ac:dyDescent="0.25">
      <c r="B529" s="405"/>
      <c r="C529" s="90">
        <v>2</v>
      </c>
      <c r="D529" s="204" t="s">
        <v>146</v>
      </c>
      <c r="H529" s="201" t="str">
        <f>CONCATENATE(L529,"-",C529,"-",LEFT(D529,3),LEFT(I529,3),"-",LEFT(J529,7),"-",20)</f>
        <v>HLP-2-MEJKER-1/2 BIR-20</v>
      </c>
      <c r="I529" s="199" t="s">
        <v>147</v>
      </c>
      <c r="J529" s="198" t="s">
        <v>176</v>
      </c>
      <c r="K529" s="198" t="s">
        <v>382</v>
      </c>
      <c r="L529" s="193" t="s">
        <v>209</v>
      </c>
      <c r="M529" s="387"/>
      <c r="N529" s="265"/>
      <c r="O529" s="284"/>
      <c r="P529" s="41"/>
      <c r="Q529" s="284"/>
      <c r="R529" s="105"/>
      <c r="S529" s="57"/>
      <c r="T529" s="57"/>
      <c r="U529" s="57"/>
      <c r="V529" s="285"/>
      <c r="W529" s="36"/>
      <c r="X529" s="48"/>
    </row>
    <row r="530" spans="2:24" x14ac:dyDescent="0.25">
      <c r="B530" s="405"/>
      <c r="C530" s="90">
        <v>2</v>
      </c>
      <c r="D530" s="204" t="s">
        <v>146</v>
      </c>
      <c r="H530" s="201" t="str">
        <f>CONCATENATE(L530,"-",C530,"-",LEFT(D530,3),LEFT(I530,3),"-",LEFT(J530,7),"-",21)</f>
        <v>HLP-2-MEJKER-1/2 BIR-21</v>
      </c>
      <c r="I530" s="199" t="s">
        <v>147</v>
      </c>
      <c r="J530" s="198" t="s">
        <v>176</v>
      </c>
      <c r="K530" s="198" t="s">
        <v>383</v>
      </c>
      <c r="L530" s="193" t="s">
        <v>209</v>
      </c>
      <c r="M530" s="387"/>
      <c r="N530" s="265"/>
      <c r="O530" s="284"/>
      <c r="P530" s="41"/>
      <c r="Q530" s="284"/>
      <c r="R530" s="105"/>
      <c r="S530" s="57"/>
      <c r="T530" s="57"/>
      <c r="U530" s="57"/>
      <c r="V530" s="285"/>
      <c r="W530" s="36"/>
      <c r="X530" s="48"/>
    </row>
    <row r="531" spans="2:24" x14ac:dyDescent="0.25">
      <c r="B531" s="405"/>
      <c r="C531" s="90">
        <v>2</v>
      </c>
      <c r="D531" s="204" t="s">
        <v>146</v>
      </c>
      <c r="H531" s="201" t="str">
        <f>CONCATENATE(L531,"-",C531,"-",LEFT(D531,3),LEFT(I531,3),"-",LEFT(J531,7),"-",22)</f>
        <v>HLP-2-MEJKER-1/2 BIR-22</v>
      </c>
      <c r="I531" s="199" t="s">
        <v>147</v>
      </c>
      <c r="J531" s="198" t="s">
        <v>176</v>
      </c>
      <c r="K531" s="198" t="s">
        <v>383</v>
      </c>
      <c r="L531" s="193" t="s">
        <v>209</v>
      </c>
      <c r="M531" s="387"/>
      <c r="N531" s="265"/>
      <c r="O531" s="284"/>
      <c r="P531" s="41"/>
      <c r="Q531" s="284"/>
      <c r="R531" s="105"/>
      <c r="S531" s="57"/>
      <c r="T531" s="57"/>
      <c r="U531" s="57"/>
      <c r="V531" s="285"/>
      <c r="W531" s="36"/>
      <c r="X531" s="48"/>
    </row>
    <row r="532" spans="2:24" x14ac:dyDescent="0.25">
      <c r="B532" s="405"/>
      <c r="C532" s="90">
        <v>2</v>
      </c>
      <c r="D532" s="204" t="s">
        <v>146</v>
      </c>
      <c r="H532" s="201" t="str">
        <f>CONCATENATE(L532,"-",C532,"-",LEFT(D532,3),LEFT(I532,3),"-",LEFT(J532,7),"-",23)</f>
        <v>HLP-2-MEJKER-1/2 BIR-23</v>
      </c>
      <c r="I532" s="199" t="s">
        <v>147</v>
      </c>
      <c r="J532" s="198" t="s">
        <v>176</v>
      </c>
      <c r="K532" s="198" t="s">
        <v>249</v>
      </c>
      <c r="L532" s="193" t="s">
        <v>209</v>
      </c>
      <c r="M532" s="387"/>
      <c r="N532" s="265"/>
      <c r="O532" s="284"/>
      <c r="P532" s="41"/>
      <c r="Q532" s="284"/>
      <c r="R532" s="105"/>
      <c r="S532" s="57"/>
      <c r="T532" s="57"/>
      <c r="U532" s="57"/>
      <c r="V532" s="285"/>
      <c r="W532" s="36"/>
      <c r="X532" s="48"/>
    </row>
    <row r="533" spans="2:24" x14ac:dyDescent="0.25">
      <c r="B533" s="405"/>
      <c r="C533" s="90">
        <v>2</v>
      </c>
      <c r="D533" s="204" t="s">
        <v>146</v>
      </c>
      <c r="H533" s="201" t="str">
        <f>CONCATENATE(L533,"-",C533,"-",LEFT(D533,3),LEFT(I533,3),"-",LEFT(J533,7),"-",24)</f>
        <v>HLP-2-MEJKER-1/2 BIR-24</v>
      </c>
      <c r="I533" s="199" t="s">
        <v>147</v>
      </c>
      <c r="J533" s="198" t="s">
        <v>176</v>
      </c>
      <c r="K533" s="198" t="s">
        <v>249</v>
      </c>
      <c r="L533" s="193" t="s">
        <v>209</v>
      </c>
      <c r="M533" s="387"/>
      <c r="N533" s="265"/>
      <c r="O533" s="284"/>
      <c r="P533" s="41"/>
      <c r="Q533" s="284"/>
      <c r="R533" s="105"/>
      <c r="S533" s="57"/>
      <c r="T533" s="57"/>
      <c r="U533" s="57"/>
      <c r="V533" s="285"/>
      <c r="W533" s="36"/>
      <c r="X533" s="48"/>
    </row>
    <row r="534" spans="2:24" x14ac:dyDescent="0.25">
      <c r="B534" s="405"/>
      <c r="C534" s="90">
        <v>2</v>
      </c>
      <c r="D534" s="204" t="s">
        <v>146</v>
      </c>
      <c r="H534" s="201" t="str">
        <f>CONCATENATE(L534,"-",C534,"-",LEFT(D534,3),LEFT(I534,3),"-",LEFT(J534,7),"-",25)</f>
        <v>HLP-2-MEJKER-1/2 BIR-25</v>
      </c>
      <c r="I534" s="199" t="s">
        <v>147</v>
      </c>
      <c r="J534" s="198" t="s">
        <v>176</v>
      </c>
      <c r="K534" s="198" t="s">
        <v>396</v>
      </c>
      <c r="L534" s="193" t="s">
        <v>209</v>
      </c>
      <c r="M534" s="387"/>
      <c r="N534" s="265"/>
      <c r="O534" s="284"/>
      <c r="P534" s="41"/>
      <c r="Q534" s="284"/>
      <c r="R534" s="105"/>
      <c r="S534" s="57"/>
      <c r="T534" s="57"/>
      <c r="U534" s="57"/>
      <c r="V534" s="285"/>
      <c r="W534" s="36"/>
      <c r="X534" s="48"/>
    </row>
    <row r="535" spans="2:24" x14ac:dyDescent="0.25">
      <c r="B535" s="405"/>
      <c r="C535" s="90">
        <v>2</v>
      </c>
      <c r="D535" s="204" t="s">
        <v>146</v>
      </c>
      <c r="H535" s="201" t="str">
        <f>CONCATENATE(L535,"-",C535,"-",LEFT(D535,3),LEFT(I535,3),"-",LEFT(J535,7),"-",36)</f>
        <v>HLP-2-MEJKER-1/2 BIR-36</v>
      </c>
      <c r="I535" s="199" t="s">
        <v>147</v>
      </c>
      <c r="J535" s="198" t="s">
        <v>176</v>
      </c>
      <c r="K535" s="198" t="s">
        <v>396</v>
      </c>
      <c r="L535" s="193" t="s">
        <v>209</v>
      </c>
      <c r="M535" s="387"/>
      <c r="N535" s="265"/>
      <c r="O535" s="284"/>
      <c r="P535" s="41"/>
      <c r="Q535" s="284"/>
      <c r="R535" s="105"/>
      <c r="S535" s="57"/>
      <c r="T535" s="57"/>
      <c r="U535" s="57"/>
      <c r="V535" s="285"/>
      <c r="W535" s="36"/>
      <c r="X535" s="48"/>
    </row>
    <row r="536" spans="2:24" x14ac:dyDescent="0.25">
      <c r="B536" s="405"/>
      <c r="C536" s="90">
        <v>2</v>
      </c>
      <c r="D536" s="204" t="s">
        <v>146</v>
      </c>
      <c r="H536" s="201" t="str">
        <f>CONCATENATE(L536,"-",C536,"-",LEFT(D536,3),LEFT(I536,3),"-",LEFT(J536,7),"-",27)</f>
        <v>HLP-2-MEJKER-1/2 BIR-27</v>
      </c>
      <c r="I536" s="199" t="s">
        <v>147</v>
      </c>
      <c r="J536" s="198" t="s">
        <v>176</v>
      </c>
      <c r="K536" s="198" t="s">
        <v>384</v>
      </c>
      <c r="L536" s="193" t="s">
        <v>209</v>
      </c>
      <c r="M536" s="387"/>
      <c r="N536" s="265"/>
      <c r="O536" s="284"/>
      <c r="P536" s="41"/>
      <c r="Q536" s="284"/>
      <c r="R536" s="105"/>
      <c r="S536" s="57"/>
      <c r="T536" s="57"/>
      <c r="U536" s="57"/>
      <c r="V536" s="285"/>
      <c r="W536" s="36"/>
      <c r="X536" s="48"/>
    </row>
    <row r="537" spans="2:24" x14ac:dyDescent="0.25">
      <c r="B537" s="405"/>
      <c r="C537" s="90">
        <v>2</v>
      </c>
      <c r="D537" s="204" t="s">
        <v>146</v>
      </c>
      <c r="H537" s="201" t="str">
        <f>CONCATENATE(L537,"-",C537,"-",LEFT(D537,3),LEFT(I537,3),"-",LEFT(J537,7),"-",28)</f>
        <v>HLP-2-MEJKER-1/2 BIR-28</v>
      </c>
      <c r="I537" s="199" t="s">
        <v>147</v>
      </c>
      <c r="J537" s="198" t="s">
        <v>176</v>
      </c>
      <c r="K537" s="198" t="s">
        <v>384</v>
      </c>
      <c r="L537" s="193" t="s">
        <v>209</v>
      </c>
      <c r="M537" s="387"/>
      <c r="N537" s="265"/>
      <c r="O537" s="284"/>
      <c r="P537" s="41"/>
      <c r="Q537" s="284"/>
      <c r="R537" s="105"/>
      <c r="S537" s="57"/>
      <c r="T537" s="57"/>
      <c r="U537" s="57"/>
      <c r="V537" s="285"/>
      <c r="W537" s="36"/>
      <c r="X537" s="48"/>
    </row>
    <row r="538" spans="2:24" x14ac:dyDescent="0.25">
      <c r="B538" s="405"/>
      <c r="C538" s="90">
        <v>2</v>
      </c>
      <c r="D538" s="204" t="s">
        <v>146</v>
      </c>
      <c r="H538" s="201" t="str">
        <f>CONCATENATE(L538,"-",C538,"-",LEFT(D538,3),LEFT(I538,3),"-",LEFT(J538,7),"-",29)</f>
        <v>HLP-2-MEJKER-1/2 BIR-29</v>
      </c>
      <c r="I538" s="199" t="s">
        <v>147</v>
      </c>
      <c r="J538" s="198" t="s">
        <v>176</v>
      </c>
      <c r="K538" s="198" t="s">
        <v>385</v>
      </c>
      <c r="L538" s="193" t="s">
        <v>209</v>
      </c>
      <c r="M538" s="387"/>
      <c r="N538" s="265"/>
      <c r="O538" s="284"/>
      <c r="P538" s="41"/>
      <c r="Q538" s="284"/>
      <c r="R538" s="105"/>
      <c r="S538" s="57"/>
      <c r="T538" s="57"/>
      <c r="U538" s="57"/>
      <c r="V538" s="285"/>
      <c r="W538" s="36"/>
      <c r="X538" s="48"/>
    </row>
    <row r="539" spans="2:24" x14ac:dyDescent="0.25">
      <c r="B539" s="405"/>
      <c r="C539" s="90">
        <v>2</v>
      </c>
      <c r="D539" s="204" t="s">
        <v>146</v>
      </c>
      <c r="H539" s="201" t="str">
        <f>CONCATENATE(L539,"-",C539,"-",LEFT(D539,3),LEFT(I539,3),"-",LEFT(J539,7),"-",30)</f>
        <v>HLP-2-MEJKER-1/2 BIR-30</v>
      </c>
      <c r="I539" s="199" t="s">
        <v>147</v>
      </c>
      <c r="J539" s="198" t="s">
        <v>176</v>
      </c>
      <c r="K539" s="198" t="s">
        <v>385</v>
      </c>
      <c r="L539" s="193" t="s">
        <v>209</v>
      </c>
      <c r="M539" s="387"/>
      <c r="N539" s="265"/>
      <c r="O539" s="284"/>
      <c r="P539" s="41"/>
      <c r="Q539" s="284"/>
      <c r="R539" s="105"/>
      <c r="S539" s="57"/>
      <c r="T539" s="57"/>
      <c r="U539" s="57"/>
      <c r="V539" s="285"/>
      <c r="W539" s="36"/>
      <c r="X539" s="48"/>
    </row>
    <row r="540" spans="2:24" x14ac:dyDescent="0.25">
      <c r="B540" s="405"/>
      <c r="C540" s="90">
        <v>2</v>
      </c>
      <c r="D540" s="204" t="s">
        <v>146</v>
      </c>
      <c r="H540" s="201" t="str">
        <f>CONCATENATE(L540,"-",C540,"-",LEFT(D540,3),LEFT(I540,3),"-",LEFT(J540,7),"-",31)</f>
        <v>HLP-2-MEJKER-1/2 BIR-31</v>
      </c>
      <c r="I540" s="199" t="s">
        <v>147</v>
      </c>
      <c r="J540" s="198" t="s">
        <v>176</v>
      </c>
      <c r="K540" s="198" t="s">
        <v>385</v>
      </c>
      <c r="L540" s="193" t="s">
        <v>209</v>
      </c>
      <c r="M540" s="387"/>
      <c r="N540" s="265"/>
      <c r="O540" s="284"/>
      <c r="P540" s="41"/>
      <c r="Q540" s="284"/>
      <c r="R540" s="105"/>
      <c r="S540" s="57"/>
      <c r="T540" s="57"/>
      <c r="U540" s="57"/>
      <c r="V540" s="285"/>
      <c r="W540" s="36"/>
      <c r="X540" s="48"/>
    </row>
    <row r="541" spans="2:24" x14ac:dyDescent="0.25">
      <c r="B541" s="405"/>
      <c r="C541" s="90">
        <v>2</v>
      </c>
      <c r="D541" s="204" t="s">
        <v>146</v>
      </c>
      <c r="H541" s="201" t="str">
        <f>CONCATENATE(L541,"-",C541,"-",LEFT(D541,3),LEFT(I541,3),"-",LEFT(J541,7),"-",32)</f>
        <v>HLP-2-MEJKER-1/2 BIR-32</v>
      </c>
      <c r="I541" s="199" t="s">
        <v>147</v>
      </c>
      <c r="J541" s="198" t="s">
        <v>176</v>
      </c>
      <c r="K541" s="198" t="s">
        <v>388</v>
      </c>
      <c r="L541" s="193" t="s">
        <v>209</v>
      </c>
      <c r="M541" s="387"/>
      <c r="N541" s="265"/>
      <c r="O541" s="284"/>
      <c r="P541" s="41"/>
      <c r="Q541" s="284"/>
      <c r="R541" s="105"/>
      <c r="S541" s="57"/>
      <c r="T541" s="57"/>
      <c r="U541" s="57"/>
      <c r="V541" s="285"/>
      <c r="W541" s="36"/>
      <c r="X541" s="48"/>
    </row>
    <row r="542" spans="2:24" x14ac:dyDescent="0.25">
      <c r="B542" s="405"/>
      <c r="C542" s="90">
        <v>2</v>
      </c>
      <c r="D542" s="204" t="s">
        <v>146</v>
      </c>
      <c r="H542" s="201" t="str">
        <f>CONCATENATE(L542,"-",C542,"-",LEFT(D542,3),LEFT(I542,3),"-",LEFT(J542,7),"-",33)</f>
        <v>HLP-2-MEJKER-1/2 BIR-33</v>
      </c>
      <c r="I542" s="199" t="s">
        <v>147</v>
      </c>
      <c r="J542" s="198" t="s">
        <v>176</v>
      </c>
      <c r="K542" s="198" t="s">
        <v>388</v>
      </c>
      <c r="L542" s="193" t="s">
        <v>209</v>
      </c>
      <c r="M542" s="387"/>
      <c r="N542" s="265"/>
      <c r="O542" s="284"/>
      <c r="P542" s="41"/>
      <c r="Q542" s="284"/>
      <c r="R542" s="105"/>
      <c r="S542" s="57"/>
      <c r="T542" s="57"/>
      <c r="U542" s="57"/>
      <c r="V542" s="285"/>
      <c r="W542" s="36"/>
      <c r="X542" s="48"/>
    </row>
    <row r="543" spans="2:24" x14ac:dyDescent="0.25">
      <c r="B543" s="405"/>
      <c r="C543" s="90">
        <v>2</v>
      </c>
      <c r="D543" s="204" t="s">
        <v>146</v>
      </c>
      <c r="H543" s="201" t="str">
        <f>CONCATENATE(L543,"-",C543,"-",LEFT(D543,3),LEFT(I543,3),"-",LEFT(J543,7),"-",34)</f>
        <v>HLP-2-MEJKER-1/2 BIR-34</v>
      </c>
      <c r="I543" s="199" t="s">
        <v>147</v>
      </c>
      <c r="J543" s="198" t="s">
        <v>176</v>
      </c>
      <c r="K543" s="198" t="s">
        <v>388</v>
      </c>
      <c r="L543" s="193" t="s">
        <v>209</v>
      </c>
      <c r="M543" s="387"/>
      <c r="N543" s="265"/>
      <c r="O543" s="284"/>
      <c r="P543" s="41"/>
      <c r="Q543" s="284"/>
      <c r="R543" s="105"/>
      <c r="S543" s="57"/>
      <c r="T543" s="57"/>
      <c r="U543" s="57"/>
      <c r="V543" s="285"/>
      <c r="W543" s="36"/>
      <c r="X543" s="48"/>
    </row>
    <row r="544" spans="2:24" x14ac:dyDescent="0.25">
      <c r="B544" s="405"/>
      <c r="C544" s="90">
        <v>2</v>
      </c>
      <c r="D544" s="204" t="s">
        <v>146</v>
      </c>
      <c r="H544" s="201" t="str">
        <f>CONCATENATE(L544,"-",C544,"-",LEFT(D544,3),LEFT(I544,3),"-",LEFT(J544,7),"-",35)</f>
        <v>HLP-2-MEJKER-1/2 BIR-35</v>
      </c>
      <c r="I544" s="199" t="s">
        <v>147</v>
      </c>
      <c r="J544" s="198" t="s">
        <v>176</v>
      </c>
      <c r="K544" s="198" t="s">
        <v>247</v>
      </c>
      <c r="L544" s="193" t="s">
        <v>209</v>
      </c>
      <c r="M544" s="387"/>
      <c r="N544" s="265"/>
      <c r="O544" s="284"/>
      <c r="P544" s="41"/>
      <c r="Q544" s="284"/>
      <c r="R544" s="105"/>
      <c r="S544" s="57"/>
      <c r="T544" s="57"/>
      <c r="U544" s="57"/>
      <c r="V544" s="285"/>
      <c r="W544" s="36"/>
      <c r="X544" s="48"/>
    </row>
    <row r="545" spans="2:24" x14ac:dyDescent="0.25">
      <c r="B545" s="405"/>
      <c r="C545" s="90">
        <v>2</v>
      </c>
      <c r="D545" s="204" t="s">
        <v>146</v>
      </c>
      <c r="H545" s="201" t="str">
        <f>CONCATENATE(L545,"-",C545,"-",LEFT(D545,3),LEFT(I545,3),"-",LEFT(J545,7),"-",36)</f>
        <v>HLP-2-MEJKER-1/2 BIR-36</v>
      </c>
      <c r="I545" s="199" t="s">
        <v>147</v>
      </c>
      <c r="J545" s="198" t="s">
        <v>176</v>
      </c>
      <c r="K545" s="198" t="s">
        <v>247</v>
      </c>
      <c r="L545" s="193" t="s">
        <v>209</v>
      </c>
      <c r="M545" s="387"/>
      <c r="N545" s="265"/>
      <c r="O545" s="284"/>
      <c r="P545" s="41"/>
      <c r="Q545" s="284"/>
      <c r="R545" s="105"/>
      <c r="S545" s="57"/>
      <c r="T545" s="57"/>
      <c r="U545" s="57"/>
      <c r="V545" s="285"/>
      <c r="W545" s="36"/>
      <c r="X545" s="48"/>
    </row>
    <row r="546" spans="2:24" x14ac:dyDescent="0.25">
      <c r="B546" s="405"/>
      <c r="C546" s="90">
        <v>2</v>
      </c>
      <c r="D546" s="204" t="s">
        <v>146</v>
      </c>
      <c r="H546" s="201" t="str">
        <f>CONCATENATE(L546,"-",C546,"-",LEFT(D546,3),LEFT(I546,3),"-",LEFT(J546,7),"-",37)</f>
        <v>HLP-2-MEJKER-1/2 BIR-37</v>
      </c>
      <c r="I546" s="199" t="s">
        <v>147</v>
      </c>
      <c r="J546" s="198" t="s">
        <v>176</v>
      </c>
      <c r="K546" s="198" t="s">
        <v>247</v>
      </c>
      <c r="L546" s="193" t="s">
        <v>209</v>
      </c>
      <c r="M546" s="387"/>
      <c r="N546" s="265"/>
      <c r="O546" s="284"/>
      <c r="P546" s="41"/>
      <c r="Q546" s="284"/>
      <c r="R546" s="105"/>
      <c r="S546" s="57"/>
      <c r="T546" s="57"/>
      <c r="U546" s="57"/>
      <c r="V546" s="285"/>
      <c r="W546" s="36"/>
      <c r="X546" s="48"/>
    </row>
    <row r="547" spans="2:24" x14ac:dyDescent="0.25">
      <c r="B547" s="405"/>
      <c r="C547" s="90">
        <v>2</v>
      </c>
      <c r="D547" s="204" t="s">
        <v>146</v>
      </c>
      <c r="H547" s="201" t="str">
        <f>CONCATENATE(L547,"-",C547,"-",LEFT(D547,3),LEFT(I547,3),"-",LEFT(J547,7),"-",38)</f>
        <v>HLP-2-MEJKER-1/2 BIR-38</v>
      </c>
      <c r="I547" s="199" t="s">
        <v>147</v>
      </c>
      <c r="J547" s="198" t="s">
        <v>176</v>
      </c>
      <c r="K547" s="198" t="s">
        <v>470</v>
      </c>
      <c r="L547" s="193" t="s">
        <v>209</v>
      </c>
      <c r="M547" s="387"/>
      <c r="N547" s="265"/>
      <c r="O547" s="284"/>
      <c r="P547" s="41"/>
      <c r="Q547" s="284"/>
      <c r="R547" s="105"/>
      <c r="S547" s="57"/>
      <c r="T547" s="57"/>
      <c r="U547" s="57"/>
      <c r="V547" s="365" t="s">
        <v>471</v>
      </c>
      <c r="W547" s="36"/>
      <c r="X547" s="48"/>
    </row>
    <row r="548" spans="2:24" x14ac:dyDescent="0.25">
      <c r="B548" s="405"/>
      <c r="C548" s="90">
        <v>2</v>
      </c>
      <c r="D548" s="204" t="s">
        <v>146</v>
      </c>
      <c r="H548" s="201" t="str">
        <f>CONCATENATE(L548,"-",C548,"-",LEFT(D548,3),LEFT(I548,3),"-",LEFT(J548,7),"-",39)</f>
        <v>HLP-2-MEJKER-1/2 BIR-39</v>
      </c>
      <c r="I548" s="199" t="s">
        <v>147</v>
      </c>
      <c r="J548" s="198" t="s">
        <v>176</v>
      </c>
      <c r="K548" s="198" t="s">
        <v>470</v>
      </c>
      <c r="L548" s="193" t="s">
        <v>209</v>
      </c>
      <c r="M548" s="387"/>
      <c r="N548" s="265"/>
      <c r="O548" s="284"/>
      <c r="P548" s="41"/>
      <c r="Q548" s="284"/>
      <c r="R548" s="105"/>
      <c r="S548" s="57"/>
      <c r="T548" s="57"/>
      <c r="U548" s="57"/>
      <c r="V548" s="365" t="s">
        <v>471</v>
      </c>
      <c r="W548" s="36"/>
      <c r="X548" s="48"/>
    </row>
    <row r="549" spans="2:24" x14ac:dyDescent="0.25">
      <c r="B549" s="405"/>
      <c r="C549" s="90">
        <v>2</v>
      </c>
      <c r="D549" s="204" t="s">
        <v>146</v>
      </c>
      <c r="H549" s="201" t="str">
        <f>CONCATENATE(L549,"-",C549,"-",LEFT(D549,3),LEFT(I549,3),"-",LEFT(J549,7),"-",40)</f>
        <v>HLP-2-MEJKER-1/2 BIR-40</v>
      </c>
      <c r="I549" s="199" t="s">
        <v>147</v>
      </c>
      <c r="J549" s="198" t="s">
        <v>176</v>
      </c>
      <c r="K549" s="198" t="s">
        <v>470</v>
      </c>
      <c r="L549" s="193" t="s">
        <v>209</v>
      </c>
      <c r="M549" s="387"/>
      <c r="N549" s="265"/>
      <c r="O549" s="284"/>
      <c r="P549" s="41"/>
      <c r="Q549" s="284"/>
      <c r="R549" s="105"/>
      <c r="S549" s="57"/>
      <c r="T549" s="57"/>
      <c r="U549" s="57"/>
      <c r="V549" s="365" t="s">
        <v>471</v>
      </c>
      <c r="W549" s="36"/>
      <c r="X549" s="48"/>
    </row>
    <row r="550" spans="2:24" x14ac:dyDescent="0.25">
      <c r="B550" s="405"/>
      <c r="C550" s="90">
        <v>2</v>
      </c>
      <c r="D550" s="204" t="s">
        <v>146</v>
      </c>
      <c r="H550" s="201" t="str">
        <f>CONCATENATE(L550,"-",C550,"-",LEFT(D550,3),LEFT(I550,3),"-",LEFT(J550,7),"-",41)</f>
        <v>HLP-2-MEJKER-1/2 BIR-41</v>
      </c>
      <c r="I550" s="199" t="s">
        <v>147</v>
      </c>
      <c r="J550" s="198" t="s">
        <v>176</v>
      </c>
      <c r="K550" s="198" t="s">
        <v>470</v>
      </c>
      <c r="L550" s="193" t="s">
        <v>209</v>
      </c>
      <c r="M550" s="387"/>
      <c r="N550" s="265"/>
      <c r="O550" s="284"/>
      <c r="P550" s="41"/>
      <c r="Q550" s="284"/>
      <c r="R550" s="105"/>
      <c r="S550" s="57"/>
      <c r="T550" s="57"/>
      <c r="U550" s="57"/>
      <c r="V550" s="365" t="s">
        <v>471</v>
      </c>
      <c r="W550" s="36"/>
      <c r="X550" s="48"/>
    </row>
    <row r="551" spans="2:24" x14ac:dyDescent="0.25">
      <c r="B551" s="405"/>
      <c r="C551" s="90">
        <v>2</v>
      </c>
      <c r="D551" s="204" t="s">
        <v>146</v>
      </c>
      <c r="H551" s="201" t="str">
        <f>CONCATENATE(L551,"-",C551,"-",LEFT(D551,3),LEFT(I551,3),"-",LEFT(J551,7),"-",42)</f>
        <v>HLP-2-MEJKER-1/2 BIR-42</v>
      </c>
      <c r="I551" s="199" t="s">
        <v>147</v>
      </c>
      <c r="J551" s="198" t="s">
        <v>176</v>
      </c>
      <c r="K551" s="198" t="s">
        <v>470</v>
      </c>
      <c r="L551" s="193" t="s">
        <v>209</v>
      </c>
      <c r="M551" s="387"/>
      <c r="N551" s="265"/>
      <c r="O551" s="284"/>
      <c r="P551" s="41"/>
      <c r="Q551" s="284"/>
      <c r="R551" s="105"/>
      <c r="S551" s="57"/>
      <c r="T551" s="57"/>
      <c r="U551" s="57"/>
      <c r="V551" s="365" t="s">
        <v>471</v>
      </c>
      <c r="W551" s="36"/>
      <c r="X551" s="48"/>
    </row>
    <row r="552" spans="2:24" x14ac:dyDescent="0.25">
      <c r="B552" s="405"/>
      <c r="C552" s="90">
        <v>2</v>
      </c>
      <c r="D552" s="204" t="s">
        <v>146</v>
      </c>
      <c r="H552" s="201" t="str">
        <f>CONCATENATE(L552,"-",C552,"-",LEFT(D552,3),LEFT(I552,3),"-",LEFT(J552,7),"-",43)</f>
        <v>HLP-2-MEJKER-1/2 BIR-43</v>
      </c>
      <c r="I552" s="199" t="s">
        <v>147</v>
      </c>
      <c r="J552" s="198" t="s">
        <v>176</v>
      </c>
      <c r="K552" s="198" t="s">
        <v>470</v>
      </c>
      <c r="L552" s="193" t="s">
        <v>209</v>
      </c>
      <c r="M552" s="388"/>
      <c r="N552" s="265"/>
      <c r="O552" s="284"/>
      <c r="P552" s="41"/>
      <c r="Q552" s="284"/>
      <c r="R552" s="105"/>
      <c r="S552" s="57"/>
      <c r="T552" s="57"/>
      <c r="U552" s="57"/>
      <c r="V552" s="365" t="s">
        <v>471</v>
      </c>
      <c r="W552" s="36"/>
      <c r="X552" s="48"/>
    </row>
    <row r="553" spans="2:24" x14ac:dyDescent="0.25">
      <c r="B553" s="405"/>
      <c r="C553" s="90">
        <v>2</v>
      </c>
      <c r="D553" s="204" t="s">
        <v>146</v>
      </c>
      <c r="H553" s="201" t="str">
        <f>CONCATENATE(L553,"-",C553,"-",LEFT(D553,3),LEFT(I553,3),"-",LEFT(J553,3),"-",1)</f>
        <v>HLP-2-MEJKER-CRE-1</v>
      </c>
      <c r="I553" s="199" t="s">
        <v>147</v>
      </c>
      <c r="J553" s="198" t="s">
        <v>149</v>
      </c>
      <c r="K553" s="198" t="s">
        <v>393</v>
      </c>
      <c r="L553" s="193" t="s">
        <v>209</v>
      </c>
      <c r="M553" s="389">
        <f>'[2]Total Item Gudang HLP'!$F$27</f>
        <v>6</v>
      </c>
      <c r="N553" s="265"/>
      <c r="O553" s="284"/>
      <c r="P553" s="41"/>
      <c r="Q553" s="284"/>
      <c r="R553" s="105"/>
      <c r="S553" s="57"/>
      <c r="T553" s="57"/>
      <c r="U553" s="57"/>
      <c r="V553" s="285"/>
      <c r="W553" s="36"/>
      <c r="X553" s="48"/>
    </row>
    <row r="554" spans="2:24" x14ac:dyDescent="0.25">
      <c r="B554" s="405"/>
      <c r="C554" s="90">
        <v>2</v>
      </c>
      <c r="D554" s="204" t="s">
        <v>146</v>
      </c>
      <c r="H554" s="201" t="str">
        <f>CONCATENATE(L554,"-",C554,"-",LEFT(D554,3),LEFT(I554,3),"-",LEFT(J554,3),"-",2)</f>
        <v>HLP-2-MEJKER-CRE-2</v>
      </c>
      <c r="I554" s="199" t="s">
        <v>147</v>
      </c>
      <c r="J554" s="198" t="s">
        <v>149</v>
      </c>
      <c r="K554" s="198" t="s">
        <v>391</v>
      </c>
      <c r="L554" s="193" t="s">
        <v>209</v>
      </c>
      <c r="M554" s="387"/>
      <c r="N554" s="265"/>
      <c r="O554" s="284"/>
      <c r="P554" s="41"/>
      <c r="Q554" s="284"/>
      <c r="R554" s="105"/>
      <c r="S554" s="57"/>
      <c r="T554" s="57"/>
      <c r="U554" s="57"/>
      <c r="V554" s="285"/>
      <c r="W554" s="36"/>
      <c r="X554" s="48"/>
    </row>
    <row r="555" spans="2:24" x14ac:dyDescent="0.25">
      <c r="B555" s="405"/>
      <c r="C555" s="90">
        <v>2</v>
      </c>
      <c r="D555" s="204" t="s">
        <v>146</v>
      </c>
      <c r="H555" s="201" t="str">
        <f>CONCATENATE(L555,"-",C555,"-",LEFT(D555,3),LEFT(I555,3),"-",LEFT(J555,3),"-",3)</f>
        <v>HLP-2-MEJKER-CRE-3</v>
      </c>
      <c r="I555" s="199" t="s">
        <v>147</v>
      </c>
      <c r="J555" s="198" t="s">
        <v>149</v>
      </c>
      <c r="K555" s="198" t="s">
        <v>389</v>
      </c>
      <c r="L555" s="193" t="s">
        <v>209</v>
      </c>
      <c r="M555" s="387"/>
      <c r="N555" s="265"/>
      <c r="O555" s="284"/>
      <c r="P555" s="41"/>
      <c r="Q555" s="284"/>
      <c r="R555" s="105"/>
      <c r="S555" s="57"/>
      <c r="T555" s="57"/>
      <c r="U555" s="57"/>
      <c r="V555" s="285"/>
      <c r="W555" s="36"/>
      <c r="X555" s="48"/>
    </row>
    <row r="556" spans="2:24" x14ac:dyDescent="0.25">
      <c r="B556" s="405"/>
      <c r="C556" s="90">
        <v>2</v>
      </c>
      <c r="D556" s="204" t="s">
        <v>146</v>
      </c>
      <c r="H556" s="201" t="str">
        <f>CONCATENATE(L556,"-",C556,"-",LEFT(D556,3),LEFT(I556,3),"-",LEFT(J556,3),"-",4)</f>
        <v>HLP-2-MEJKER-CRE-4</v>
      </c>
      <c r="I556" s="199" t="s">
        <v>147</v>
      </c>
      <c r="J556" s="198" t="s">
        <v>149</v>
      </c>
      <c r="K556" s="198" t="s">
        <v>397</v>
      </c>
      <c r="L556" s="193" t="s">
        <v>209</v>
      </c>
      <c r="M556" s="387"/>
      <c r="N556" s="265"/>
      <c r="O556" s="284"/>
      <c r="P556" s="41"/>
      <c r="Q556" s="284"/>
      <c r="R556" s="105"/>
      <c r="S556" s="57"/>
      <c r="T556" s="57"/>
      <c r="U556" s="57"/>
      <c r="V556" s="285"/>
      <c r="W556" s="36"/>
      <c r="X556" s="48"/>
    </row>
    <row r="557" spans="2:24" x14ac:dyDescent="0.25">
      <c r="B557" s="405"/>
      <c r="C557" s="90">
        <v>2</v>
      </c>
      <c r="D557" s="204" t="s">
        <v>146</v>
      </c>
      <c r="H557" s="201" t="str">
        <f>CONCATENATE(L557,"-",C557,"-",LEFT(D557,3),LEFT(I557,3),"-",LEFT(J557,3),"-",5)</f>
        <v>HLP-2-MEJKER-CRE-5</v>
      </c>
      <c r="I557" s="199" t="s">
        <v>147</v>
      </c>
      <c r="J557" s="198" t="s">
        <v>149</v>
      </c>
      <c r="K557" s="198" t="s">
        <v>239</v>
      </c>
      <c r="L557" s="193" t="s">
        <v>209</v>
      </c>
      <c r="M557" s="387"/>
      <c r="N557" s="265"/>
      <c r="O557" s="284"/>
      <c r="P557" s="41"/>
      <c r="Q557" s="284"/>
      <c r="R557" s="105"/>
      <c r="S557" s="57"/>
      <c r="T557" s="57"/>
      <c r="U557" s="57"/>
      <c r="V557" s="285"/>
      <c r="W557" s="36"/>
      <c r="X557" s="48"/>
    </row>
    <row r="558" spans="2:24" x14ac:dyDescent="0.25">
      <c r="B558" s="405"/>
      <c r="C558" s="90">
        <v>2</v>
      </c>
      <c r="D558" s="204" t="s">
        <v>146</v>
      </c>
      <c r="H558" s="201" t="str">
        <f>CONCATENATE(L558,"-",C558,"-",LEFT(D558,3),LEFT(I558,3),"-",LEFT(J558,3),"-",6)</f>
        <v>HLP-2-MEJKER-CRE-6</v>
      </c>
      <c r="I558" s="199" t="s">
        <v>147</v>
      </c>
      <c r="J558" s="198" t="s">
        <v>149</v>
      </c>
      <c r="K558" s="198" t="s">
        <v>392</v>
      </c>
      <c r="L558" s="193" t="s">
        <v>209</v>
      </c>
      <c r="M558" s="388"/>
      <c r="N558" s="265"/>
      <c r="O558" s="284"/>
      <c r="P558" s="41"/>
      <c r="Q558" s="284"/>
      <c r="R558" s="105"/>
      <c r="S558" s="57"/>
      <c r="T558" s="57"/>
      <c r="U558" s="57"/>
      <c r="V558" s="285"/>
      <c r="W558" s="36"/>
      <c r="X558" s="48"/>
    </row>
    <row r="559" spans="2:24" x14ac:dyDescent="0.25">
      <c r="B559" s="405"/>
      <c r="C559" s="90">
        <v>2</v>
      </c>
      <c r="D559" s="203" t="s">
        <v>146</v>
      </c>
      <c r="H559" s="201" t="str">
        <f>CONCATENATE(L559,"-",C559,"-",LEFT(D559,3),LEFT(I559,3),"-",LEFT(J559,6),"-",1)</f>
        <v>HLP-2-MEJRAP-BIG-1</v>
      </c>
      <c r="I559" s="189" t="s">
        <v>174</v>
      </c>
      <c r="J559" s="191" t="s">
        <v>218</v>
      </c>
      <c r="K559" s="198" t="s">
        <v>354</v>
      </c>
      <c r="L559" s="193" t="s">
        <v>209</v>
      </c>
      <c r="M559" s="389">
        <f>'[2]Total Item Gudang HLP'!$F$28</f>
        <v>4</v>
      </c>
      <c r="N559" s="265"/>
      <c r="O559" s="284"/>
      <c r="P559" s="41"/>
      <c r="Q559" s="284"/>
      <c r="R559" s="105"/>
      <c r="S559" s="57"/>
      <c r="T559" s="57"/>
      <c r="U559" s="57"/>
      <c r="V559" s="285"/>
      <c r="W559" s="36"/>
      <c r="X559" s="48"/>
    </row>
    <row r="560" spans="2:24" x14ac:dyDescent="0.25">
      <c r="B560" s="405"/>
      <c r="C560" s="90">
        <v>2</v>
      </c>
      <c r="D560" s="203" t="s">
        <v>146</v>
      </c>
      <c r="H560" s="201" t="str">
        <f>CONCATENATE(L560,"-",C560,"-",LEFT(D560,3),LEFT(I560,3),"-",LEFT(J560,6),"-",2)</f>
        <v>HLP-2-MEJRAP-BIG-2</v>
      </c>
      <c r="I560" s="189" t="s">
        <v>174</v>
      </c>
      <c r="J560" s="191" t="s">
        <v>218</v>
      </c>
      <c r="K560" s="198" t="s">
        <v>387</v>
      </c>
      <c r="L560" s="193" t="s">
        <v>209</v>
      </c>
      <c r="M560" s="387"/>
      <c r="N560" s="265"/>
      <c r="O560" s="284"/>
      <c r="P560" s="41"/>
      <c r="Q560" s="284"/>
      <c r="R560" s="105"/>
      <c r="S560" s="57"/>
      <c r="T560" s="57"/>
      <c r="U560" s="57"/>
      <c r="V560" s="285"/>
      <c r="W560" s="36"/>
      <c r="X560" s="48"/>
    </row>
    <row r="561" spans="2:24" x14ac:dyDescent="0.25">
      <c r="B561" s="405"/>
      <c r="C561" s="90">
        <v>2</v>
      </c>
      <c r="D561" s="203" t="s">
        <v>146</v>
      </c>
      <c r="H561" s="201" t="str">
        <f>CONCATENATE(L561,"-",C561,"-",LEFT(D561,3),LEFT(I561,3),"-",LEFT(J561,6),"-",3)</f>
        <v>HLP-2-MEJRAP-BIG-3</v>
      </c>
      <c r="I561" s="189" t="s">
        <v>174</v>
      </c>
      <c r="J561" s="191" t="s">
        <v>218</v>
      </c>
      <c r="K561" s="198" t="s">
        <v>389</v>
      </c>
      <c r="L561" s="193" t="s">
        <v>209</v>
      </c>
      <c r="M561" s="387"/>
      <c r="N561" s="265"/>
      <c r="O561" s="284"/>
      <c r="P561" s="41"/>
      <c r="Q561" s="284"/>
      <c r="R561" s="105"/>
      <c r="S561" s="57"/>
      <c r="T561" s="57"/>
      <c r="U561" s="57"/>
      <c r="V561" s="285"/>
      <c r="W561" s="36"/>
      <c r="X561" s="48"/>
    </row>
    <row r="562" spans="2:24" x14ac:dyDescent="0.25">
      <c r="B562" s="405"/>
      <c r="C562" s="90">
        <v>2</v>
      </c>
      <c r="D562" s="203" t="s">
        <v>146</v>
      </c>
      <c r="H562" s="201" t="str">
        <f>CONCATENATE(L562,"-",C562,"-",LEFT(D562,3),LEFT(I562,3),"-",LEFT(J562,6),"-",4)</f>
        <v>HLP-2-MEJRAP-BIG-4</v>
      </c>
      <c r="I562" s="189" t="s">
        <v>174</v>
      </c>
      <c r="J562" s="191" t="s">
        <v>218</v>
      </c>
      <c r="K562" s="198" t="s">
        <v>394</v>
      </c>
      <c r="L562" s="193" t="s">
        <v>209</v>
      </c>
      <c r="M562" s="388"/>
      <c r="N562" s="265"/>
      <c r="O562" s="284"/>
      <c r="P562" s="41"/>
      <c r="Q562" s="284"/>
      <c r="R562" s="105"/>
      <c r="S562" s="57"/>
      <c r="T562" s="57"/>
      <c r="U562" s="57"/>
      <c r="V562" s="285"/>
      <c r="W562" s="36"/>
      <c r="X562" s="48"/>
    </row>
    <row r="563" spans="2:24" x14ac:dyDescent="0.25">
      <c r="B563" s="405"/>
      <c r="C563" s="90">
        <v>2</v>
      </c>
      <c r="D563" s="203" t="s">
        <v>146</v>
      </c>
      <c r="H563" s="201" t="str">
        <f>CONCATENATE(L563,"-",C563,"-",LEFT(D563,3),LEFT(I563,3),"-",LEFT(J563,6))</f>
        <v>HLP-2-MEJRAP-SMALL</v>
      </c>
      <c r="I563" s="189" t="s">
        <v>174</v>
      </c>
      <c r="J563" s="191" t="s">
        <v>138</v>
      </c>
      <c r="K563" s="356" t="s">
        <v>359</v>
      </c>
      <c r="L563" s="193" t="s">
        <v>209</v>
      </c>
      <c r="M563" s="274">
        <v>0</v>
      </c>
      <c r="N563" s="265"/>
      <c r="O563" s="284"/>
      <c r="P563" s="41"/>
      <c r="Q563" s="284"/>
      <c r="R563" s="105"/>
      <c r="S563" s="57"/>
      <c r="T563" s="57"/>
      <c r="U563" s="57"/>
      <c r="V563" s="285"/>
      <c r="W563" s="36"/>
      <c r="X563" s="48"/>
    </row>
    <row r="564" spans="2:24" x14ac:dyDescent="0.25">
      <c r="B564" s="405"/>
      <c r="C564" s="90">
        <v>2</v>
      </c>
      <c r="D564" s="203" t="s">
        <v>146</v>
      </c>
      <c r="H564" s="201" t="str">
        <f>CONCATENATE(L564,"-",C564,"-",LEFT(D564,3),LEFT(I564,3),"-",LEFT(J564,6))</f>
        <v>HLP-2-MEJBUL-MEDIUM</v>
      </c>
      <c r="I564" s="189" t="s">
        <v>148</v>
      </c>
      <c r="J564" s="191" t="s">
        <v>219</v>
      </c>
      <c r="K564" s="356" t="s">
        <v>359</v>
      </c>
      <c r="L564" s="193" t="s">
        <v>209</v>
      </c>
      <c r="M564" s="274">
        <v>0</v>
      </c>
      <c r="N564" s="265"/>
      <c r="O564" s="284"/>
      <c r="P564" s="41"/>
      <c r="Q564" s="284"/>
      <c r="R564" s="105"/>
      <c r="S564" s="57"/>
      <c r="T564" s="57"/>
      <c r="U564" s="57"/>
      <c r="V564" s="285"/>
      <c r="W564" s="36"/>
      <c r="X564" s="48"/>
    </row>
    <row r="565" spans="2:24" x14ac:dyDescent="0.25">
      <c r="B565" s="405"/>
      <c r="C565" s="90">
        <v>2</v>
      </c>
      <c r="D565" s="203" t="s">
        <v>146</v>
      </c>
      <c r="H565" s="201" t="str">
        <f>CONCATENATE(L565,"-",C565,"-",LEFT(D565,3),LEFT(I565,3),"-",LEFT(J565,6))</f>
        <v>HLP-2-MEJTRI-SMALL</v>
      </c>
      <c r="I565" s="189" t="s">
        <v>231</v>
      </c>
      <c r="J565" s="191" t="s">
        <v>138</v>
      </c>
      <c r="K565" s="356" t="s">
        <v>359</v>
      </c>
      <c r="L565" s="193" t="s">
        <v>209</v>
      </c>
      <c r="M565" s="274">
        <v>0</v>
      </c>
      <c r="N565" s="265"/>
      <c r="O565" s="284"/>
      <c r="P565" s="41"/>
      <c r="Q565" s="284"/>
      <c r="R565" s="105"/>
      <c r="S565" s="57"/>
      <c r="T565" s="57"/>
      <c r="U565" s="57"/>
      <c r="V565" s="285"/>
      <c r="W565" s="36"/>
      <c r="X565" s="48"/>
    </row>
    <row r="566" spans="2:24" x14ac:dyDescent="0.25">
      <c r="B566" s="405"/>
      <c r="C566" s="90">
        <v>2</v>
      </c>
      <c r="D566" s="203" t="s">
        <v>150</v>
      </c>
      <c r="H566" s="201" t="str">
        <f>CONCATENATE(L566,"-",C566,"-",LEFT(D566,3),LEFT(I566,3),"-",LEFT(J566,3),"-",1)</f>
        <v>HLP-2-KUR-DIR-1</v>
      </c>
      <c r="I566" s="189"/>
      <c r="J566" s="191" t="s">
        <v>151</v>
      </c>
      <c r="K566" s="198" t="s">
        <v>398</v>
      </c>
      <c r="L566" s="193" t="s">
        <v>209</v>
      </c>
      <c r="M566" s="389">
        <v>4</v>
      </c>
      <c r="N566" s="265"/>
      <c r="O566" s="284"/>
      <c r="P566" s="41"/>
      <c r="Q566" s="284"/>
      <c r="R566" s="105"/>
      <c r="S566" s="57"/>
      <c r="T566" s="57"/>
      <c r="U566" s="57"/>
      <c r="V566" s="285"/>
      <c r="W566" s="36"/>
      <c r="X566" s="48"/>
    </row>
    <row r="567" spans="2:24" x14ac:dyDescent="0.25">
      <c r="B567" s="405"/>
      <c r="C567" s="90">
        <v>2</v>
      </c>
      <c r="D567" s="203" t="s">
        <v>150</v>
      </c>
      <c r="H567" s="201" t="str">
        <f>CONCATENATE(L567,"-",C567,"-",LEFT(D567,3),LEFT(I567,3),"-",LEFT(J567,3),"-",2)</f>
        <v>HLP-2-KUR-DIR-2</v>
      </c>
      <c r="I567" s="189"/>
      <c r="J567" s="191" t="s">
        <v>151</v>
      </c>
      <c r="K567" s="198" t="s">
        <v>382</v>
      </c>
      <c r="L567" s="193" t="s">
        <v>209</v>
      </c>
      <c r="M567" s="387"/>
      <c r="N567" s="265"/>
      <c r="O567" s="284"/>
      <c r="P567" s="41"/>
      <c r="Q567" s="284"/>
      <c r="R567" s="105"/>
      <c r="S567" s="57"/>
      <c r="T567" s="57"/>
      <c r="U567" s="57"/>
      <c r="V567" s="285"/>
      <c r="W567" s="36"/>
      <c r="X567" s="48"/>
    </row>
    <row r="568" spans="2:24" x14ac:dyDescent="0.25">
      <c r="B568" s="405"/>
      <c r="C568" s="90">
        <v>2</v>
      </c>
      <c r="D568" s="203" t="s">
        <v>150</v>
      </c>
      <c r="H568" s="201" t="str">
        <f>CONCATENATE(L568,"-",C568,"-",LEFT(D568,3),LEFT(I568,3),"-",LEFT(J568,3),"-",3)</f>
        <v>HLP-2-KUR-DIR-3</v>
      </c>
      <c r="I568" s="189"/>
      <c r="J568" s="191" t="s">
        <v>151</v>
      </c>
      <c r="K568" s="198" t="s">
        <v>382</v>
      </c>
      <c r="L568" s="193" t="s">
        <v>209</v>
      </c>
      <c r="M568" s="387"/>
      <c r="N568" s="265"/>
      <c r="O568" s="284"/>
      <c r="P568" s="41"/>
      <c r="Q568" s="284"/>
      <c r="R568" s="105"/>
      <c r="S568" s="57"/>
      <c r="T568" s="57"/>
      <c r="U568" s="57"/>
      <c r="V568" s="285"/>
      <c r="W568" s="36"/>
      <c r="X568" s="48"/>
    </row>
    <row r="569" spans="2:24" x14ac:dyDescent="0.25">
      <c r="B569" s="405"/>
      <c r="C569" s="90">
        <v>2</v>
      </c>
      <c r="D569" s="203" t="s">
        <v>150</v>
      </c>
      <c r="H569" s="201" t="str">
        <f>CONCATENATE(L569,"-",C569,"-",LEFT(D569,3),LEFT(I569,3),"-",LEFT(J569,3),"-",4)</f>
        <v>HLP-2-KUR-DIR-4</v>
      </c>
      <c r="I569" s="189"/>
      <c r="J569" s="191" t="s">
        <v>151</v>
      </c>
      <c r="K569" s="198" t="s">
        <v>387</v>
      </c>
      <c r="L569" s="193" t="s">
        <v>209</v>
      </c>
      <c r="M569" s="388"/>
      <c r="N569" s="265"/>
      <c r="O569" s="284"/>
      <c r="P569" s="41"/>
      <c r="Q569" s="284"/>
      <c r="R569" s="105"/>
      <c r="S569" s="57"/>
      <c r="T569" s="57"/>
      <c r="U569" s="57"/>
      <c r="V569" s="285"/>
      <c r="W569" s="36"/>
      <c r="X569" s="48"/>
    </row>
    <row r="570" spans="2:24" x14ac:dyDescent="0.25">
      <c r="B570" s="405"/>
      <c r="C570" s="90">
        <v>2</v>
      </c>
      <c r="D570" s="203" t="s">
        <v>150</v>
      </c>
      <c r="H570" s="201" t="str">
        <f>CONCATENATE(L570,"-",C570,"-",LEFT(D570,3),LEFT(I570,3),"-",LEFT(J570,3),"-",1)</f>
        <v>HLP-2-KUR-STA-1</v>
      </c>
      <c r="I570" s="189"/>
      <c r="J570" s="191" t="s">
        <v>152</v>
      </c>
      <c r="K570" s="198" t="s">
        <v>386</v>
      </c>
      <c r="L570" s="193" t="s">
        <v>209</v>
      </c>
      <c r="M570" s="389">
        <v>51</v>
      </c>
      <c r="N570" s="265"/>
      <c r="O570" s="284"/>
      <c r="P570" s="41"/>
      <c r="Q570" s="284"/>
      <c r="R570" s="105"/>
      <c r="S570" s="57"/>
      <c r="T570" s="57"/>
      <c r="U570" s="57"/>
      <c r="V570" s="285"/>
      <c r="W570" s="36"/>
      <c r="X570" s="48"/>
    </row>
    <row r="571" spans="2:24" x14ac:dyDescent="0.25">
      <c r="B571" s="405"/>
      <c r="C571" s="90">
        <v>2</v>
      </c>
      <c r="D571" s="203" t="s">
        <v>150</v>
      </c>
      <c r="H571" s="201" t="str">
        <f>CONCATENATE(L571,"-",C571,"-",LEFT(D571,3),LEFT(I571,3),"-",LEFT(J571,3),"-",2)</f>
        <v>HLP-2-KUR-STA-2</v>
      </c>
      <c r="I571" s="189"/>
      <c r="J571" s="191" t="s">
        <v>152</v>
      </c>
      <c r="K571" s="198" t="s">
        <v>386</v>
      </c>
      <c r="L571" s="193" t="s">
        <v>209</v>
      </c>
      <c r="M571" s="387"/>
      <c r="N571" s="265"/>
      <c r="O571" s="284"/>
      <c r="P571" s="41"/>
      <c r="Q571" s="284"/>
      <c r="R571" s="105"/>
      <c r="S571" s="57"/>
      <c r="T571" s="57"/>
      <c r="U571" s="57"/>
      <c r="V571" s="285"/>
      <c r="W571" s="36"/>
      <c r="X571" s="48"/>
    </row>
    <row r="572" spans="2:24" x14ac:dyDescent="0.25">
      <c r="B572" s="405"/>
      <c r="C572" s="90">
        <v>2</v>
      </c>
      <c r="D572" s="203" t="s">
        <v>150</v>
      </c>
      <c r="H572" s="201" t="str">
        <f>CONCATENATE(L572,"-",C572,"-",LEFT(D572,3),LEFT(I572,3),"-",LEFT(J572,3),"-",3)</f>
        <v>HLP-2-KUR-STA-3</v>
      </c>
      <c r="I572" s="189"/>
      <c r="J572" s="191" t="s">
        <v>152</v>
      </c>
      <c r="K572" s="198" t="s">
        <v>386</v>
      </c>
      <c r="L572" s="193" t="s">
        <v>209</v>
      </c>
      <c r="M572" s="387"/>
      <c r="N572" s="265"/>
      <c r="O572" s="284"/>
      <c r="P572" s="41"/>
      <c r="Q572" s="284"/>
      <c r="R572" s="105"/>
      <c r="S572" s="57"/>
      <c r="T572" s="57"/>
      <c r="U572" s="57"/>
      <c r="V572" s="285"/>
      <c r="W572" s="36"/>
      <c r="X572" s="48"/>
    </row>
    <row r="573" spans="2:24" x14ac:dyDescent="0.25">
      <c r="B573" s="405"/>
      <c r="C573" s="90">
        <v>2</v>
      </c>
      <c r="D573" s="203" t="s">
        <v>150</v>
      </c>
      <c r="H573" s="201" t="str">
        <f>CONCATENATE(L573,"-",C573,"-",LEFT(D573,3),LEFT(I573,3),"-",LEFT(J573,3),"-",4)</f>
        <v>HLP-2-KUR-STA-4</v>
      </c>
      <c r="I573" s="189"/>
      <c r="J573" s="191" t="s">
        <v>152</v>
      </c>
      <c r="K573" s="198" t="s">
        <v>390</v>
      </c>
      <c r="L573" s="193" t="s">
        <v>209</v>
      </c>
      <c r="M573" s="387"/>
      <c r="N573" s="265"/>
      <c r="O573" s="284"/>
      <c r="P573" s="41"/>
      <c r="Q573" s="284"/>
      <c r="R573" s="105"/>
      <c r="S573" s="57"/>
      <c r="T573" s="57"/>
      <c r="U573" s="57"/>
      <c r="V573" s="285"/>
      <c r="W573" s="36"/>
      <c r="X573" s="48"/>
    </row>
    <row r="574" spans="2:24" x14ac:dyDescent="0.25">
      <c r="B574" s="405"/>
      <c r="C574" s="90">
        <v>2</v>
      </c>
      <c r="D574" s="203" t="s">
        <v>150</v>
      </c>
      <c r="H574" s="201" t="str">
        <f>CONCATENATE(L574,"-",C574,"-",LEFT(D574,3),LEFT(I574,3),"-",LEFT(J574,3),"-",5)</f>
        <v>HLP-2-KUR-STA-5</v>
      </c>
      <c r="I574" s="189"/>
      <c r="J574" s="191" t="s">
        <v>152</v>
      </c>
      <c r="K574" s="198" t="s">
        <v>390</v>
      </c>
      <c r="L574" s="193" t="s">
        <v>209</v>
      </c>
      <c r="M574" s="387"/>
      <c r="N574" s="265"/>
      <c r="O574" s="284"/>
      <c r="P574" s="41"/>
      <c r="Q574" s="284"/>
      <c r="R574" s="105"/>
      <c r="S574" s="57"/>
      <c r="T574" s="57"/>
      <c r="U574" s="57"/>
      <c r="V574" s="285"/>
      <c r="W574" s="36"/>
      <c r="X574" s="48"/>
    </row>
    <row r="575" spans="2:24" x14ac:dyDescent="0.25">
      <c r="B575" s="405"/>
      <c r="C575" s="90">
        <v>2</v>
      </c>
      <c r="D575" s="203" t="s">
        <v>150</v>
      </c>
      <c r="H575" s="201" t="str">
        <f>CONCATENATE(L575,"-",C575,"-",LEFT(D575,3),LEFT(I575,3),"-",LEFT(J575,3),"-",6)</f>
        <v>HLP-2-KUR-STA-6</v>
      </c>
      <c r="I575" s="189"/>
      <c r="J575" s="191" t="s">
        <v>152</v>
      </c>
      <c r="K575" s="198" t="s">
        <v>354</v>
      </c>
      <c r="L575" s="193" t="s">
        <v>209</v>
      </c>
      <c r="M575" s="387"/>
      <c r="N575" s="265"/>
      <c r="O575" s="284"/>
      <c r="P575" s="41"/>
      <c r="Q575" s="284"/>
      <c r="R575" s="105"/>
      <c r="S575" s="57"/>
      <c r="T575" s="57"/>
      <c r="U575" s="57"/>
      <c r="V575" s="285"/>
      <c r="W575" s="36"/>
      <c r="X575" s="48"/>
    </row>
    <row r="576" spans="2:24" x14ac:dyDescent="0.25">
      <c r="B576" s="405"/>
      <c r="C576" s="90">
        <v>2</v>
      </c>
      <c r="D576" s="203" t="s">
        <v>150</v>
      </c>
      <c r="H576" s="201" t="str">
        <f>CONCATENATE(L576,"-",C576,"-",LEFT(D576,3),LEFT(I576,3),"-",LEFT(J576,3),"-",7)</f>
        <v>HLP-2-KUR-STA-7</v>
      </c>
      <c r="I576" s="189"/>
      <c r="J576" s="191" t="s">
        <v>152</v>
      </c>
      <c r="K576" s="198" t="s">
        <v>354</v>
      </c>
      <c r="L576" s="193" t="s">
        <v>209</v>
      </c>
      <c r="M576" s="387"/>
      <c r="N576" s="265"/>
      <c r="O576" s="284"/>
      <c r="P576" s="41"/>
      <c r="Q576" s="284"/>
      <c r="R576" s="105"/>
      <c r="S576" s="57"/>
      <c r="T576" s="57"/>
      <c r="U576" s="57"/>
      <c r="V576" s="285"/>
      <c r="W576" s="36"/>
      <c r="X576" s="48"/>
    </row>
    <row r="577" spans="2:24" x14ac:dyDescent="0.25">
      <c r="B577" s="405"/>
      <c r="C577" s="90">
        <v>2</v>
      </c>
      <c r="D577" s="203" t="s">
        <v>150</v>
      </c>
      <c r="H577" s="201" t="str">
        <f>CONCATENATE(L577,"-",C577,"-",LEFT(D577,3),LEFT(I577,3),"-",LEFT(J577,3),"-",8)</f>
        <v>HLP-2-KUR-STA-8</v>
      </c>
      <c r="I577" s="189"/>
      <c r="J577" s="191" t="s">
        <v>152</v>
      </c>
      <c r="K577" s="198" t="s">
        <v>354</v>
      </c>
      <c r="L577" s="193" t="s">
        <v>209</v>
      </c>
      <c r="M577" s="387"/>
      <c r="N577" s="265"/>
      <c r="O577" s="284"/>
      <c r="P577" s="41"/>
      <c r="Q577" s="284"/>
      <c r="R577" s="105"/>
      <c r="S577" s="57"/>
      <c r="T577" s="57"/>
      <c r="U577" s="57"/>
      <c r="V577" s="285"/>
      <c r="W577" s="36"/>
      <c r="X577" s="48"/>
    </row>
    <row r="578" spans="2:24" x14ac:dyDescent="0.25">
      <c r="B578" s="405"/>
      <c r="C578" s="90">
        <v>2</v>
      </c>
      <c r="D578" s="203" t="s">
        <v>150</v>
      </c>
      <c r="H578" s="201" t="str">
        <f>CONCATENATE(L578,"-",C578,"-",LEFT(D578,3),LEFT(I578,3),"-",LEFT(J578,3),"-",9)</f>
        <v>HLP-2-KUR-STA-9</v>
      </c>
      <c r="I578" s="189"/>
      <c r="J578" s="191" t="s">
        <v>152</v>
      </c>
      <c r="K578" s="198" t="s">
        <v>354</v>
      </c>
      <c r="L578" s="193" t="s">
        <v>209</v>
      </c>
      <c r="M578" s="387"/>
      <c r="N578" s="265"/>
      <c r="O578" s="284"/>
      <c r="P578" s="41"/>
      <c r="Q578" s="284"/>
      <c r="R578" s="105"/>
      <c r="S578" s="57"/>
      <c r="T578" s="57"/>
      <c r="U578" s="57"/>
      <c r="V578" s="285"/>
      <c r="W578" s="36"/>
      <c r="X578" s="48"/>
    </row>
    <row r="579" spans="2:24" x14ac:dyDescent="0.25">
      <c r="B579" s="405"/>
      <c r="C579" s="90">
        <v>2</v>
      </c>
      <c r="D579" s="203" t="s">
        <v>150</v>
      </c>
      <c r="H579" s="201" t="str">
        <f>CONCATENATE(L579,"-",C579,"-",LEFT(D579,3),LEFT(I579,3),"-",LEFT(J579,3),"-",10)</f>
        <v>HLP-2-KUR-STA-10</v>
      </c>
      <c r="I579" s="189"/>
      <c r="J579" s="191" t="s">
        <v>152</v>
      </c>
      <c r="K579" s="198" t="s">
        <v>354</v>
      </c>
      <c r="L579" s="193" t="s">
        <v>209</v>
      </c>
      <c r="M579" s="387"/>
      <c r="N579" s="265"/>
      <c r="O579" s="284"/>
      <c r="P579" s="41"/>
      <c r="Q579" s="284"/>
      <c r="R579" s="105"/>
      <c r="S579" s="57"/>
      <c r="T579" s="57"/>
      <c r="U579" s="57"/>
      <c r="V579" s="285"/>
      <c r="W579" s="36"/>
      <c r="X579" s="48"/>
    </row>
    <row r="580" spans="2:24" x14ac:dyDescent="0.25">
      <c r="B580" s="405"/>
      <c r="C580" s="90">
        <v>2</v>
      </c>
      <c r="D580" s="203" t="s">
        <v>150</v>
      </c>
      <c r="H580" s="201" t="str">
        <f>CONCATENATE(L580,"-",C580,"-",LEFT(D580,3),LEFT(I580,3),"-",LEFT(J580,3),"-",11)</f>
        <v>HLP-2-KUR-STA-11</v>
      </c>
      <c r="I580" s="189"/>
      <c r="J580" s="191" t="s">
        <v>152</v>
      </c>
      <c r="K580" s="198" t="s">
        <v>354</v>
      </c>
      <c r="L580" s="193" t="s">
        <v>209</v>
      </c>
      <c r="M580" s="387"/>
      <c r="N580" s="265"/>
      <c r="O580" s="284"/>
      <c r="P580" s="41"/>
      <c r="Q580" s="284"/>
      <c r="R580" s="105"/>
      <c r="S580" s="57"/>
      <c r="T580" s="57"/>
      <c r="U580" s="57"/>
      <c r="V580" s="285"/>
      <c r="W580" s="36"/>
      <c r="X580" s="48"/>
    </row>
    <row r="581" spans="2:24" x14ac:dyDescent="0.25">
      <c r="B581" s="405"/>
      <c r="C581" s="90">
        <v>2</v>
      </c>
      <c r="D581" s="203" t="s">
        <v>150</v>
      </c>
      <c r="H581" s="201" t="str">
        <f>CONCATENATE(L581,"-",C581,"-",LEFT(D581,3),LEFT(I581,3),"-",LEFT(J581,3),"-",12)</f>
        <v>HLP-2-KUR-STA-12</v>
      </c>
      <c r="I581" s="189"/>
      <c r="J581" s="191" t="s">
        <v>152</v>
      </c>
      <c r="K581" s="198" t="s">
        <v>354</v>
      </c>
      <c r="L581" s="193" t="s">
        <v>209</v>
      </c>
      <c r="M581" s="387"/>
      <c r="N581" s="265"/>
      <c r="O581" s="284"/>
      <c r="P581" s="41"/>
      <c r="Q581" s="284"/>
      <c r="R581" s="105"/>
      <c r="S581" s="57"/>
      <c r="T581" s="57"/>
      <c r="U581" s="57"/>
      <c r="V581" s="285"/>
      <c r="W581" s="36"/>
      <c r="X581" s="48"/>
    </row>
    <row r="582" spans="2:24" x14ac:dyDescent="0.25">
      <c r="B582" s="405"/>
      <c r="C582" s="90">
        <v>2</v>
      </c>
      <c r="D582" s="203" t="s">
        <v>150</v>
      </c>
      <c r="H582" s="201" t="str">
        <f>CONCATENATE(L582,"-",C582,"-",LEFT(D582,3),LEFT(I582,3),"-",LEFT(J582,3),"-",13)</f>
        <v>HLP-2-KUR-STA-13</v>
      </c>
      <c r="I582" s="189"/>
      <c r="J582" s="191" t="s">
        <v>152</v>
      </c>
      <c r="K582" s="198" t="s">
        <v>389</v>
      </c>
      <c r="L582" s="193" t="s">
        <v>209</v>
      </c>
      <c r="M582" s="387"/>
      <c r="N582" s="265"/>
      <c r="O582" s="284"/>
      <c r="P582" s="41"/>
      <c r="Q582" s="284"/>
      <c r="R582" s="105"/>
      <c r="S582" s="57"/>
      <c r="T582" s="57"/>
      <c r="U582" s="57"/>
      <c r="V582" s="285"/>
      <c r="W582" s="36"/>
      <c r="X582" s="48"/>
    </row>
    <row r="583" spans="2:24" x14ac:dyDescent="0.25">
      <c r="B583" s="405"/>
      <c r="C583" s="90">
        <v>2</v>
      </c>
      <c r="D583" s="203" t="s">
        <v>150</v>
      </c>
      <c r="H583" s="201" t="str">
        <f>CONCATENATE(L583,"-",C583,"-",LEFT(D583,3),LEFT(I583,3),"-",LEFT(J583,3),"-",14)</f>
        <v>HLP-2-KUR-STA-14</v>
      </c>
      <c r="I583" s="189"/>
      <c r="J583" s="191" t="s">
        <v>152</v>
      </c>
      <c r="K583" s="198" t="s">
        <v>389</v>
      </c>
      <c r="L583" s="193" t="s">
        <v>209</v>
      </c>
      <c r="M583" s="387"/>
      <c r="N583" s="265"/>
      <c r="O583" s="284"/>
      <c r="P583" s="41"/>
      <c r="Q583" s="284"/>
      <c r="R583" s="105"/>
      <c r="S583" s="57"/>
      <c r="T583" s="57"/>
      <c r="U583" s="57"/>
      <c r="V583" s="285"/>
      <c r="W583" s="36"/>
      <c r="X583" s="48"/>
    </row>
    <row r="584" spans="2:24" x14ac:dyDescent="0.25">
      <c r="B584" s="405"/>
      <c r="C584" s="90">
        <v>2</v>
      </c>
      <c r="D584" s="203" t="s">
        <v>150</v>
      </c>
      <c r="H584" s="201" t="str">
        <f>CONCATENATE(L584,"-",C584,"-",LEFT(D584,3),LEFT(I584,3),"-",LEFT(J584,3),"-",15)</f>
        <v>HLP-2-KUR-STA-15</v>
      </c>
      <c r="I584" s="189"/>
      <c r="J584" s="191" t="s">
        <v>152</v>
      </c>
      <c r="K584" s="198" t="s">
        <v>389</v>
      </c>
      <c r="L584" s="193" t="s">
        <v>209</v>
      </c>
      <c r="M584" s="387"/>
      <c r="N584" s="265"/>
      <c r="O584" s="284"/>
      <c r="P584" s="41"/>
      <c r="Q584" s="284"/>
      <c r="R584" s="105"/>
      <c r="S584" s="57"/>
      <c r="T584" s="57"/>
      <c r="U584" s="57"/>
      <c r="V584" s="285"/>
      <c r="W584" s="36"/>
      <c r="X584" s="48"/>
    </row>
    <row r="585" spans="2:24" x14ac:dyDescent="0.25">
      <c r="B585" s="405"/>
      <c r="C585" s="90">
        <v>2</v>
      </c>
      <c r="D585" s="203" t="s">
        <v>150</v>
      </c>
      <c r="H585" s="201" t="str">
        <f>CONCATENATE(L585,"-",C585,"-",LEFT(D585,3),LEFT(I585,3),"-",LEFT(J585,3),"-",16)</f>
        <v>HLP-2-KUR-STA-16</v>
      </c>
      <c r="I585" s="189"/>
      <c r="J585" s="191" t="s">
        <v>152</v>
      </c>
      <c r="K585" s="198" t="s">
        <v>389</v>
      </c>
      <c r="L585" s="193" t="s">
        <v>209</v>
      </c>
      <c r="M585" s="387"/>
      <c r="N585" s="265"/>
      <c r="O585" s="284"/>
      <c r="P585" s="41"/>
      <c r="Q585" s="284"/>
      <c r="R585" s="105"/>
      <c r="S585" s="57"/>
      <c r="T585" s="57"/>
      <c r="U585" s="57"/>
      <c r="V585" s="285"/>
      <c r="W585" s="36"/>
      <c r="X585" s="48"/>
    </row>
    <row r="586" spans="2:24" x14ac:dyDescent="0.25">
      <c r="B586" s="405"/>
      <c r="C586" s="90">
        <v>2</v>
      </c>
      <c r="D586" s="203" t="s">
        <v>150</v>
      </c>
      <c r="H586" s="201" t="str">
        <f>CONCATENATE(L586,"-",C586,"-",LEFT(D586,3),LEFT(I586,3),"-",LEFT(J586,3),"-",17)</f>
        <v>HLP-2-KUR-STA-17</v>
      </c>
      <c r="I586" s="189"/>
      <c r="J586" s="191" t="s">
        <v>152</v>
      </c>
      <c r="K586" s="198" t="s">
        <v>389</v>
      </c>
      <c r="L586" s="193" t="s">
        <v>209</v>
      </c>
      <c r="M586" s="387"/>
      <c r="N586" s="265"/>
      <c r="O586" s="284"/>
      <c r="P586" s="41"/>
      <c r="Q586" s="284"/>
      <c r="R586" s="105"/>
      <c r="S586" s="57"/>
      <c r="T586" s="57"/>
      <c r="U586" s="57"/>
      <c r="V586" s="285"/>
      <c r="W586" s="36"/>
      <c r="X586" s="48"/>
    </row>
    <row r="587" spans="2:24" x14ac:dyDescent="0.25">
      <c r="B587" s="405"/>
      <c r="C587" s="90">
        <v>2</v>
      </c>
      <c r="D587" s="203" t="s">
        <v>150</v>
      </c>
      <c r="H587" s="201" t="str">
        <f>CONCATENATE(L587,"-",C587,"-",LEFT(D587,3),LEFT(I587,3),"-",LEFT(J587,3),"-",18)</f>
        <v>HLP-2-KUR-STA-18</v>
      </c>
      <c r="I587" s="189"/>
      <c r="J587" s="191" t="s">
        <v>152</v>
      </c>
      <c r="K587" s="198" t="s">
        <v>387</v>
      </c>
      <c r="L587" s="193" t="s">
        <v>209</v>
      </c>
      <c r="M587" s="387"/>
      <c r="N587" s="265"/>
      <c r="O587" s="284"/>
      <c r="P587" s="41"/>
      <c r="Q587" s="284"/>
      <c r="R587" s="105"/>
      <c r="S587" s="57"/>
      <c r="T587" s="57"/>
      <c r="U587" s="57"/>
      <c r="V587" s="285"/>
      <c r="W587" s="36"/>
      <c r="X587" s="48"/>
    </row>
    <row r="588" spans="2:24" x14ac:dyDescent="0.25">
      <c r="B588" s="405"/>
      <c r="C588" s="90">
        <v>2</v>
      </c>
      <c r="D588" s="203" t="s">
        <v>150</v>
      </c>
      <c r="H588" s="201" t="str">
        <f>CONCATENATE(L588,"-",C588,"-",LEFT(D588,3),LEFT(I588,3),"-",LEFT(J588,3),"-",19)</f>
        <v>HLP-2-KUR-STA-19</v>
      </c>
      <c r="I588" s="189"/>
      <c r="J588" s="191" t="s">
        <v>152</v>
      </c>
      <c r="K588" s="198" t="s">
        <v>387</v>
      </c>
      <c r="L588" s="193" t="s">
        <v>209</v>
      </c>
      <c r="M588" s="387"/>
      <c r="N588" s="265"/>
      <c r="O588" s="284"/>
      <c r="P588" s="41"/>
      <c r="Q588" s="284"/>
      <c r="R588" s="105"/>
      <c r="S588" s="57"/>
      <c r="T588" s="57"/>
      <c r="U588" s="57"/>
      <c r="V588" s="285"/>
      <c r="W588" s="36"/>
      <c r="X588" s="48"/>
    </row>
    <row r="589" spans="2:24" x14ac:dyDescent="0.25">
      <c r="B589" s="405"/>
      <c r="C589" s="90">
        <v>2</v>
      </c>
      <c r="D589" s="203" t="s">
        <v>150</v>
      </c>
      <c r="H589" s="201" t="str">
        <f>CONCATENATE(L589,"-",C589,"-",LEFT(D589,3),LEFT(I589,3),"-",LEFT(J589,3),"-",20)</f>
        <v>HLP-2-KUR-STA-20</v>
      </c>
      <c r="I589" s="189"/>
      <c r="J589" s="191" t="s">
        <v>152</v>
      </c>
      <c r="K589" s="198" t="s">
        <v>394</v>
      </c>
      <c r="L589" s="193" t="s">
        <v>209</v>
      </c>
      <c r="M589" s="387"/>
      <c r="N589" s="265"/>
      <c r="O589" s="284"/>
      <c r="P589" s="41"/>
      <c r="Q589" s="284"/>
      <c r="R589" s="105"/>
      <c r="S589" s="57"/>
      <c r="T589" s="57"/>
      <c r="U589" s="57"/>
      <c r="V589" s="285"/>
      <c r="W589" s="36"/>
      <c r="X589" s="48"/>
    </row>
    <row r="590" spans="2:24" x14ac:dyDescent="0.25">
      <c r="B590" s="405"/>
      <c r="C590" s="90">
        <v>2</v>
      </c>
      <c r="D590" s="203" t="s">
        <v>150</v>
      </c>
      <c r="H590" s="201" t="str">
        <f>CONCATENATE(L590,"-",C590,"-",LEFT(D590,3),LEFT(I590,3),"-",LEFT(J590,3),"-",21)</f>
        <v>HLP-2-KUR-STA-21</v>
      </c>
      <c r="I590" s="189"/>
      <c r="J590" s="191" t="s">
        <v>152</v>
      </c>
      <c r="K590" s="198" t="s">
        <v>394</v>
      </c>
      <c r="L590" s="193" t="s">
        <v>209</v>
      </c>
      <c r="M590" s="387"/>
      <c r="N590" s="265"/>
      <c r="O590" s="284"/>
      <c r="P590" s="41"/>
      <c r="Q590" s="284"/>
      <c r="R590" s="105"/>
      <c r="S590" s="57"/>
      <c r="T590" s="57"/>
      <c r="U590" s="57"/>
      <c r="V590" s="285"/>
      <c r="W590" s="36"/>
      <c r="X590" s="48"/>
    </row>
    <row r="591" spans="2:24" x14ac:dyDescent="0.25">
      <c r="B591" s="405"/>
      <c r="C591" s="90">
        <v>2</v>
      </c>
      <c r="D591" s="203" t="s">
        <v>150</v>
      </c>
      <c r="H591" s="201" t="str">
        <f>CONCATENATE(L591,"-",C591,"-",LEFT(D591,3),LEFT(I591,3),"-",LEFT(J591,3),"-",22)</f>
        <v>HLP-2-KUR-STA-22</v>
      </c>
      <c r="I591" s="189"/>
      <c r="J591" s="191" t="s">
        <v>152</v>
      </c>
      <c r="K591" s="198" t="s">
        <v>394</v>
      </c>
      <c r="L591" s="193" t="s">
        <v>209</v>
      </c>
      <c r="M591" s="387"/>
      <c r="N591" s="265"/>
      <c r="O591" s="284"/>
      <c r="P591" s="41"/>
      <c r="Q591" s="284"/>
      <c r="R591" s="105"/>
      <c r="S591" s="57"/>
      <c r="T591" s="57"/>
      <c r="U591" s="57"/>
      <c r="V591" s="285"/>
      <c r="W591" s="36"/>
      <c r="X591" s="48"/>
    </row>
    <row r="592" spans="2:24" x14ac:dyDescent="0.25">
      <c r="B592" s="405"/>
      <c r="C592" s="90">
        <v>2</v>
      </c>
      <c r="D592" s="203" t="s">
        <v>150</v>
      </c>
      <c r="H592" s="201" t="str">
        <f>CONCATENATE(L592,"-",C592,"-",LEFT(D592,3),LEFT(I592,3),"-",LEFT(J592,3),"-",23)</f>
        <v>HLP-2-KUR-STA-23</v>
      </c>
      <c r="I592" s="189"/>
      <c r="J592" s="191" t="s">
        <v>152</v>
      </c>
      <c r="K592" s="198" t="s">
        <v>394</v>
      </c>
      <c r="L592" s="193" t="s">
        <v>209</v>
      </c>
      <c r="M592" s="387"/>
      <c r="N592" s="265"/>
      <c r="O592" s="284"/>
      <c r="P592" s="41"/>
      <c r="Q592" s="284"/>
      <c r="R592" s="105"/>
      <c r="S592" s="57"/>
      <c r="T592" s="57"/>
      <c r="U592" s="57"/>
      <c r="V592" s="285"/>
      <c r="W592" s="36"/>
      <c r="X592" s="48"/>
    </row>
    <row r="593" spans="2:24" x14ac:dyDescent="0.25">
      <c r="B593" s="405"/>
      <c r="C593" s="90">
        <v>2</v>
      </c>
      <c r="D593" s="203" t="s">
        <v>150</v>
      </c>
      <c r="H593" s="201" t="str">
        <f>CONCATENATE(L593,"-",C593,"-",LEFT(D593,3),LEFT(I593,3),"-",LEFT(J593,3),"-",24)</f>
        <v>HLP-2-KUR-STA-24</v>
      </c>
      <c r="I593" s="189"/>
      <c r="J593" s="191" t="s">
        <v>152</v>
      </c>
      <c r="K593" s="198" t="s">
        <v>394</v>
      </c>
      <c r="L593" s="193" t="s">
        <v>209</v>
      </c>
      <c r="M593" s="387"/>
      <c r="N593" s="265"/>
      <c r="O593" s="284"/>
      <c r="P593" s="41"/>
      <c r="Q593" s="284"/>
      <c r="R593" s="105"/>
      <c r="S593" s="57"/>
      <c r="T593" s="57"/>
      <c r="U593" s="57"/>
      <c r="V593" s="285"/>
      <c r="W593" s="36"/>
      <c r="X593" s="48"/>
    </row>
    <row r="594" spans="2:24" x14ac:dyDescent="0.25">
      <c r="B594" s="405"/>
      <c r="C594" s="90">
        <v>2</v>
      </c>
      <c r="D594" s="203" t="s">
        <v>150</v>
      </c>
      <c r="H594" s="201" t="str">
        <f>CONCATENATE(L594,"-",C594,"-",LEFT(D594,3),LEFT(I594,3),"-",LEFT(J594,3),"-",25)</f>
        <v>HLP-2-KUR-STA-25</v>
      </c>
      <c r="I594" s="189"/>
      <c r="J594" s="191" t="s">
        <v>152</v>
      </c>
      <c r="K594" s="198" t="s">
        <v>395</v>
      </c>
      <c r="L594" s="193" t="s">
        <v>209</v>
      </c>
      <c r="M594" s="387"/>
      <c r="N594" s="265"/>
      <c r="O594" s="284"/>
      <c r="P594" s="41"/>
      <c r="Q594" s="284"/>
      <c r="R594" s="105"/>
      <c r="S594" s="57"/>
      <c r="T594" s="57"/>
      <c r="U594" s="57"/>
      <c r="V594" s="285"/>
      <c r="W594" s="36"/>
      <c r="X594" s="48"/>
    </row>
    <row r="595" spans="2:24" x14ac:dyDescent="0.25">
      <c r="B595" s="405"/>
      <c r="C595" s="90">
        <v>2</v>
      </c>
      <c r="D595" s="203" t="s">
        <v>150</v>
      </c>
      <c r="H595" s="201" t="str">
        <f>CONCATENATE(L595,"-",C595,"-",LEFT(D595,3),LEFT(I595,3),"-",LEFT(J595,3),"-",26)</f>
        <v>HLP-2-KUR-STA-26</v>
      </c>
      <c r="I595" s="189"/>
      <c r="J595" s="191" t="s">
        <v>152</v>
      </c>
      <c r="K595" s="198" t="s">
        <v>395</v>
      </c>
      <c r="L595" s="193" t="s">
        <v>209</v>
      </c>
      <c r="M595" s="387"/>
      <c r="N595" s="265"/>
      <c r="O595" s="284"/>
      <c r="P595" s="41"/>
      <c r="Q595" s="284"/>
      <c r="R595" s="105"/>
      <c r="S595" s="57"/>
      <c r="T595" s="57"/>
      <c r="U595" s="57"/>
      <c r="V595" s="285"/>
      <c r="W595" s="36"/>
      <c r="X595" s="48"/>
    </row>
    <row r="596" spans="2:24" x14ac:dyDescent="0.25">
      <c r="B596" s="405"/>
      <c r="C596" s="90">
        <v>2</v>
      </c>
      <c r="D596" s="203" t="s">
        <v>150</v>
      </c>
      <c r="H596" s="201" t="str">
        <f>CONCATENATE(L596,"-",C596,"-",LEFT(D596,3),LEFT(I596,3),"-",LEFT(J596,3),"-",27)</f>
        <v>HLP-2-KUR-STA-27</v>
      </c>
      <c r="I596" s="189"/>
      <c r="J596" s="191" t="s">
        <v>152</v>
      </c>
      <c r="K596" s="198" t="s">
        <v>391</v>
      </c>
      <c r="L596" s="193" t="s">
        <v>209</v>
      </c>
      <c r="M596" s="387"/>
      <c r="N596" s="265"/>
      <c r="O596" s="284"/>
      <c r="P596" s="41"/>
      <c r="Q596" s="284"/>
      <c r="R596" s="105"/>
      <c r="S596" s="57"/>
      <c r="T596" s="57"/>
      <c r="U596" s="57"/>
      <c r="V596" s="285"/>
      <c r="W596" s="36"/>
      <c r="X596" s="48"/>
    </row>
    <row r="597" spans="2:24" x14ac:dyDescent="0.25">
      <c r="B597" s="405"/>
      <c r="C597" s="90">
        <v>2</v>
      </c>
      <c r="D597" s="203" t="s">
        <v>150</v>
      </c>
      <c r="H597" s="201" t="str">
        <f>CONCATENATE(L597,"-",C597,"-",LEFT(D597,3),LEFT(I597,3),"-",LEFT(J597,3),"-",28)</f>
        <v>HLP-2-KUR-STA-28</v>
      </c>
      <c r="I597" s="189"/>
      <c r="J597" s="191" t="s">
        <v>152</v>
      </c>
      <c r="K597" s="198" t="s">
        <v>391</v>
      </c>
      <c r="L597" s="193" t="s">
        <v>209</v>
      </c>
      <c r="M597" s="387"/>
      <c r="N597" s="265"/>
      <c r="O597" s="284"/>
      <c r="P597" s="41"/>
      <c r="Q597" s="284"/>
      <c r="R597" s="105"/>
      <c r="S597" s="57"/>
      <c r="T597" s="57"/>
      <c r="U597" s="57"/>
      <c r="V597" s="285"/>
      <c r="W597" s="36"/>
      <c r="X597" s="48"/>
    </row>
    <row r="598" spans="2:24" x14ac:dyDescent="0.25">
      <c r="B598" s="405"/>
      <c r="C598" s="90">
        <v>2</v>
      </c>
      <c r="D598" s="203" t="s">
        <v>150</v>
      </c>
      <c r="H598" s="201" t="str">
        <f>CONCATENATE(L598,"-",C598,"-",LEFT(D598,3),LEFT(I598,3),"-",LEFT(J598,3),"-",29)</f>
        <v>HLP-2-KUR-STA-29</v>
      </c>
      <c r="I598" s="189"/>
      <c r="J598" s="191" t="s">
        <v>152</v>
      </c>
      <c r="K598" s="198" t="s">
        <v>239</v>
      </c>
      <c r="L598" s="193" t="s">
        <v>209</v>
      </c>
      <c r="M598" s="387"/>
      <c r="N598" s="265"/>
      <c r="O598" s="284"/>
      <c r="P598" s="41"/>
      <c r="Q598" s="284"/>
      <c r="R598" s="105"/>
      <c r="S598" s="57"/>
      <c r="T598" s="57"/>
      <c r="U598" s="57"/>
      <c r="V598" s="285"/>
      <c r="W598" s="36"/>
      <c r="X598" s="48"/>
    </row>
    <row r="599" spans="2:24" x14ac:dyDescent="0.25">
      <c r="B599" s="405"/>
      <c r="C599" s="90">
        <v>2</v>
      </c>
      <c r="D599" s="203" t="s">
        <v>150</v>
      </c>
      <c r="H599" s="201" t="str">
        <f>CONCATENATE(L599,"-",C599,"-",LEFT(D599,3),LEFT(I599,3),"-",LEFT(J599,3),"-",30)</f>
        <v>HLP-2-KUR-STA-30</v>
      </c>
      <c r="I599" s="189"/>
      <c r="J599" s="191" t="s">
        <v>152</v>
      </c>
      <c r="K599" s="198" t="s">
        <v>239</v>
      </c>
      <c r="L599" s="193" t="s">
        <v>209</v>
      </c>
      <c r="M599" s="387"/>
      <c r="N599" s="265"/>
      <c r="O599" s="284"/>
      <c r="P599" s="41"/>
      <c r="Q599" s="284"/>
      <c r="R599" s="105"/>
      <c r="S599" s="57"/>
      <c r="T599" s="57"/>
      <c r="U599" s="57"/>
      <c r="V599" s="285"/>
      <c r="W599" s="36"/>
      <c r="X599" s="48"/>
    </row>
    <row r="600" spans="2:24" x14ac:dyDescent="0.25">
      <c r="B600" s="405"/>
      <c r="C600" s="90">
        <v>2</v>
      </c>
      <c r="D600" s="203" t="s">
        <v>150</v>
      </c>
      <c r="H600" s="201" t="str">
        <f>CONCATENATE(L600,"-",C600,"-",LEFT(D600,3),LEFT(I600,3),"-",LEFT(J600,3),"-",31)</f>
        <v>HLP-2-KUR-STA-31</v>
      </c>
      <c r="I600" s="189"/>
      <c r="J600" s="191" t="s">
        <v>152</v>
      </c>
      <c r="K600" s="198" t="s">
        <v>239</v>
      </c>
      <c r="L600" s="193" t="s">
        <v>209</v>
      </c>
      <c r="M600" s="387"/>
      <c r="N600" s="265"/>
      <c r="O600" s="284"/>
      <c r="P600" s="41"/>
      <c r="Q600" s="284"/>
      <c r="R600" s="105"/>
      <c r="S600" s="57"/>
      <c r="T600" s="57"/>
      <c r="U600" s="57"/>
      <c r="V600" s="285"/>
      <c r="W600" s="36"/>
      <c r="X600" s="48"/>
    </row>
    <row r="601" spans="2:24" x14ac:dyDescent="0.25">
      <c r="B601" s="405"/>
      <c r="C601" s="90">
        <v>2</v>
      </c>
      <c r="D601" s="203" t="s">
        <v>150</v>
      </c>
      <c r="H601" s="201" t="str">
        <f>CONCATENATE(L601,"-",C601,"-",LEFT(D601,3),LEFT(I601,3),"-",LEFT(J601,3),"-",32)</f>
        <v>HLP-2-KUR-STA-32</v>
      </c>
      <c r="I601" s="189"/>
      <c r="J601" s="191" t="s">
        <v>152</v>
      </c>
      <c r="K601" s="198" t="s">
        <v>392</v>
      </c>
      <c r="L601" s="193" t="s">
        <v>209</v>
      </c>
      <c r="M601" s="387"/>
      <c r="N601" s="265"/>
      <c r="O601" s="284"/>
      <c r="P601" s="41"/>
      <c r="Q601" s="284"/>
      <c r="R601" s="105"/>
      <c r="S601" s="57"/>
      <c r="T601" s="57"/>
      <c r="U601" s="57"/>
      <c r="V601" s="285"/>
      <c r="W601" s="36"/>
      <c r="X601" s="48"/>
    </row>
    <row r="602" spans="2:24" x14ac:dyDescent="0.25">
      <c r="B602" s="405"/>
      <c r="C602" s="90">
        <v>2</v>
      </c>
      <c r="D602" s="203" t="s">
        <v>150</v>
      </c>
      <c r="H602" s="201" t="str">
        <f>CONCATENATE(L602,"-",C602,"-",LEFT(D602,3),LEFT(I602,3),"-",LEFT(J602,3),"-",33)</f>
        <v>HLP-2-KUR-STA-33</v>
      </c>
      <c r="I602" s="189"/>
      <c r="J602" s="191" t="s">
        <v>152</v>
      </c>
      <c r="K602" s="198" t="s">
        <v>392</v>
      </c>
      <c r="L602" s="193" t="s">
        <v>209</v>
      </c>
      <c r="M602" s="387"/>
      <c r="N602" s="265"/>
      <c r="O602" s="284"/>
      <c r="P602" s="41"/>
      <c r="Q602" s="284"/>
      <c r="R602" s="105"/>
      <c r="S602" s="57"/>
      <c r="T602" s="57"/>
      <c r="U602" s="57"/>
      <c r="V602" s="285"/>
      <c r="W602" s="36"/>
      <c r="X602" s="48"/>
    </row>
    <row r="603" spans="2:24" x14ac:dyDescent="0.25">
      <c r="B603" s="405"/>
      <c r="C603" s="90">
        <v>2</v>
      </c>
      <c r="D603" s="203" t="s">
        <v>150</v>
      </c>
      <c r="H603" s="201" t="str">
        <f>CONCATENATE(L603,"-",C603,"-",LEFT(D603,3),LEFT(I603,3),"-",LEFT(J603,3),"-",34)</f>
        <v>HLP-2-KUR-STA-34</v>
      </c>
      <c r="I603" s="189"/>
      <c r="J603" s="191" t="s">
        <v>152</v>
      </c>
      <c r="K603" s="198" t="s">
        <v>382</v>
      </c>
      <c r="L603" s="193" t="s">
        <v>209</v>
      </c>
      <c r="M603" s="387"/>
      <c r="N603" s="265"/>
      <c r="O603" s="284"/>
      <c r="P603" s="41"/>
      <c r="Q603" s="284"/>
      <c r="R603" s="105"/>
      <c r="S603" s="57"/>
      <c r="T603" s="57"/>
      <c r="U603" s="57"/>
      <c r="V603" s="285"/>
      <c r="W603" s="36"/>
      <c r="X603" s="48"/>
    </row>
    <row r="604" spans="2:24" x14ac:dyDescent="0.25">
      <c r="B604" s="405"/>
      <c r="C604" s="90">
        <v>2</v>
      </c>
      <c r="D604" s="203" t="s">
        <v>150</v>
      </c>
      <c r="H604" s="201" t="str">
        <f>CONCATENATE(L604,"-",C604,"-",LEFT(D604,3),LEFT(I604,3),"-",LEFT(J604,3),"-",35)</f>
        <v>HLP-2-KUR-STA-35</v>
      </c>
      <c r="I604" s="189"/>
      <c r="J604" s="191" t="s">
        <v>152</v>
      </c>
      <c r="K604" s="198" t="s">
        <v>382</v>
      </c>
      <c r="L604" s="193" t="s">
        <v>209</v>
      </c>
      <c r="M604" s="387"/>
      <c r="N604" s="265"/>
      <c r="O604" s="284"/>
      <c r="P604" s="41"/>
      <c r="Q604" s="284"/>
      <c r="R604" s="105"/>
      <c r="S604" s="57"/>
      <c r="T604" s="57"/>
      <c r="U604" s="57"/>
      <c r="V604" s="285"/>
      <c r="W604" s="36"/>
      <c r="X604" s="48"/>
    </row>
    <row r="605" spans="2:24" x14ac:dyDescent="0.25">
      <c r="B605" s="405"/>
      <c r="C605" s="90">
        <v>2</v>
      </c>
      <c r="D605" s="203" t="s">
        <v>150</v>
      </c>
      <c r="H605" s="201" t="str">
        <f>CONCATENATE(L605,"-",C605,"-",LEFT(D605,3),LEFT(I605,3),"-",LEFT(J605,3),"-",36)</f>
        <v>HLP-2-KUR-STA-36</v>
      </c>
      <c r="I605" s="189"/>
      <c r="J605" s="191" t="s">
        <v>152</v>
      </c>
      <c r="K605" s="198" t="s">
        <v>382</v>
      </c>
      <c r="L605" s="193" t="s">
        <v>209</v>
      </c>
      <c r="M605" s="387"/>
      <c r="N605" s="265"/>
      <c r="O605" s="284"/>
      <c r="P605" s="41"/>
      <c r="Q605" s="284"/>
      <c r="R605" s="105"/>
      <c r="S605" s="57"/>
      <c r="T605" s="57"/>
      <c r="U605" s="57"/>
      <c r="V605" s="285"/>
      <c r="W605" s="36"/>
      <c r="X605" s="48"/>
    </row>
    <row r="606" spans="2:24" x14ac:dyDescent="0.25">
      <c r="B606" s="405"/>
      <c r="C606" s="90">
        <v>2</v>
      </c>
      <c r="D606" s="203" t="s">
        <v>150</v>
      </c>
      <c r="H606" s="201" t="str">
        <f>CONCATENATE(L606,"-",C606,"-",LEFT(D606,3),LEFT(I606,3),"-",LEFT(J606,3),"-",37)</f>
        <v>HLP-2-KUR-STA-37</v>
      </c>
      <c r="I606" s="189"/>
      <c r="J606" s="191" t="s">
        <v>152</v>
      </c>
      <c r="K606" s="198" t="s">
        <v>383</v>
      </c>
      <c r="L606" s="193" t="s">
        <v>209</v>
      </c>
      <c r="M606" s="387"/>
      <c r="N606" s="265"/>
      <c r="O606" s="284"/>
      <c r="P606" s="41"/>
      <c r="Q606" s="284"/>
      <c r="R606" s="105"/>
      <c r="S606" s="57"/>
      <c r="T606" s="57"/>
      <c r="U606" s="57"/>
      <c r="V606" s="285"/>
      <c r="W606" s="36"/>
      <c r="X606" s="48"/>
    </row>
    <row r="607" spans="2:24" x14ac:dyDescent="0.25">
      <c r="B607" s="405"/>
      <c r="C607" s="90">
        <v>2</v>
      </c>
      <c r="D607" s="203" t="s">
        <v>150</v>
      </c>
      <c r="H607" s="201" t="str">
        <f>CONCATENATE(L607,"-",C607,"-",LEFT(D607,3),LEFT(I607,3),"-",LEFT(J607,3),"-",38)</f>
        <v>HLP-2-KUR-STA-38</v>
      </c>
      <c r="I607" s="189"/>
      <c r="J607" s="191" t="s">
        <v>152</v>
      </c>
      <c r="K607" s="198" t="s">
        <v>383</v>
      </c>
      <c r="L607" s="193" t="s">
        <v>209</v>
      </c>
      <c r="M607" s="387"/>
      <c r="N607" s="265"/>
      <c r="O607" s="284"/>
      <c r="P607" s="41"/>
      <c r="Q607" s="284"/>
      <c r="R607" s="105"/>
      <c r="S607" s="57"/>
      <c r="T607" s="57"/>
      <c r="U607" s="57"/>
      <c r="V607" s="285"/>
      <c r="W607" s="36"/>
      <c r="X607" s="48"/>
    </row>
    <row r="608" spans="2:24" x14ac:dyDescent="0.25">
      <c r="B608" s="405"/>
      <c r="C608" s="90">
        <v>2</v>
      </c>
      <c r="D608" s="203" t="s">
        <v>150</v>
      </c>
      <c r="H608" s="201" t="str">
        <f>CONCATENATE(L608,"-",C608,"-",LEFT(D608,3),LEFT(I608,3),"-",LEFT(J608,3),"-",39)</f>
        <v>HLP-2-KUR-STA-39</v>
      </c>
      <c r="I608" s="189"/>
      <c r="J608" s="191" t="s">
        <v>152</v>
      </c>
      <c r="K608" s="198" t="s">
        <v>249</v>
      </c>
      <c r="L608" s="193" t="s">
        <v>209</v>
      </c>
      <c r="M608" s="387"/>
      <c r="N608" s="265"/>
      <c r="O608" s="284"/>
      <c r="P608" s="41"/>
      <c r="Q608" s="284"/>
      <c r="R608" s="105"/>
      <c r="S608" s="57"/>
      <c r="T608" s="57"/>
      <c r="U608" s="57"/>
      <c r="V608" s="285"/>
      <c r="W608" s="36"/>
      <c r="X608" s="48"/>
    </row>
    <row r="609" spans="2:24" x14ac:dyDescent="0.25">
      <c r="B609" s="405"/>
      <c r="C609" s="90">
        <v>2</v>
      </c>
      <c r="D609" s="203" t="s">
        <v>150</v>
      </c>
      <c r="H609" s="201" t="str">
        <f>CONCATENATE(L609,"-",C609,"-",LEFT(D609,3),LEFT(I609,3),"-",LEFT(J609,3),"-",40)</f>
        <v>HLP-2-KUR-STA-40</v>
      </c>
      <c r="I609" s="189"/>
      <c r="J609" s="191" t="s">
        <v>152</v>
      </c>
      <c r="K609" s="198" t="s">
        <v>249</v>
      </c>
      <c r="L609" s="193" t="s">
        <v>209</v>
      </c>
      <c r="M609" s="387"/>
      <c r="N609" s="265"/>
      <c r="O609" s="284"/>
      <c r="P609" s="41"/>
      <c r="Q609" s="284"/>
      <c r="R609" s="105"/>
      <c r="S609" s="57"/>
      <c r="T609" s="57"/>
      <c r="U609" s="57"/>
      <c r="V609" s="285"/>
      <c r="W609" s="36"/>
      <c r="X609" s="48"/>
    </row>
    <row r="610" spans="2:24" x14ac:dyDescent="0.25">
      <c r="B610" s="405"/>
      <c r="C610" s="90">
        <v>2</v>
      </c>
      <c r="D610" s="203" t="s">
        <v>150</v>
      </c>
      <c r="H610" s="201" t="str">
        <f>CONCATENATE(L610,"-",C610,"-",LEFT(D610,3),LEFT(I610,3),"-",LEFT(J610,3),"-",41)</f>
        <v>HLP-2-KUR-STA-41</v>
      </c>
      <c r="I610" s="189"/>
      <c r="J610" s="191" t="s">
        <v>152</v>
      </c>
      <c r="K610" s="198" t="s">
        <v>384</v>
      </c>
      <c r="L610" s="193" t="s">
        <v>209</v>
      </c>
      <c r="M610" s="387"/>
      <c r="N610" s="265"/>
      <c r="O610" s="284"/>
      <c r="P610" s="41"/>
      <c r="Q610" s="284"/>
      <c r="R610" s="105"/>
      <c r="S610" s="57"/>
      <c r="T610" s="57"/>
      <c r="U610" s="57"/>
      <c r="V610" s="285"/>
      <c r="W610" s="36"/>
      <c r="X610" s="48"/>
    </row>
    <row r="611" spans="2:24" x14ac:dyDescent="0.25">
      <c r="B611" s="405"/>
      <c r="C611" s="90">
        <v>2</v>
      </c>
      <c r="D611" s="203" t="s">
        <v>150</v>
      </c>
      <c r="H611" s="201" t="str">
        <f>CONCATENATE(L611,"-",C611,"-",LEFT(D611,3),LEFT(I611,3),"-",LEFT(J611,3),"-",42)</f>
        <v>HLP-2-KUR-STA-42</v>
      </c>
      <c r="I611" s="189"/>
      <c r="J611" s="191" t="s">
        <v>152</v>
      </c>
      <c r="K611" s="198" t="s">
        <v>385</v>
      </c>
      <c r="L611" s="193" t="s">
        <v>209</v>
      </c>
      <c r="M611" s="387"/>
      <c r="N611" s="265"/>
      <c r="O611" s="284"/>
      <c r="P611" s="41"/>
      <c r="Q611" s="284"/>
      <c r="R611" s="105"/>
      <c r="S611" s="57"/>
      <c r="T611" s="57"/>
      <c r="U611" s="57"/>
      <c r="V611" s="285"/>
      <c r="W611" s="36"/>
      <c r="X611" s="48"/>
    </row>
    <row r="612" spans="2:24" x14ac:dyDescent="0.25">
      <c r="B612" s="405"/>
      <c r="C612" s="90">
        <v>2</v>
      </c>
      <c r="D612" s="203" t="s">
        <v>150</v>
      </c>
      <c r="H612" s="201" t="str">
        <f>CONCATENATE(L612,"-",C612,"-",LEFT(D612,3),LEFT(I612,3),"-",LEFT(J612,3),"-",43)</f>
        <v>HLP-2-KUR-STA-43</v>
      </c>
      <c r="I612" s="189"/>
      <c r="J612" s="191" t="s">
        <v>152</v>
      </c>
      <c r="K612" s="198" t="s">
        <v>388</v>
      </c>
      <c r="L612" s="193" t="s">
        <v>209</v>
      </c>
      <c r="M612" s="387"/>
      <c r="N612" s="265"/>
      <c r="O612" s="284"/>
      <c r="P612" s="41"/>
      <c r="Q612" s="284"/>
      <c r="R612" s="105"/>
      <c r="S612" s="57"/>
      <c r="T612" s="57"/>
      <c r="U612" s="57"/>
      <c r="V612" s="285"/>
      <c r="W612" s="36"/>
      <c r="X612" s="48"/>
    </row>
    <row r="613" spans="2:24" x14ac:dyDescent="0.25">
      <c r="B613" s="405"/>
      <c r="C613" s="90">
        <v>2</v>
      </c>
      <c r="D613" s="203" t="s">
        <v>150</v>
      </c>
      <c r="H613" s="201" t="str">
        <f>CONCATENATE(L613,"-",C613,"-",LEFT(D613,3),LEFT(I613,3),"-",LEFT(J613,3),"-",44)</f>
        <v>HLP-2-KUR-STA-44</v>
      </c>
      <c r="I613" s="189"/>
      <c r="J613" s="191" t="s">
        <v>152</v>
      </c>
      <c r="K613" s="198" t="s">
        <v>388</v>
      </c>
      <c r="L613" s="193" t="s">
        <v>209</v>
      </c>
      <c r="M613" s="387"/>
      <c r="N613" s="265"/>
      <c r="O613" s="284"/>
      <c r="P613" s="41"/>
      <c r="Q613" s="284"/>
      <c r="R613" s="105"/>
      <c r="S613" s="57"/>
      <c r="T613" s="57"/>
      <c r="U613" s="57"/>
      <c r="V613" s="285"/>
      <c r="W613" s="36"/>
      <c r="X613" s="48"/>
    </row>
    <row r="614" spans="2:24" x14ac:dyDescent="0.25">
      <c r="B614" s="405"/>
      <c r="C614" s="90">
        <v>2</v>
      </c>
      <c r="D614" s="203" t="s">
        <v>150</v>
      </c>
      <c r="H614" s="201" t="str">
        <f>CONCATENATE(L614,"-",C614,"-",LEFT(D614,3),LEFT(I614,3),"-",LEFT(J614,3),"-",45)</f>
        <v>HLP-2-KUR-STA-45</v>
      </c>
      <c r="I614" s="189"/>
      <c r="J614" s="191" t="s">
        <v>152</v>
      </c>
      <c r="K614" s="198" t="s">
        <v>388</v>
      </c>
      <c r="L614" s="193" t="s">
        <v>209</v>
      </c>
      <c r="M614" s="387"/>
      <c r="N614" s="265"/>
      <c r="O614" s="284"/>
      <c r="P614" s="41"/>
      <c r="Q614" s="284"/>
      <c r="R614" s="105"/>
      <c r="S614" s="57"/>
      <c r="T614" s="57"/>
      <c r="U614" s="57"/>
      <c r="V614" s="285"/>
      <c r="W614" s="36"/>
      <c r="X614" s="48"/>
    </row>
    <row r="615" spans="2:24" x14ac:dyDescent="0.25">
      <c r="B615" s="405"/>
      <c r="C615" s="90">
        <v>2</v>
      </c>
      <c r="D615" s="203" t="s">
        <v>150</v>
      </c>
      <c r="H615" s="201" t="str">
        <f>CONCATENATE(L615,"-",C615,"-",LEFT(D615,3),LEFT(I615,3),"-",LEFT(J615,3),"-",46)</f>
        <v>HLP-2-KUR-STA-46</v>
      </c>
      <c r="I615" s="189"/>
      <c r="J615" s="191" t="s">
        <v>152</v>
      </c>
      <c r="K615" s="198" t="s">
        <v>472</v>
      </c>
      <c r="L615" s="193" t="s">
        <v>209</v>
      </c>
      <c r="M615" s="387"/>
      <c r="N615" s="265"/>
      <c r="O615" s="284"/>
      <c r="P615" s="41"/>
      <c r="Q615" s="284"/>
      <c r="R615" s="105"/>
      <c r="S615" s="57"/>
      <c r="T615" s="57"/>
      <c r="U615" s="57"/>
      <c r="V615" s="365" t="s">
        <v>471</v>
      </c>
      <c r="W615" s="36"/>
      <c r="X615" s="48"/>
    </row>
    <row r="616" spans="2:24" x14ac:dyDescent="0.25">
      <c r="B616" s="405"/>
      <c r="C616" s="90">
        <v>2</v>
      </c>
      <c r="D616" s="203" t="s">
        <v>150</v>
      </c>
      <c r="H616" s="201" t="str">
        <f>CONCATENATE(L616,"-",C616,"-",LEFT(D616,3),LEFT(I616,3),"-",LEFT(J616,3),"-",47)</f>
        <v>HLP-2-KUR-STA-47</v>
      </c>
      <c r="I616" s="189"/>
      <c r="J616" s="191" t="s">
        <v>152</v>
      </c>
      <c r="K616" s="198" t="s">
        <v>472</v>
      </c>
      <c r="L616" s="193" t="s">
        <v>209</v>
      </c>
      <c r="M616" s="387"/>
      <c r="N616" s="265"/>
      <c r="O616" s="284"/>
      <c r="P616" s="41"/>
      <c r="Q616" s="284"/>
      <c r="R616" s="105"/>
      <c r="S616" s="57"/>
      <c r="T616" s="57"/>
      <c r="U616" s="57"/>
      <c r="V616" s="365" t="s">
        <v>471</v>
      </c>
      <c r="W616" s="36"/>
      <c r="X616" s="48"/>
    </row>
    <row r="617" spans="2:24" x14ac:dyDescent="0.25">
      <c r="B617" s="405"/>
      <c r="C617" s="90">
        <v>2</v>
      </c>
      <c r="D617" s="203" t="s">
        <v>150</v>
      </c>
      <c r="H617" s="201" t="str">
        <f>CONCATENATE(L617,"-",C617,"-",LEFT(D617,3),LEFT(I617,3),"-",LEFT(J617,3),"-",48)</f>
        <v>HLP-2-KUR-STA-48</v>
      </c>
      <c r="I617" s="189"/>
      <c r="J617" s="191" t="s">
        <v>152</v>
      </c>
      <c r="K617" s="198" t="s">
        <v>472</v>
      </c>
      <c r="L617" s="193" t="s">
        <v>209</v>
      </c>
      <c r="M617" s="387"/>
      <c r="N617" s="265"/>
      <c r="O617" s="284"/>
      <c r="P617" s="41"/>
      <c r="Q617" s="284"/>
      <c r="R617" s="105"/>
      <c r="S617" s="57"/>
      <c r="T617" s="57"/>
      <c r="U617" s="57"/>
      <c r="V617" s="365" t="s">
        <v>471</v>
      </c>
      <c r="W617" s="36"/>
      <c r="X617" s="48"/>
    </row>
    <row r="618" spans="2:24" x14ac:dyDescent="0.25">
      <c r="B618" s="405"/>
      <c r="C618" s="90">
        <v>2</v>
      </c>
      <c r="D618" s="203" t="s">
        <v>150</v>
      </c>
      <c r="H618" s="201" t="str">
        <f>CONCATENATE(L618,"-",C618,"-",LEFT(D618,3),LEFT(I618,3),"-",LEFT(J618,3),"-",49)</f>
        <v>HLP-2-KUR-STA-49</v>
      </c>
      <c r="I618" s="189"/>
      <c r="J618" s="191" t="s">
        <v>152</v>
      </c>
      <c r="K618" s="198" t="s">
        <v>472</v>
      </c>
      <c r="L618" s="193" t="s">
        <v>209</v>
      </c>
      <c r="M618" s="387"/>
      <c r="N618" s="265"/>
      <c r="O618" s="284"/>
      <c r="P618" s="41"/>
      <c r="Q618" s="284"/>
      <c r="R618" s="105"/>
      <c r="S618" s="57"/>
      <c r="T618" s="57"/>
      <c r="U618" s="57"/>
      <c r="V618" s="365" t="s">
        <v>471</v>
      </c>
      <c r="W618" s="36"/>
      <c r="X618" s="48"/>
    </row>
    <row r="619" spans="2:24" x14ac:dyDescent="0.25">
      <c r="B619" s="405"/>
      <c r="C619" s="90">
        <v>2</v>
      </c>
      <c r="D619" s="203" t="s">
        <v>150</v>
      </c>
      <c r="H619" s="201" t="str">
        <f>CONCATENATE(L619,"-",C619,"-",LEFT(D619,3),LEFT(I619,3),"-",LEFT(J619,3),"-",50)</f>
        <v>HLP-2-KUR-STA-50</v>
      </c>
      <c r="I619" s="189"/>
      <c r="J619" s="191" t="s">
        <v>152</v>
      </c>
      <c r="K619" s="198" t="s">
        <v>472</v>
      </c>
      <c r="L619" s="193" t="s">
        <v>209</v>
      </c>
      <c r="M619" s="387"/>
      <c r="N619" s="265"/>
      <c r="O619" s="284"/>
      <c r="P619" s="41"/>
      <c r="Q619" s="284"/>
      <c r="R619" s="105"/>
      <c r="S619" s="57"/>
      <c r="T619" s="57"/>
      <c r="U619" s="57"/>
      <c r="V619" s="365" t="s">
        <v>471</v>
      </c>
      <c r="W619" s="36"/>
      <c r="X619" s="48"/>
    </row>
    <row r="620" spans="2:24" x14ac:dyDescent="0.25">
      <c r="B620" s="405"/>
      <c r="C620" s="90">
        <v>2</v>
      </c>
      <c r="D620" s="203" t="s">
        <v>150</v>
      </c>
      <c r="H620" s="201" t="str">
        <f>CONCATENATE(L620,"-",C620,"-",LEFT(D620,3),LEFT(I620,3),"-",LEFT(J620,3),"-",51)</f>
        <v>HLP-2-KUR-STA-51</v>
      </c>
      <c r="I620" s="189"/>
      <c r="J620" s="191" t="s">
        <v>152</v>
      </c>
      <c r="K620" s="198" t="s">
        <v>472</v>
      </c>
      <c r="L620" s="193" t="s">
        <v>209</v>
      </c>
      <c r="M620" s="388"/>
      <c r="N620" s="265"/>
      <c r="O620" s="284"/>
      <c r="P620" s="41"/>
      <c r="Q620" s="284"/>
      <c r="R620" s="105"/>
      <c r="S620" s="57"/>
      <c r="T620" s="57"/>
      <c r="U620" s="57"/>
      <c r="V620" s="365" t="s">
        <v>471</v>
      </c>
      <c r="W620" s="36"/>
      <c r="X620" s="48"/>
    </row>
    <row r="621" spans="2:24" x14ac:dyDescent="0.25">
      <c r="B621" s="405"/>
      <c r="C621" s="90">
        <v>2</v>
      </c>
      <c r="D621" s="203" t="s">
        <v>150</v>
      </c>
      <c r="H621" s="201" t="str">
        <f>CONCATENATE(L621,"-",C621,"-",LEFT(D621,3),LEFT(I621,3),"-",LEFT(J621,3))</f>
        <v>HLP-2-KUR-HAD</v>
      </c>
      <c r="I621" s="189"/>
      <c r="J621" s="191" t="s">
        <v>153</v>
      </c>
      <c r="K621" s="356" t="s">
        <v>359</v>
      </c>
      <c r="L621" s="193" t="s">
        <v>209</v>
      </c>
      <c r="M621" s="234">
        <f>'[2]Total Item Gudang HLP'!$F$34</f>
        <v>0</v>
      </c>
      <c r="N621" s="265"/>
      <c r="O621" s="284"/>
      <c r="P621" s="41"/>
      <c r="Q621" s="284"/>
      <c r="R621" s="105"/>
      <c r="S621" s="57"/>
      <c r="T621" s="57"/>
      <c r="U621" s="57"/>
      <c r="V621" s="285"/>
      <c r="W621" s="36"/>
      <c r="X621" s="48"/>
    </row>
    <row r="622" spans="2:24" x14ac:dyDescent="0.25">
      <c r="B622" s="405"/>
      <c r="C622" s="90">
        <v>2</v>
      </c>
      <c r="D622" s="203" t="s">
        <v>150</v>
      </c>
      <c r="H622" s="201" t="str">
        <f>CONCATENATE(L622,"-",C622,"-",LEFT(D622,3),LEFT(I622,3),"-",LEFT(J622,4),"-",1)</f>
        <v>HLP-2-KURNON-PLAS-1</v>
      </c>
      <c r="I622" s="189" t="s">
        <v>154</v>
      </c>
      <c r="J622" s="191" t="s">
        <v>155</v>
      </c>
      <c r="K622" s="198" t="s">
        <v>386</v>
      </c>
      <c r="L622" s="193" t="s">
        <v>209</v>
      </c>
      <c r="M622" s="389">
        <f>'[2]Total Item Gudang HLP'!$F$38</f>
        <v>3</v>
      </c>
      <c r="N622" s="265"/>
      <c r="O622" s="284"/>
      <c r="P622" s="41"/>
      <c r="Q622" s="284"/>
      <c r="R622" s="105"/>
      <c r="S622" s="57"/>
      <c r="T622" s="57"/>
      <c r="U622" s="57"/>
      <c r="V622" s="285"/>
      <c r="W622" s="36"/>
      <c r="X622" s="48"/>
    </row>
    <row r="623" spans="2:24" x14ac:dyDescent="0.25">
      <c r="B623" s="405"/>
      <c r="C623" s="90">
        <v>2</v>
      </c>
      <c r="D623" s="203" t="s">
        <v>150</v>
      </c>
      <c r="H623" s="201" t="str">
        <f>CONCATENATE(L623,"-",C623,"-",LEFT(D623,3),LEFT(I623,3),"-",LEFT(J623,4),"-",2)</f>
        <v>HLP-2-KURNON-PLAS-2</v>
      </c>
      <c r="I623" s="189" t="s">
        <v>154</v>
      </c>
      <c r="J623" s="191" t="s">
        <v>155</v>
      </c>
      <c r="K623" s="198" t="s">
        <v>247</v>
      </c>
      <c r="L623" s="193" t="s">
        <v>209</v>
      </c>
      <c r="M623" s="387"/>
      <c r="N623" s="265"/>
      <c r="O623" s="284"/>
      <c r="P623" s="41"/>
      <c r="Q623" s="284"/>
      <c r="R623" s="105"/>
      <c r="S623" s="57"/>
      <c r="T623" s="57"/>
      <c r="U623" s="57"/>
      <c r="V623" s="285"/>
      <c r="W623" s="36"/>
      <c r="X623" s="48"/>
    </row>
    <row r="624" spans="2:24" x14ac:dyDescent="0.25">
      <c r="B624" s="405"/>
      <c r="C624" s="90">
        <v>2</v>
      </c>
      <c r="D624" s="203" t="s">
        <v>150</v>
      </c>
      <c r="H624" s="201" t="str">
        <f>CONCATENATE(L624,"-",C624,"-",LEFT(D624,3),LEFT(I624,3),"-",LEFT(J624,4),"-",3)</f>
        <v>HLP-2-KURNON-PLAS-3</v>
      </c>
      <c r="I624" s="189" t="s">
        <v>154</v>
      </c>
      <c r="J624" s="191" t="s">
        <v>155</v>
      </c>
      <c r="K624" s="198" t="s">
        <v>247</v>
      </c>
      <c r="L624" s="193" t="s">
        <v>209</v>
      </c>
      <c r="M624" s="388"/>
      <c r="N624" s="265"/>
      <c r="O624" s="284"/>
      <c r="P624" s="41"/>
      <c r="Q624" s="284"/>
      <c r="R624" s="105"/>
      <c r="S624" s="57"/>
      <c r="T624" s="57"/>
      <c r="U624" s="57"/>
      <c r="V624" s="285"/>
      <c r="W624" s="36"/>
      <c r="X624" s="48"/>
    </row>
    <row r="625" spans="2:24" x14ac:dyDescent="0.25">
      <c r="B625" s="405"/>
      <c r="C625" s="90">
        <v>2</v>
      </c>
      <c r="D625" s="203" t="s">
        <v>150</v>
      </c>
      <c r="H625" s="201" t="str">
        <f>CONCATENATE(L625,"-",C625,"-",LEFT(D625,3),LEFT(I625,3),"-",LEFT(J625,3),"-",1)</f>
        <v>HLP-2-KURNON-LIP-1</v>
      </c>
      <c r="I625" s="189" t="s">
        <v>154</v>
      </c>
      <c r="J625" s="191" t="s">
        <v>156</v>
      </c>
      <c r="K625" s="198" t="s">
        <v>385</v>
      </c>
      <c r="L625" s="193" t="s">
        <v>209</v>
      </c>
      <c r="M625" s="389">
        <f>'[2]Total Item Gudang HLP'!$F$36</f>
        <v>4</v>
      </c>
      <c r="N625" s="265"/>
      <c r="O625" s="284"/>
      <c r="P625" s="41"/>
      <c r="Q625" s="284"/>
      <c r="R625" s="105"/>
      <c r="S625" s="57"/>
      <c r="T625" s="57"/>
      <c r="U625" s="57"/>
      <c r="V625" s="285"/>
      <c r="W625" s="36"/>
      <c r="X625" s="48"/>
    </row>
    <row r="626" spans="2:24" x14ac:dyDescent="0.25">
      <c r="B626" s="405"/>
      <c r="C626" s="90">
        <v>2</v>
      </c>
      <c r="D626" s="203" t="s">
        <v>150</v>
      </c>
      <c r="H626" s="201" t="str">
        <f>CONCATENATE(L626,"-",C626,"-",LEFT(D626,3),LEFT(I626,3),"-",LEFT(J626,3),"-",2)</f>
        <v>HLP-2-KURNON-LIP-2</v>
      </c>
      <c r="I626" s="189" t="s">
        <v>154</v>
      </c>
      <c r="J626" s="191" t="s">
        <v>156</v>
      </c>
      <c r="K626" s="198" t="s">
        <v>384</v>
      </c>
      <c r="L626" s="193" t="s">
        <v>209</v>
      </c>
      <c r="M626" s="387"/>
      <c r="N626" s="265"/>
      <c r="O626" s="284"/>
      <c r="P626" s="41"/>
      <c r="Q626" s="284"/>
      <c r="R626" s="105"/>
      <c r="S626" s="57"/>
      <c r="T626" s="57"/>
      <c r="U626" s="57"/>
      <c r="V626" s="285"/>
      <c r="W626" s="36"/>
      <c r="X626" s="48"/>
    </row>
    <row r="627" spans="2:24" x14ac:dyDescent="0.25">
      <c r="B627" s="405"/>
      <c r="C627" s="90">
        <v>2</v>
      </c>
      <c r="D627" s="203" t="s">
        <v>150</v>
      </c>
      <c r="H627" s="201" t="str">
        <f>CONCATENATE(L627,"-",C627,"-",LEFT(D627,3),LEFT(I627,3),"-",LEFT(J627,3),"-",3)</f>
        <v>HLP-2-KURNON-LIP-3</v>
      </c>
      <c r="I627" s="189" t="s">
        <v>154</v>
      </c>
      <c r="J627" s="191" t="s">
        <v>156</v>
      </c>
      <c r="K627" s="198" t="s">
        <v>382</v>
      </c>
      <c r="L627" s="193" t="s">
        <v>209</v>
      </c>
      <c r="M627" s="387"/>
      <c r="N627" s="265"/>
      <c r="O627" s="284"/>
      <c r="P627" s="41"/>
      <c r="Q627" s="284"/>
      <c r="R627" s="105"/>
      <c r="S627" s="57"/>
      <c r="T627" s="57"/>
      <c r="U627" s="57"/>
      <c r="V627" s="285"/>
      <c r="W627" s="36"/>
      <c r="X627" s="48"/>
    </row>
    <row r="628" spans="2:24" x14ac:dyDescent="0.25">
      <c r="B628" s="405"/>
      <c r="C628" s="90">
        <v>2</v>
      </c>
      <c r="D628" s="203" t="s">
        <v>150</v>
      </c>
      <c r="H628" s="201" t="str">
        <f>CONCATENATE(L628,"-",C628,"-",LEFT(D628,3),LEFT(I628,3),"-",LEFT(J628,3),"-",4)</f>
        <v>HLP-2-KURNON-LIP-4</v>
      </c>
      <c r="I628" s="189" t="s">
        <v>154</v>
      </c>
      <c r="J628" s="191" t="s">
        <v>156</v>
      </c>
      <c r="K628" s="198" t="s">
        <v>387</v>
      </c>
      <c r="L628" s="193" t="s">
        <v>209</v>
      </c>
      <c r="M628" s="388"/>
      <c r="N628" s="265"/>
      <c r="O628" s="284"/>
      <c r="P628" s="41"/>
      <c r="Q628" s="284"/>
      <c r="R628" s="105"/>
      <c r="S628" s="57"/>
      <c r="T628" s="57"/>
      <c r="U628" s="57"/>
      <c r="V628" s="285"/>
      <c r="W628" s="36"/>
      <c r="X628" s="48"/>
    </row>
    <row r="629" spans="2:24" x14ac:dyDescent="0.25">
      <c r="B629" s="405"/>
      <c r="C629" s="90">
        <v>2</v>
      </c>
      <c r="D629" s="203" t="s">
        <v>150</v>
      </c>
      <c r="H629" s="201" t="str">
        <f>CONCATENATE(L629,"-",C629,"-",LEFT(D629,3),LEFT(I629,3),"-",LEFT(J629,5),"-",1)</f>
        <v>HLP-2-KURNON-STACK-1</v>
      </c>
      <c r="I629" s="189" t="s">
        <v>154</v>
      </c>
      <c r="J629" s="191" t="s">
        <v>157</v>
      </c>
      <c r="K629" s="198" t="s">
        <v>387</v>
      </c>
      <c r="L629" s="193" t="s">
        <v>209</v>
      </c>
      <c r="M629" s="389">
        <f>'[2]Total Item Gudang HLP'!$F$35</f>
        <v>6</v>
      </c>
      <c r="N629" s="265"/>
      <c r="O629" s="284"/>
      <c r="P629" s="41"/>
      <c r="Q629" s="284"/>
      <c r="R629" s="105"/>
      <c r="S629" s="57"/>
      <c r="T629" s="57"/>
      <c r="U629" s="57"/>
      <c r="V629" s="285"/>
      <c r="W629" s="36"/>
      <c r="X629" s="48"/>
    </row>
    <row r="630" spans="2:24" x14ac:dyDescent="0.25">
      <c r="B630" s="405"/>
      <c r="C630" s="90">
        <v>2</v>
      </c>
      <c r="D630" s="203" t="s">
        <v>150</v>
      </c>
      <c r="H630" s="201" t="str">
        <f>CONCATENATE(L630,"-",C630,"-",LEFT(D630,3),LEFT(I630,3),"-",LEFT(J630,5),"-",2)</f>
        <v>HLP-2-KURNON-STACK-2</v>
      </c>
      <c r="I630" s="189" t="s">
        <v>154</v>
      </c>
      <c r="J630" s="191" t="s">
        <v>157</v>
      </c>
      <c r="K630" s="198" t="s">
        <v>396</v>
      </c>
      <c r="L630" s="193" t="s">
        <v>209</v>
      </c>
      <c r="M630" s="387"/>
      <c r="N630" s="265"/>
      <c r="O630" s="284"/>
      <c r="P630" s="41"/>
      <c r="Q630" s="284"/>
      <c r="R630" s="105"/>
      <c r="S630" s="57"/>
      <c r="T630" s="57"/>
      <c r="U630" s="57"/>
      <c r="V630" s="285"/>
      <c r="W630" s="36"/>
      <c r="X630" s="48"/>
    </row>
    <row r="631" spans="2:24" x14ac:dyDescent="0.25">
      <c r="B631" s="405"/>
      <c r="C631" s="90">
        <v>2</v>
      </c>
      <c r="D631" s="203" t="s">
        <v>150</v>
      </c>
      <c r="H631" s="201" t="str">
        <f>CONCATENATE(L631,"-",C631,"-",LEFT(D631,3),LEFT(I631,3),"-",LEFT(J631,5),"-",3)</f>
        <v>HLP-2-KURNON-STACK-3</v>
      </c>
      <c r="I631" s="189" t="s">
        <v>154</v>
      </c>
      <c r="J631" s="191" t="s">
        <v>157</v>
      </c>
      <c r="K631" s="198" t="s">
        <v>396</v>
      </c>
      <c r="L631" s="193" t="s">
        <v>209</v>
      </c>
      <c r="M631" s="387"/>
      <c r="N631" s="265"/>
      <c r="O631" s="284"/>
      <c r="P631" s="41"/>
      <c r="Q631" s="284"/>
      <c r="R631" s="105"/>
      <c r="S631" s="57"/>
      <c r="T631" s="57"/>
      <c r="U631" s="57"/>
      <c r="V631" s="285"/>
      <c r="W631" s="36"/>
      <c r="X631" s="48"/>
    </row>
    <row r="632" spans="2:24" x14ac:dyDescent="0.25">
      <c r="B632" s="405"/>
      <c r="C632" s="90">
        <v>2</v>
      </c>
      <c r="D632" s="203" t="s">
        <v>150</v>
      </c>
      <c r="H632" s="201" t="str">
        <f>CONCATENATE(L632,"-",C632,"-",LEFT(D632,3),LEFT(I632,3),"-",LEFT(J632,5),"-",4)</f>
        <v>HLP-2-KURNON-STACK-4</v>
      </c>
      <c r="I632" s="189" t="s">
        <v>154</v>
      </c>
      <c r="J632" s="191" t="s">
        <v>157</v>
      </c>
      <c r="K632" s="198" t="s">
        <v>384</v>
      </c>
      <c r="L632" s="193" t="s">
        <v>209</v>
      </c>
      <c r="M632" s="387"/>
      <c r="N632" s="265"/>
      <c r="O632" s="284"/>
      <c r="P632" s="41"/>
      <c r="Q632" s="284"/>
      <c r="R632" s="105"/>
      <c r="S632" s="57"/>
      <c r="T632" s="57"/>
      <c r="U632" s="57"/>
      <c r="V632" s="285"/>
      <c r="W632" s="36"/>
      <c r="X632" s="48"/>
    </row>
    <row r="633" spans="2:24" x14ac:dyDescent="0.25">
      <c r="B633" s="405"/>
      <c r="C633" s="90">
        <v>2</v>
      </c>
      <c r="D633" s="203" t="s">
        <v>150</v>
      </c>
      <c r="H633" s="201" t="str">
        <f>CONCATENATE(L633,"-",C633,"-",LEFT(D633,3),LEFT(I633,3),"-",LEFT(J633,5),"-",5)</f>
        <v>HLP-2-KURNON-STACK-5</v>
      </c>
      <c r="I633" s="189" t="s">
        <v>154</v>
      </c>
      <c r="J633" s="191" t="s">
        <v>157</v>
      </c>
      <c r="K633" s="198" t="s">
        <v>385</v>
      </c>
      <c r="L633" s="193" t="s">
        <v>209</v>
      </c>
      <c r="M633" s="387"/>
      <c r="N633" s="265"/>
      <c r="O633" s="284"/>
      <c r="P633" s="41"/>
      <c r="Q633" s="284"/>
      <c r="R633" s="105"/>
      <c r="S633" s="57"/>
      <c r="T633" s="57"/>
      <c r="U633" s="57"/>
      <c r="V633" s="285"/>
      <c r="W633" s="36"/>
      <c r="X633" s="48"/>
    </row>
    <row r="634" spans="2:24" x14ac:dyDescent="0.25">
      <c r="B634" s="405"/>
      <c r="C634" s="90">
        <v>2</v>
      </c>
      <c r="D634" s="203" t="s">
        <v>150</v>
      </c>
      <c r="H634" s="201" t="str">
        <f>CONCATENATE(L634,"-",C634,"-",LEFT(D634,3),LEFT(I634,3),"-",LEFT(J634,5),"-",6)</f>
        <v>HLP-2-KURNON-STACK-6</v>
      </c>
      <c r="I634" s="189" t="s">
        <v>154</v>
      </c>
      <c r="J634" s="191" t="s">
        <v>157</v>
      </c>
      <c r="K634" s="198" t="s">
        <v>247</v>
      </c>
      <c r="L634" s="193" t="s">
        <v>209</v>
      </c>
      <c r="M634" s="388"/>
      <c r="N634" s="265"/>
      <c r="O634" s="284"/>
      <c r="P634" s="41"/>
      <c r="Q634" s="284"/>
      <c r="R634" s="105"/>
      <c r="S634" s="57"/>
      <c r="T634" s="57"/>
      <c r="U634" s="57"/>
      <c r="V634" s="285"/>
      <c r="W634" s="36"/>
      <c r="X634" s="48"/>
    </row>
    <row r="635" spans="2:24" x14ac:dyDescent="0.25">
      <c r="B635" s="405"/>
      <c r="C635" s="90">
        <v>2</v>
      </c>
      <c r="D635" s="203" t="s">
        <v>150</v>
      </c>
      <c r="H635" s="201" t="str">
        <f>CONCATENATE(L635,"-",C635,"-",LEFT(D635,3),LEFT(I635,3),"-",LEFT(J635,6))</f>
        <v>HLP-2-KURNON-RELAX</v>
      </c>
      <c r="I635" s="189" t="s">
        <v>154</v>
      </c>
      <c r="J635" s="191" t="s">
        <v>289</v>
      </c>
      <c r="K635" s="353" t="s">
        <v>359</v>
      </c>
      <c r="L635" s="193" t="s">
        <v>209</v>
      </c>
      <c r="M635" s="274">
        <v>0</v>
      </c>
      <c r="N635" s="265"/>
      <c r="O635" s="284"/>
      <c r="P635" s="41"/>
      <c r="Q635" s="284"/>
      <c r="R635" s="105"/>
      <c r="S635" s="57"/>
      <c r="T635" s="57"/>
      <c r="U635" s="57"/>
      <c r="V635" s="285"/>
      <c r="W635" s="36"/>
      <c r="X635" s="48"/>
    </row>
    <row r="636" spans="2:24" x14ac:dyDescent="0.25">
      <c r="B636" s="405"/>
      <c r="C636" s="90">
        <v>2</v>
      </c>
      <c r="D636" s="203" t="s">
        <v>150</v>
      </c>
      <c r="H636" s="201" t="str">
        <f>CONCATENATE(L636,"-",C636,"-",LEFT(D636,3),LEFT(I636,3),"-",LEFT(J636,6))</f>
        <v>HLP-2-KURNON-WOOD</v>
      </c>
      <c r="I636" s="189" t="s">
        <v>154</v>
      </c>
      <c r="J636" s="191" t="s">
        <v>290</v>
      </c>
      <c r="K636" s="353" t="s">
        <v>359</v>
      </c>
      <c r="L636" s="193" t="s">
        <v>209</v>
      </c>
      <c r="M636" s="274">
        <v>0</v>
      </c>
      <c r="N636" s="265"/>
      <c r="O636" s="284"/>
      <c r="P636" s="41"/>
      <c r="Q636" s="284"/>
      <c r="R636" s="105"/>
      <c r="S636" s="57"/>
      <c r="T636" s="57"/>
      <c r="U636" s="57"/>
      <c r="V636" s="285"/>
      <c r="W636" s="36"/>
      <c r="X636" s="48"/>
    </row>
    <row r="637" spans="2:24" x14ac:dyDescent="0.25">
      <c r="B637" s="405"/>
      <c r="C637" s="90">
        <v>2</v>
      </c>
      <c r="D637" s="203" t="s">
        <v>158</v>
      </c>
      <c r="H637" s="201" t="str">
        <f>CONCATENATE(L637,"-",C637,"-",LEFT(D637,3),LEFT(I637,3),"-",LEFT(J637,6))</f>
        <v>HLP-2-SOFSIN-1</v>
      </c>
      <c r="I637" s="189" t="s">
        <v>142</v>
      </c>
      <c r="J637" s="191">
        <v>1</v>
      </c>
      <c r="K637" s="198" t="s">
        <v>391</v>
      </c>
      <c r="L637" s="193" t="s">
        <v>209</v>
      </c>
      <c r="M637" s="233">
        <v>1</v>
      </c>
      <c r="N637" s="265"/>
      <c r="O637" s="284"/>
      <c r="P637" s="41"/>
      <c r="Q637" s="284"/>
      <c r="R637" s="105"/>
      <c r="S637" s="57"/>
      <c r="T637" s="57"/>
      <c r="U637" s="57"/>
      <c r="V637" s="285"/>
      <c r="W637" s="36"/>
      <c r="X637" s="48"/>
    </row>
    <row r="638" spans="2:24" x14ac:dyDescent="0.25">
      <c r="B638" s="405"/>
      <c r="C638" s="90">
        <v>2</v>
      </c>
      <c r="D638" s="203" t="s">
        <v>158</v>
      </c>
      <c r="H638" s="201" t="str">
        <f>CONCATENATE(L638,"-",C638,"-",LEFT(D638,3),LEFT(I638,3),"-",LEFT(J638,6),"-",1)</f>
        <v>HLP-2-SOFLOV-2-1</v>
      </c>
      <c r="I638" s="189" t="s">
        <v>159</v>
      </c>
      <c r="J638" s="191">
        <v>2</v>
      </c>
      <c r="K638" s="198" t="s">
        <v>398</v>
      </c>
      <c r="L638" s="193" t="s">
        <v>209</v>
      </c>
      <c r="M638" s="389">
        <f>'[2]Total Item Gudang HLP'!$F$40</f>
        <v>2</v>
      </c>
      <c r="N638" s="265"/>
      <c r="O638" s="284"/>
      <c r="P638" s="41"/>
      <c r="Q638" s="284"/>
      <c r="R638" s="105"/>
      <c r="S638" s="57"/>
      <c r="T638" s="57"/>
      <c r="U638" s="57"/>
      <c r="V638" s="285"/>
      <c r="W638" s="36"/>
      <c r="X638" s="48"/>
    </row>
    <row r="639" spans="2:24" x14ac:dyDescent="0.25">
      <c r="B639" s="405"/>
      <c r="C639" s="90">
        <v>2</v>
      </c>
      <c r="D639" s="203" t="s">
        <v>158</v>
      </c>
      <c r="H639" s="201" t="str">
        <f>CONCATENATE(L639,"-",C639,"-",LEFT(D639,3),LEFT(I639,3),"-",LEFT(J639,6),"-",2)</f>
        <v>HLP-2-SOFLOV-2-2</v>
      </c>
      <c r="I639" s="189" t="s">
        <v>159</v>
      </c>
      <c r="J639" s="191">
        <v>2</v>
      </c>
      <c r="K639" s="198" t="s">
        <v>382</v>
      </c>
      <c r="L639" s="193" t="s">
        <v>209</v>
      </c>
      <c r="M639" s="388"/>
      <c r="N639" s="265"/>
      <c r="O639" s="284"/>
      <c r="P639" s="41"/>
      <c r="Q639" s="284"/>
      <c r="R639" s="105"/>
      <c r="S639" s="57"/>
      <c r="T639" s="57"/>
      <c r="U639" s="57"/>
      <c r="V639" s="285"/>
      <c r="W639" s="36"/>
      <c r="X639" s="48"/>
    </row>
    <row r="640" spans="2:24" x14ac:dyDescent="0.25">
      <c r="B640" s="405"/>
      <c r="C640" s="90">
        <v>2</v>
      </c>
      <c r="D640" s="203" t="s">
        <v>158</v>
      </c>
      <c r="H640" s="201" t="str">
        <f>CONCATENATE(L640,"-",C640,"-",LEFT(D640,3),LEFT(I640,3),"-",LEFT(J640,6))</f>
        <v>HLP-2-SOFTHR-3</v>
      </c>
      <c r="I640" s="189" t="s">
        <v>346</v>
      </c>
      <c r="J640" s="191">
        <v>3</v>
      </c>
      <c r="K640" s="198" t="s">
        <v>391</v>
      </c>
      <c r="L640" s="193" t="s">
        <v>209</v>
      </c>
      <c r="M640" s="233">
        <v>1</v>
      </c>
      <c r="N640" s="265"/>
      <c r="O640" s="284"/>
      <c r="P640" s="41"/>
      <c r="Q640" s="284"/>
      <c r="R640" s="105"/>
      <c r="S640" s="57"/>
      <c r="T640" s="57"/>
      <c r="U640" s="57"/>
      <c r="V640" s="285"/>
      <c r="W640" s="36"/>
      <c r="X640" s="48"/>
    </row>
    <row r="641" spans="2:24" x14ac:dyDescent="0.25">
      <c r="B641" s="405"/>
      <c r="C641" s="90">
        <v>2</v>
      </c>
      <c r="D641" s="203" t="s">
        <v>158</v>
      </c>
      <c r="H641" s="201" t="str">
        <f>CONCATENATE(L641,"-",C641,"-",LEFT(D641,3),LEFT(I641,3),"-",LEFT(J641,6))</f>
        <v>HLP-2-SOF-BED</v>
      </c>
      <c r="I641" s="200"/>
      <c r="J641" s="192" t="s">
        <v>178</v>
      </c>
      <c r="K641" s="191" t="s">
        <v>383</v>
      </c>
      <c r="L641" s="193" t="s">
        <v>209</v>
      </c>
      <c r="M641" s="274">
        <v>0</v>
      </c>
      <c r="N641" s="265"/>
      <c r="O641" s="284"/>
      <c r="P641" s="41"/>
      <c r="Q641" s="284"/>
      <c r="R641" s="105"/>
      <c r="S641" s="57"/>
      <c r="T641" s="57"/>
      <c r="U641" s="57"/>
      <c r="V641" s="285"/>
      <c r="W641" s="36"/>
      <c r="X641" s="48"/>
    </row>
    <row r="642" spans="2:24" x14ac:dyDescent="0.25">
      <c r="B642" s="405"/>
      <c r="C642" s="90">
        <v>2</v>
      </c>
      <c r="D642" s="206" t="s">
        <v>163</v>
      </c>
      <c r="H642" s="201" t="str">
        <f>CONCATENATE(L642,"-",C642,"-",LEFT(D642,3),LEFT(I642,3),"-",LEFT(J642,6))</f>
        <v>HLP-2-FILBES-2 DRAW</v>
      </c>
      <c r="I642" s="200" t="s">
        <v>162</v>
      </c>
      <c r="J642" s="192" t="s">
        <v>161</v>
      </c>
      <c r="K642" s="355" t="s">
        <v>359</v>
      </c>
      <c r="L642" s="193" t="s">
        <v>209</v>
      </c>
      <c r="M642" s="274">
        <f>'[2]Total Item Gudang HLP'!$F$44</f>
        <v>0</v>
      </c>
      <c r="N642" s="265"/>
      <c r="O642" s="284"/>
      <c r="P642" s="41"/>
      <c r="Q642" s="284"/>
      <c r="R642" s="105"/>
      <c r="S642" s="57"/>
      <c r="T642" s="57"/>
      <c r="U642" s="57"/>
      <c r="V642" s="285"/>
      <c r="W642" s="36"/>
      <c r="X642" s="48"/>
    </row>
    <row r="643" spans="2:24" x14ac:dyDescent="0.25">
      <c r="B643" s="405"/>
      <c r="C643" s="90">
        <v>2</v>
      </c>
      <c r="D643" s="206" t="s">
        <v>163</v>
      </c>
      <c r="H643" s="201" t="str">
        <f>CONCATENATE(L643,"-",C643,"-",LEFT(D643,3),LEFT(I643,3),"-",LEFT(J643,6),"-",1)</f>
        <v>HLP-2-FILBES-3 DRAW-1</v>
      </c>
      <c r="I643" s="200" t="s">
        <v>162</v>
      </c>
      <c r="J643" s="192" t="s">
        <v>164</v>
      </c>
      <c r="K643" s="191" t="s">
        <v>386</v>
      </c>
      <c r="L643" s="193" t="s">
        <v>209</v>
      </c>
      <c r="M643" s="389">
        <f>'[2]Total Item Gudang HLP'!$F$45</f>
        <v>2</v>
      </c>
      <c r="N643" s="265"/>
      <c r="O643" s="284"/>
      <c r="P643" s="41"/>
      <c r="Q643" s="284"/>
      <c r="R643" s="105"/>
      <c r="S643" s="57"/>
      <c r="T643" s="57"/>
      <c r="U643" s="57"/>
      <c r="V643" s="285"/>
      <c r="W643" s="36"/>
      <c r="X643" s="48"/>
    </row>
    <row r="644" spans="2:24" x14ac:dyDescent="0.25">
      <c r="B644" s="405"/>
      <c r="C644" s="90">
        <v>2</v>
      </c>
      <c r="D644" s="206" t="s">
        <v>163</v>
      </c>
      <c r="H644" s="201" t="str">
        <f>CONCATENATE(L644,"-",C644,"-",LEFT(D644,3),LEFT(I644,3),"-",LEFT(J644,6),"-",2)</f>
        <v>HLP-2-FILBES-3 DRAW-2</v>
      </c>
      <c r="I644" s="200" t="s">
        <v>162</v>
      </c>
      <c r="J644" s="192" t="s">
        <v>164</v>
      </c>
      <c r="K644" s="191" t="s">
        <v>239</v>
      </c>
      <c r="L644" s="193" t="s">
        <v>209</v>
      </c>
      <c r="M644" s="388"/>
      <c r="N644" s="265"/>
      <c r="O644" s="284"/>
      <c r="P644" s="41"/>
      <c r="Q644" s="284"/>
      <c r="R644" s="105"/>
      <c r="S644" s="57"/>
      <c r="T644" s="57"/>
      <c r="U644" s="57"/>
      <c r="V644" s="285"/>
      <c r="W644" s="36"/>
      <c r="X644" s="48"/>
    </row>
    <row r="645" spans="2:24" x14ac:dyDescent="0.25">
      <c r="B645" s="405"/>
      <c r="C645" s="90">
        <v>2</v>
      </c>
      <c r="D645" s="206" t="s">
        <v>163</v>
      </c>
      <c r="H645" s="201" t="str">
        <f>CONCATENATE(L645,"-",C645,"-",LEFT(D645,3),LEFT(I645,3),"-",LEFT(J645,6),"-",1)</f>
        <v>HLP-2-FILBES-4 DRAW-1</v>
      </c>
      <c r="I645" s="200" t="s">
        <v>162</v>
      </c>
      <c r="J645" s="192" t="s">
        <v>165</v>
      </c>
      <c r="K645" s="191" t="s">
        <v>239</v>
      </c>
      <c r="L645" s="193" t="s">
        <v>209</v>
      </c>
      <c r="M645" s="389">
        <f>'[2]Total Item Gudang HLP'!$F$46</f>
        <v>2</v>
      </c>
      <c r="N645" s="265"/>
      <c r="O645" s="284"/>
      <c r="P645" s="41"/>
      <c r="Q645" s="284"/>
      <c r="R645" s="105"/>
      <c r="S645" s="57"/>
      <c r="T645" s="57"/>
      <c r="U645" s="57"/>
      <c r="V645" s="285"/>
      <c r="W645" s="36"/>
      <c r="X645" s="48"/>
    </row>
    <row r="646" spans="2:24" x14ac:dyDescent="0.25">
      <c r="B646" s="405"/>
      <c r="C646" s="90">
        <v>2</v>
      </c>
      <c r="D646" s="206" t="s">
        <v>163</v>
      </c>
      <c r="H646" s="201" t="str">
        <f>CONCATENATE(L646,"-",C646,"-",LEFT(D646,3),LEFT(I646,3),"-",LEFT(J646,6),"-",2)</f>
        <v>HLP-2-FILBES-4 DRAW-2</v>
      </c>
      <c r="I646" s="200" t="s">
        <v>162</v>
      </c>
      <c r="J646" s="192" t="s">
        <v>165</v>
      </c>
      <c r="K646" s="191" t="s">
        <v>239</v>
      </c>
      <c r="L646" s="193" t="s">
        <v>209</v>
      </c>
      <c r="M646" s="388"/>
      <c r="N646" s="265"/>
      <c r="O646" s="284"/>
      <c r="P646" s="41"/>
      <c r="Q646" s="284"/>
      <c r="R646" s="105"/>
      <c r="S646" s="57"/>
      <c r="T646" s="57"/>
      <c r="U646" s="57"/>
      <c r="V646" s="285"/>
      <c r="W646" s="36"/>
      <c r="X646" s="48"/>
    </row>
    <row r="647" spans="2:24" x14ac:dyDescent="0.25">
      <c r="B647" s="405"/>
      <c r="C647" s="90">
        <v>2</v>
      </c>
      <c r="D647" s="206" t="s">
        <v>163</v>
      </c>
      <c r="H647" s="201" t="str">
        <f>CONCATENATE(L647,"-",C647,"-",LEFT(D647,3),LEFT(I647,3),"-",LEFT(J647,6))</f>
        <v>HLP-2-FILKAY-2 DRAW</v>
      </c>
      <c r="I647" s="200" t="s">
        <v>166</v>
      </c>
      <c r="J647" s="192" t="s">
        <v>161</v>
      </c>
      <c r="K647" s="355" t="s">
        <v>359</v>
      </c>
      <c r="L647" s="193" t="s">
        <v>209</v>
      </c>
      <c r="M647" s="274">
        <v>0</v>
      </c>
      <c r="N647" s="265"/>
      <c r="O647" s="284"/>
      <c r="P647" s="41"/>
      <c r="Q647" s="284"/>
      <c r="R647" s="105"/>
      <c r="S647" s="57"/>
      <c r="T647" s="57"/>
      <c r="U647" s="57"/>
      <c r="V647" s="285"/>
      <c r="W647" s="36"/>
      <c r="X647" s="48"/>
    </row>
    <row r="648" spans="2:24" x14ac:dyDescent="0.25">
      <c r="B648" s="405"/>
      <c r="C648" s="90">
        <v>2</v>
      </c>
      <c r="D648" s="206" t="s">
        <v>163</v>
      </c>
      <c r="H648" s="201" t="str">
        <f>CONCATENATE(L648,"-",C648,"-",LEFT(D648,3),LEFT(I648,3),"-",LEFT(J648,6))</f>
        <v>HLP-2-FILKAY-3 DRAW</v>
      </c>
      <c r="I648" s="200" t="s">
        <v>166</v>
      </c>
      <c r="J648" s="192" t="s">
        <v>164</v>
      </c>
      <c r="K648" s="355" t="s">
        <v>359</v>
      </c>
      <c r="L648" s="193" t="s">
        <v>209</v>
      </c>
      <c r="M648" s="274">
        <f>'[2]Total Item Gudang HLP'!$F$47</f>
        <v>0</v>
      </c>
      <c r="N648" s="265"/>
      <c r="O648" s="284"/>
      <c r="P648" s="41"/>
      <c r="Q648" s="284"/>
      <c r="R648" s="105"/>
      <c r="S648" s="57"/>
      <c r="T648" s="57"/>
      <c r="U648" s="57"/>
      <c r="V648" s="285"/>
      <c r="W648" s="36"/>
      <c r="X648" s="48"/>
    </row>
    <row r="649" spans="2:24" x14ac:dyDescent="0.25">
      <c r="B649" s="405"/>
      <c r="C649" s="90">
        <v>2</v>
      </c>
      <c r="D649" s="206" t="s">
        <v>167</v>
      </c>
      <c r="H649" s="201" t="str">
        <f>CONCATENATE(L649,"-",C649,"-",LEFT(D649,3),LEFT(I649,3),"-",LEFT(J649,6),"-",1)</f>
        <v>HLP-2-FILKAY-4 DRAW-1</v>
      </c>
      <c r="I649" s="200" t="s">
        <v>166</v>
      </c>
      <c r="J649" s="192" t="s">
        <v>165</v>
      </c>
      <c r="K649" s="191" t="s">
        <v>386</v>
      </c>
      <c r="L649" s="193" t="s">
        <v>209</v>
      </c>
      <c r="M649" s="389">
        <f>'[2]Total Item Gudang HLP'!$F$48</f>
        <v>5</v>
      </c>
      <c r="N649" s="265"/>
      <c r="O649" s="284"/>
      <c r="P649" s="41"/>
      <c r="Q649" s="284"/>
      <c r="R649" s="105"/>
      <c r="S649" s="57"/>
      <c r="T649" s="57"/>
      <c r="U649" s="57"/>
      <c r="V649" s="285"/>
      <c r="W649" s="36"/>
      <c r="X649" s="48"/>
    </row>
    <row r="650" spans="2:24" x14ac:dyDescent="0.25">
      <c r="B650" s="405"/>
      <c r="C650" s="90">
        <v>2</v>
      </c>
      <c r="D650" s="206" t="s">
        <v>167</v>
      </c>
      <c r="H650" s="201" t="str">
        <f>CONCATENATE(L650,"-",C650,"-",LEFT(D650,3),LEFT(I650,3),"-",LEFT(J650,6),"-",2)</f>
        <v>HLP-2-FILKAY-4 DRAW-2</v>
      </c>
      <c r="I650" s="200" t="s">
        <v>166</v>
      </c>
      <c r="J650" s="192" t="s">
        <v>165</v>
      </c>
      <c r="K650" s="191" t="s">
        <v>390</v>
      </c>
      <c r="L650" s="193" t="s">
        <v>209</v>
      </c>
      <c r="M650" s="387"/>
      <c r="N650" s="265"/>
      <c r="O650" s="284"/>
      <c r="P650" s="41"/>
      <c r="Q650" s="284"/>
      <c r="R650" s="105"/>
      <c r="S650" s="57"/>
      <c r="T650" s="57"/>
      <c r="U650" s="57"/>
      <c r="V650" s="285"/>
      <c r="W650" s="36"/>
      <c r="X650" s="48"/>
    </row>
    <row r="651" spans="2:24" x14ac:dyDescent="0.25">
      <c r="B651" s="405"/>
      <c r="C651" s="90">
        <v>2</v>
      </c>
      <c r="D651" s="206" t="s">
        <v>167</v>
      </c>
      <c r="H651" s="201" t="str">
        <f>CONCATENATE(L651,"-",C651,"-",LEFT(D651,3),LEFT(I651,3),"-",LEFT(J651,6),"-",3)</f>
        <v>HLP-2-FILKAY-4 DRAW-3</v>
      </c>
      <c r="I651" s="200" t="s">
        <v>166</v>
      </c>
      <c r="J651" s="192" t="s">
        <v>165</v>
      </c>
      <c r="K651" s="191" t="s">
        <v>389</v>
      </c>
      <c r="L651" s="193" t="s">
        <v>209</v>
      </c>
      <c r="M651" s="387"/>
      <c r="N651" s="265"/>
      <c r="O651" s="284"/>
      <c r="P651" s="41"/>
      <c r="Q651" s="284"/>
      <c r="R651" s="105"/>
      <c r="S651" s="57"/>
      <c r="T651" s="57"/>
      <c r="U651" s="57"/>
      <c r="V651" s="285"/>
      <c r="W651" s="36"/>
      <c r="X651" s="48"/>
    </row>
    <row r="652" spans="2:24" x14ac:dyDescent="0.25">
      <c r="B652" s="405"/>
      <c r="C652" s="90">
        <v>2</v>
      </c>
      <c r="D652" s="206" t="s">
        <v>167</v>
      </c>
      <c r="H652" s="201" t="str">
        <f>CONCATENATE(L652,"-",C652,"-",LEFT(D652,3),LEFT(I652,3),"-",LEFT(J652,6),"-",4)</f>
        <v>HLP-2-FILKAY-4 DRAW-4</v>
      </c>
      <c r="I652" s="200" t="s">
        <v>166</v>
      </c>
      <c r="J652" s="192" t="s">
        <v>165</v>
      </c>
      <c r="K652" s="191" t="s">
        <v>389</v>
      </c>
      <c r="L652" s="193" t="s">
        <v>209</v>
      </c>
      <c r="M652" s="387"/>
      <c r="N652" s="265"/>
      <c r="O652" s="284"/>
      <c r="P652" s="41"/>
      <c r="Q652" s="284"/>
      <c r="R652" s="105"/>
      <c r="S652" s="57"/>
      <c r="T652" s="57"/>
      <c r="U652" s="57"/>
      <c r="V652" s="285"/>
      <c r="W652" s="36"/>
      <c r="X652" s="48"/>
    </row>
    <row r="653" spans="2:24" x14ac:dyDescent="0.25">
      <c r="B653" s="405"/>
      <c r="C653" s="90">
        <v>2</v>
      </c>
      <c r="D653" s="206" t="s">
        <v>167</v>
      </c>
      <c r="H653" s="201" t="str">
        <f>CONCATENATE(L653,"-",C653,"-",LEFT(D653,3),LEFT(I653,3),"-",LEFT(J653,6),"-",5)</f>
        <v>HLP-2-FILKAY-4 DRAW-5</v>
      </c>
      <c r="I653" s="200" t="s">
        <v>166</v>
      </c>
      <c r="J653" s="192" t="s">
        <v>165</v>
      </c>
      <c r="K653" s="191" t="s">
        <v>389</v>
      </c>
      <c r="L653" s="193" t="s">
        <v>209</v>
      </c>
      <c r="M653" s="388"/>
      <c r="N653" s="265"/>
      <c r="O653" s="284"/>
      <c r="P653" s="41"/>
      <c r="Q653" s="284"/>
      <c r="R653" s="105"/>
      <c r="S653" s="57"/>
      <c r="T653" s="57"/>
      <c r="U653" s="57"/>
      <c r="V653" s="285"/>
      <c r="W653" s="36"/>
      <c r="X653" s="48"/>
    </row>
    <row r="654" spans="2:24" x14ac:dyDescent="0.25">
      <c r="B654" s="405"/>
      <c r="C654" s="90">
        <v>2</v>
      </c>
      <c r="D654" s="203" t="s">
        <v>168</v>
      </c>
      <c r="H654" s="201" t="str">
        <f>CONCATENATE(L654,"-",C654,"-",LEFT(D654,3),LEFT(I654,3),"-",LEFT(J654,6),"-",1)</f>
        <v>HLP-2-LEMBES-KACA-1</v>
      </c>
      <c r="I654" s="189" t="s">
        <v>162</v>
      </c>
      <c r="J654" s="191" t="s">
        <v>169</v>
      </c>
      <c r="K654" s="191" t="s">
        <v>390</v>
      </c>
      <c r="L654" s="193" t="s">
        <v>209</v>
      </c>
      <c r="M654" s="389">
        <f>'[2]Total Item Gudang HLP'!$F$50</f>
        <v>4</v>
      </c>
      <c r="N654" s="265"/>
      <c r="O654" s="284"/>
      <c r="P654" s="41"/>
      <c r="Q654" s="284"/>
      <c r="R654" s="105"/>
      <c r="S654" s="57"/>
      <c r="T654" s="57"/>
      <c r="U654" s="57"/>
      <c r="V654" s="285"/>
      <c r="W654" s="36"/>
      <c r="X654" s="48"/>
    </row>
    <row r="655" spans="2:24" x14ac:dyDescent="0.25">
      <c r="B655" s="405"/>
      <c r="C655" s="90">
        <v>2</v>
      </c>
      <c r="D655" s="203" t="s">
        <v>168</v>
      </c>
      <c r="H655" s="201" t="str">
        <f>CONCATENATE(L655,"-",C655,"-",LEFT(D655,3),LEFT(I655,3),"-",LEFT(J655,6),"-",2)</f>
        <v>HLP-2-LEMBES-KACA-2</v>
      </c>
      <c r="I655" s="189" t="s">
        <v>162</v>
      </c>
      <c r="J655" s="191" t="s">
        <v>169</v>
      </c>
      <c r="K655" s="191" t="s">
        <v>389</v>
      </c>
      <c r="L655" s="193" t="s">
        <v>209</v>
      </c>
      <c r="M655" s="387"/>
      <c r="N655" s="265"/>
      <c r="O655" s="284"/>
      <c r="P655" s="41"/>
      <c r="Q655" s="284"/>
      <c r="R655" s="105"/>
      <c r="S655" s="57"/>
      <c r="T655" s="57"/>
      <c r="U655" s="57"/>
      <c r="V655" s="285"/>
      <c r="W655" s="36"/>
      <c r="X655" s="48"/>
    </row>
    <row r="656" spans="2:24" x14ac:dyDescent="0.25">
      <c r="B656" s="405"/>
      <c r="C656" s="90">
        <v>2</v>
      </c>
      <c r="D656" s="203" t="s">
        <v>168</v>
      </c>
      <c r="H656" s="201" t="str">
        <f>CONCATENATE(L656,"-",C656,"-",LEFT(D656,3),LEFT(I656,3),"-",LEFT(J656,6),"-",3)</f>
        <v>HLP-2-LEMBES-KACA-3</v>
      </c>
      <c r="I656" s="189" t="s">
        <v>162</v>
      </c>
      <c r="J656" s="191" t="s">
        <v>169</v>
      </c>
      <c r="K656" s="191" t="s">
        <v>384</v>
      </c>
      <c r="L656" s="193" t="s">
        <v>209</v>
      </c>
      <c r="M656" s="387"/>
      <c r="N656" s="265"/>
      <c r="O656" s="284"/>
      <c r="P656" s="41"/>
      <c r="Q656" s="284"/>
      <c r="R656" s="105"/>
      <c r="S656" s="57"/>
      <c r="T656" s="57"/>
      <c r="U656" s="57"/>
      <c r="V656" s="285"/>
      <c r="W656" s="36"/>
      <c r="X656" s="48"/>
    </row>
    <row r="657" spans="2:24" x14ac:dyDescent="0.25">
      <c r="B657" s="405"/>
      <c r="C657" s="90">
        <v>2</v>
      </c>
      <c r="D657" s="203" t="s">
        <v>168</v>
      </c>
      <c r="H657" s="201" t="str">
        <f>CONCATENATE(L657,"-",C657,"-",LEFT(D657,3),LEFT(I657,3),"-",LEFT(J657,6),"-",4)</f>
        <v>HLP-2-LEMBES-KACA-4</v>
      </c>
      <c r="I657" s="189" t="s">
        <v>162</v>
      </c>
      <c r="J657" s="191" t="s">
        <v>169</v>
      </c>
      <c r="K657" s="191" t="s">
        <v>382</v>
      </c>
      <c r="L657" s="193" t="s">
        <v>209</v>
      </c>
      <c r="M657" s="388"/>
      <c r="N657" s="265"/>
      <c r="O657" s="284"/>
      <c r="P657" s="41"/>
      <c r="Q657" s="284"/>
      <c r="R657" s="105"/>
      <c r="S657" s="57"/>
      <c r="T657" s="57"/>
      <c r="U657" s="57"/>
      <c r="V657" s="285"/>
      <c r="W657" s="36"/>
      <c r="X657" s="48"/>
    </row>
    <row r="658" spans="2:24" x14ac:dyDescent="0.25">
      <c r="B658" s="405"/>
      <c r="C658" s="90">
        <v>2</v>
      </c>
      <c r="D658" s="203" t="s">
        <v>168</v>
      </c>
      <c r="H658" s="201" t="str">
        <f>CONCATENATE(L658,"-",C658,"-",LEFT(D658,3),LEFT(I658,3),"-",LEFT(J658,6),"-",1)</f>
        <v>HLP-2-LEMBES-BESI-1</v>
      </c>
      <c r="I658" s="189" t="s">
        <v>162</v>
      </c>
      <c r="J658" s="191" t="s">
        <v>162</v>
      </c>
      <c r="K658" s="198" t="s">
        <v>389</v>
      </c>
      <c r="L658" s="193" t="s">
        <v>209</v>
      </c>
      <c r="M658" s="389">
        <f>'[2]Total Item Gudang HLP'!$F$51</f>
        <v>3</v>
      </c>
      <c r="N658" s="265"/>
      <c r="O658" s="284"/>
      <c r="P658" s="41"/>
      <c r="Q658" s="284"/>
      <c r="R658" s="105"/>
      <c r="S658" s="57"/>
      <c r="T658" s="57"/>
      <c r="U658" s="57"/>
      <c r="V658" s="285"/>
      <c r="W658" s="36"/>
      <c r="X658" s="48"/>
    </row>
    <row r="659" spans="2:24" x14ac:dyDescent="0.25">
      <c r="B659" s="405"/>
      <c r="C659" s="90">
        <v>2</v>
      </c>
      <c r="D659" s="203" t="s">
        <v>168</v>
      </c>
      <c r="H659" s="201" t="str">
        <f>CONCATENATE(L659,"-",C659,"-",LEFT(D659,3),LEFT(I659,3),"-",LEFT(J659,6),"-",2)</f>
        <v>HLP-2-LEMBES-BESI-2</v>
      </c>
      <c r="I659" s="189" t="s">
        <v>162</v>
      </c>
      <c r="J659" s="191" t="s">
        <v>162</v>
      </c>
      <c r="K659" s="198" t="s">
        <v>389</v>
      </c>
      <c r="L659" s="193" t="s">
        <v>209</v>
      </c>
      <c r="M659" s="387"/>
      <c r="N659" s="265"/>
      <c r="O659" s="284"/>
      <c r="P659" s="41"/>
      <c r="Q659" s="284"/>
      <c r="R659" s="105"/>
      <c r="S659" s="57"/>
      <c r="T659" s="57"/>
      <c r="U659" s="57"/>
      <c r="V659" s="285"/>
      <c r="W659" s="36"/>
      <c r="X659" s="48"/>
    </row>
    <row r="660" spans="2:24" x14ac:dyDescent="0.25">
      <c r="B660" s="405"/>
      <c r="C660" s="90">
        <v>2</v>
      </c>
      <c r="D660" s="203" t="s">
        <v>168</v>
      </c>
      <c r="H660" s="201" t="str">
        <f>CONCATENATE(L660,"-",C660,"-",LEFT(D660,3),LEFT(I660,3),"-",LEFT(J660,6),"-",3)</f>
        <v>HLP-2-LEMBES-BESI-3</v>
      </c>
      <c r="I660" s="189" t="s">
        <v>162</v>
      </c>
      <c r="J660" s="191" t="s">
        <v>162</v>
      </c>
      <c r="K660" s="198" t="s">
        <v>389</v>
      </c>
      <c r="L660" s="193" t="s">
        <v>209</v>
      </c>
      <c r="M660" s="388"/>
      <c r="N660" s="265"/>
      <c r="O660" s="284"/>
      <c r="P660" s="41"/>
      <c r="Q660" s="284"/>
      <c r="R660" s="105"/>
      <c r="S660" s="57"/>
      <c r="T660" s="57"/>
      <c r="U660" s="57"/>
      <c r="V660" s="285"/>
      <c r="W660" s="36"/>
      <c r="X660" s="48"/>
    </row>
    <row r="661" spans="2:24" x14ac:dyDescent="0.25">
      <c r="B661" s="405"/>
      <c r="C661" s="90">
        <v>2</v>
      </c>
      <c r="D661" s="203" t="s">
        <v>168</v>
      </c>
      <c r="H661" s="201" t="str">
        <f>CONCATENATE(L661,"-",C661,"-",LEFT(D661,3),LEFT(I661,3),"-",LEFT(J661,6))</f>
        <v>HLP-2-LEM-SUSUN</v>
      </c>
      <c r="I661" s="189"/>
      <c r="J661" s="191" t="s">
        <v>291</v>
      </c>
      <c r="K661" s="353" t="s">
        <v>359</v>
      </c>
      <c r="L661" s="193" t="s">
        <v>209</v>
      </c>
      <c r="M661" s="274">
        <v>0</v>
      </c>
      <c r="N661" s="265"/>
      <c r="O661" s="284"/>
      <c r="P661" s="41"/>
      <c r="Q661" s="284"/>
      <c r="R661" s="105"/>
      <c r="S661" s="57"/>
      <c r="T661" s="57"/>
      <c r="U661" s="57"/>
      <c r="V661" s="285"/>
      <c r="W661" s="36"/>
      <c r="X661" s="48"/>
    </row>
    <row r="662" spans="2:24" x14ac:dyDescent="0.25">
      <c r="B662" s="405"/>
      <c r="C662" s="90">
        <v>2</v>
      </c>
      <c r="D662" s="203" t="s">
        <v>168</v>
      </c>
      <c r="H662" s="201" t="str">
        <f>CONCATENATE(L662,"-",C662,"-",LEFT(D662,3),LEFT(I662,3),"-",LEFT(J662,6))</f>
        <v>HLP-2-LEM-PANTRY</v>
      </c>
      <c r="I662" s="189"/>
      <c r="J662" s="191" t="s">
        <v>292</v>
      </c>
      <c r="K662" s="353" t="s">
        <v>359</v>
      </c>
      <c r="L662" s="193" t="s">
        <v>209</v>
      </c>
      <c r="M662" s="274">
        <v>0</v>
      </c>
      <c r="N662" s="265"/>
      <c r="O662" s="284"/>
      <c r="P662" s="41"/>
      <c r="Q662" s="284"/>
      <c r="R662" s="105"/>
      <c r="S662" s="57"/>
      <c r="T662" s="57"/>
      <c r="U662" s="57"/>
      <c r="V662" s="285"/>
      <c r="W662" s="36"/>
      <c r="X662" s="48"/>
    </row>
    <row r="663" spans="2:24" x14ac:dyDescent="0.25">
      <c r="B663" s="405"/>
      <c r="C663" s="90">
        <v>2</v>
      </c>
      <c r="D663" s="203" t="s">
        <v>168</v>
      </c>
      <c r="H663" s="201" t="str">
        <f>CONCATENATE(L663,"-",C663,"-",LEFT(D663,3),LEFT(I663,3),"-",LEFT(J663,6))</f>
        <v>HLP-2-LEM-LACI</v>
      </c>
      <c r="I663" s="189"/>
      <c r="J663" s="191" t="s">
        <v>293</v>
      </c>
      <c r="K663" s="353" t="s">
        <v>359</v>
      </c>
      <c r="L663" s="193" t="s">
        <v>209</v>
      </c>
      <c r="M663" s="274">
        <v>0</v>
      </c>
      <c r="N663" s="265"/>
      <c r="O663" s="284"/>
      <c r="P663" s="41"/>
      <c r="Q663" s="284"/>
      <c r="R663" s="105"/>
      <c r="S663" s="57"/>
      <c r="T663" s="57"/>
      <c r="U663" s="57"/>
      <c r="V663" s="285"/>
      <c r="W663" s="36"/>
      <c r="X663" s="48"/>
    </row>
    <row r="664" spans="2:24" x14ac:dyDescent="0.25">
      <c r="B664" s="405"/>
      <c r="C664" s="90">
        <v>2</v>
      </c>
      <c r="D664" s="203" t="s">
        <v>170</v>
      </c>
      <c r="H664" s="201" t="str">
        <f>CONCATENATE(L664,"-",C664,"-",LEFT(D664,3),LEFT(I664,3),"-",LEFT(J664,6),"-",1)</f>
        <v>HLP-2-RAKAMB-5 STAC-1</v>
      </c>
      <c r="I664" s="194" t="s">
        <v>171</v>
      </c>
      <c r="J664" s="195" t="s">
        <v>222</v>
      </c>
      <c r="K664" s="197" t="s">
        <v>386</v>
      </c>
      <c r="L664" s="193" t="s">
        <v>209</v>
      </c>
      <c r="M664" s="389">
        <f>'[2]Total Item Gudang HLP'!$F$49</f>
        <v>6</v>
      </c>
      <c r="N664" s="265"/>
      <c r="O664" s="284"/>
      <c r="P664" s="41"/>
      <c r="Q664" s="284"/>
      <c r="R664" s="105"/>
      <c r="S664" s="57"/>
      <c r="T664" s="57"/>
      <c r="U664" s="57"/>
      <c r="V664" s="285"/>
      <c r="W664" s="36"/>
      <c r="X664" s="48"/>
    </row>
    <row r="665" spans="2:24" x14ac:dyDescent="0.25">
      <c r="B665" s="405"/>
      <c r="C665" s="90">
        <v>2</v>
      </c>
      <c r="D665" s="203" t="s">
        <v>170</v>
      </c>
      <c r="H665" s="201" t="str">
        <f>CONCATENATE(L665,"-",C665,"-",LEFT(D665,3),LEFT(I665,3),"-",LEFT(J665,6),"-",2)</f>
        <v>HLP-2-RAKAMB-5 STAC-2</v>
      </c>
      <c r="I665" s="194" t="s">
        <v>171</v>
      </c>
      <c r="J665" s="195" t="s">
        <v>222</v>
      </c>
      <c r="K665" s="197" t="s">
        <v>386</v>
      </c>
      <c r="L665" s="193" t="s">
        <v>209</v>
      </c>
      <c r="M665" s="387"/>
      <c r="N665" s="265"/>
      <c r="O665" s="284"/>
      <c r="P665" s="41"/>
      <c r="Q665" s="284"/>
      <c r="R665" s="105"/>
      <c r="S665" s="57"/>
      <c r="T665" s="57"/>
      <c r="U665" s="57"/>
      <c r="V665" s="285"/>
      <c r="W665" s="36"/>
      <c r="X665" s="48"/>
    </row>
    <row r="666" spans="2:24" x14ac:dyDescent="0.25">
      <c r="B666" s="405"/>
      <c r="C666" s="90">
        <v>2</v>
      </c>
      <c r="D666" s="203" t="s">
        <v>170</v>
      </c>
      <c r="H666" s="201" t="str">
        <f>CONCATENATE(L666,"-",C666,"-",LEFT(D666,3),LEFT(I666,3),"-",LEFT(J666,6),"-",3)</f>
        <v>HLP-2-RAKAMB-5 STAC-3</v>
      </c>
      <c r="I666" s="194" t="s">
        <v>171</v>
      </c>
      <c r="J666" s="195" t="s">
        <v>222</v>
      </c>
      <c r="K666" s="197" t="s">
        <v>394</v>
      </c>
      <c r="L666" s="193" t="s">
        <v>209</v>
      </c>
      <c r="M666" s="387"/>
      <c r="N666" s="265"/>
      <c r="O666" s="284"/>
      <c r="P666" s="41"/>
      <c r="Q666" s="284"/>
      <c r="R666" s="105"/>
      <c r="S666" s="57"/>
      <c r="T666" s="57"/>
      <c r="U666" s="57"/>
      <c r="V666" s="285"/>
      <c r="W666" s="36"/>
      <c r="X666" s="48"/>
    </row>
    <row r="667" spans="2:24" x14ac:dyDescent="0.25">
      <c r="B667" s="405"/>
      <c r="C667" s="90">
        <v>2</v>
      </c>
      <c r="D667" s="203" t="s">
        <v>170</v>
      </c>
      <c r="H667" s="201" t="str">
        <f>CONCATENATE(L667,"-",C667,"-",LEFT(D667,3),LEFT(I667,3),"-",LEFT(J667,6),"-",4)</f>
        <v>HLP-2-RAKAMB-5 STAC-4</v>
      </c>
      <c r="I667" s="194" t="s">
        <v>171</v>
      </c>
      <c r="J667" s="195" t="s">
        <v>222</v>
      </c>
      <c r="K667" s="197" t="s">
        <v>391</v>
      </c>
      <c r="L667" s="193" t="s">
        <v>209</v>
      </c>
      <c r="M667" s="387"/>
      <c r="N667" s="265"/>
      <c r="O667" s="284"/>
      <c r="P667" s="41"/>
      <c r="Q667" s="284"/>
      <c r="R667" s="105"/>
      <c r="S667" s="57"/>
      <c r="T667" s="57"/>
      <c r="U667" s="57"/>
      <c r="V667" s="285"/>
      <c r="W667" s="36"/>
      <c r="X667" s="48"/>
    </row>
    <row r="668" spans="2:24" x14ac:dyDescent="0.25">
      <c r="B668" s="405"/>
      <c r="C668" s="90">
        <v>2</v>
      </c>
      <c r="D668" s="203" t="s">
        <v>170</v>
      </c>
      <c r="H668" s="201" t="str">
        <f>CONCATENATE(L668,"-",C668,"-",LEFT(D668,3),LEFT(I668,3),"-",LEFT(J668,6),"-",5)</f>
        <v>HLP-2-RAKAMB-5 STAC-5</v>
      </c>
      <c r="I668" s="194" t="s">
        <v>171</v>
      </c>
      <c r="J668" s="195" t="s">
        <v>222</v>
      </c>
      <c r="K668" s="197" t="s">
        <v>239</v>
      </c>
      <c r="L668" s="193" t="s">
        <v>209</v>
      </c>
      <c r="M668" s="387"/>
      <c r="N668" s="265"/>
      <c r="O668" s="284"/>
      <c r="P668" s="41"/>
      <c r="Q668" s="284"/>
      <c r="R668" s="105"/>
      <c r="S668" s="57"/>
      <c r="T668" s="57"/>
      <c r="U668" s="57"/>
      <c r="V668" s="285"/>
      <c r="W668" s="36"/>
      <c r="X668" s="48"/>
    </row>
    <row r="669" spans="2:24" x14ac:dyDescent="0.25">
      <c r="B669" s="405"/>
      <c r="C669" s="90">
        <v>2</v>
      </c>
      <c r="D669" s="203" t="s">
        <v>170</v>
      </c>
      <c r="H669" s="201" t="str">
        <f>CONCATENATE(L669,"-",C669,"-",LEFT(D669,3),LEFT(I669,3),"-",LEFT(J669,6),"-",6)</f>
        <v>HLP-2-RAKAMB-5 STAC-6</v>
      </c>
      <c r="I669" s="194" t="s">
        <v>171</v>
      </c>
      <c r="J669" s="195" t="s">
        <v>222</v>
      </c>
      <c r="K669" s="197" t="s">
        <v>384</v>
      </c>
      <c r="L669" s="193" t="s">
        <v>209</v>
      </c>
      <c r="M669" s="388"/>
      <c r="N669" s="265"/>
      <c r="O669" s="284"/>
      <c r="P669" s="41"/>
      <c r="Q669" s="284"/>
      <c r="R669" s="105"/>
      <c r="S669" s="57"/>
      <c r="T669" s="57"/>
      <c r="U669" s="57"/>
      <c r="V669" s="285"/>
      <c r="W669" s="36"/>
      <c r="X669" s="48"/>
    </row>
    <row r="670" spans="2:24" x14ac:dyDescent="0.25">
      <c r="B670" s="405"/>
      <c r="C670" s="90">
        <v>2</v>
      </c>
      <c r="D670" s="203" t="s">
        <v>170</v>
      </c>
      <c r="H670" s="201" t="str">
        <f>CONCATENATE(L670,"-",C670,"-",LEFT(D670,3),LEFT(I670,3),"-",LEFT(J670,6))</f>
        <v>HLP-2-RAKMIK-6 STAC</v>
      </c>
      <c r="I670" s="194" t="s">
        <v>172</v>
      </c>
      <c r="J670" s="195" t="s">
        <v>223</v>
      </c>
      <c r="K670" s="197" t="s">
        <v>390</v>
      </c>
      <c r="L670" s="193" t="s">
        <v>209</v>
      </c>
      <c r="M670" s="274">
        <v>1</v>
      </c>
      <c r="N670" s="265"/>
      <c r="O670" s="284"/>
      <c r="P670" s="41"/>
      <c r="Q670" s="284"/>
      <c r="R670" s="105"/>
      <c r="S670" s="57"/>
      <c r="T670" s="57"/>
      <c r="U670" s="57"/>
      <c r="V670" s="285"/>
      <c r="W670" s="36"/>
      <c r="X670" s="48"/>
    </row>
    <row r="671" spans="2:24" x14ac:dyDescent="0.25">
      <c r="B671" s="405"/>
      <c r="C671" s="90">
        <v>2</v>
      </c>
      <c r="D671" s="203" t="s">
        <v>170</v>
      </c>
      <c r="H671" s="201" t="str">
        <f>CONCATENATE(L671,"-",C671,"-",LEFT(D671,3),LEFT(I671,3),"-",LEFT(J671,3))</f>
        <v>HLP-2-RAKRAK-DOK</v>
      </c>
      <c r="I671" s="194" t="s">
        <v>170</v>
      </c>
      <c r="J671" s="195" t="s">
        <v>311</v>
      </c>
      <c r="K671" s="354" t="s">
        <v>359</v>
      </c>
      <c r="L671" s="193" t="s">
        <v>209</v>
      </c>
      <c r="M671" s="274">
        <v>0</v>
      </c>
      <c r="N671" s="265"/>
      <c r="O671" s="284"/>
      <c r="P671" s="41"/>
      <c r="Q671" s="284"/>
      <c r="R671" s="105"/>
      <c r="S671" s="57"/>
      <c r="T671" s="57"/>
      <c r="U671" s="57"/>
      <c r="V671" s="285"/>
      <c r="W671" s="36"/>
      <c r="X671" s="48"/>
    </row>
    <row r="672" spans="2:24" x14ac:dyDescent="0.25">
      <c r="B672" s="405"/>
      <c r="C672" s="90">
        <v>2</v>
      </c>
      <c r="D672" s="203" t="s">
        <v>309</v>
      </c>
      <c r="H672" s="201" t="str">
        <f>CONCATENATE(L672,"-",C672,"-",LEFT(D672,3),LEFT(I672,3),"-",LEFT(J672,6))</f>
        <v>HLP-2-BRAKRI-BLACK</v>
      </c>
      <c r="I672" s="194" t="s">
        <v>144</v>
      </c>
      <c r="J672" s="195" t="s">
        <v>310</v>
      </c>
      <c r="K672" s="354" t="s">
        <v>359</v>
      </c>
      <c r="L672" s="193" t="s">
        <v>209</v>
      </c>
      <c r="M672" s="274">
        <v>0</v>
      </c>
      <c r="N672" s="265"/>
      <c r="O672" s="284"/>
      <c r="P672" s="41"/>
      <c r="Q672" s="284"/>
      <c r="R672" s="105"/>
      <c r="S672" s="57"/>
      <c r="T672" s="57"/>
      <c r="U672" s="57"/>
      <c r="V672" s="285"/>
      <c r="W672" s="36"/>
      <c r="X672" s="48"/>
    </row>
    <row r="673" spans="2:24" x14ac:dyDescent="0.25">
      <c r="B673" s="406"/>
      <c r="C673" s="90">
        <v>2</v>
      </c>
      <c r="D673" s="203" t="s">
        <v>294</v>
      </c>
      <c r="H673" s="201" t="str">
        <f>CONCATENATE(L673,"-",C673,"-",LEFT(D673,3),LEFT(I673,3),"-",LEFT(J673,6))</f>
        <v>HLP-2-BUFTV -KAYU</v>
      </c>
      <c r="I673" s="194" t="s">
        <v>173</v>
      </c>
      <c r="J673" s="195" t="s">
        <v>166</v>
      </c>
      <c r="K673" s="197" t="s">
        <v>399</v>
      </c>
      <c r="L673" s="193" t="s">
        <v>209</v>
      </c>
      <c r="M673" s="274">
        <f>'[2]Total Item Gudang HLP'!$F$67</f>
        <v>1</v>
      </c>
      <c r="N673" s="265"/>
      <c r="O673" s="284"/>
      <c r="P673" s="41"/>
      <c r="Q673" s="284"/>
      <c r="R673" s="105"/>
      <c r="S673" s="57"/>
      <c r="T673" s="57"/>
      <c r="U673" s="57"/>
      <c r="V673" s="285"/>
      <c r="W673" s="36"/>
      <c r="X673" s="48"/>
    </row>
    <row r="674" spans="2:24" x14ac:dyDescent="0.25">
      <c r="B674" s="405">
        <v>3</v>
      </c>
      <c r="C674" s="90">
        <v>3</v>
      </c>
      <c r="D674" s="204" t="s">
        <v>179</v>
      </c>
      <c r="H674" s="201" t="str">
        <f>CONCATENATE(L674,"-",C674,"-",LEFT(D674,3),LEFT(I674,3),"-",LEFT(J674,6))</f>
        <v>HLP-3-CONKRI-3 DRAW</v>
      </c>
      <c r="I674" s="194" t="s">
        <v>187</v>
      </c>
      <c r="J674" s="195" t="s">
        <v>164</v>
      </c>
      <c r="K674" s="197" t="s">
        <v>390</v>
      </c>
      <c r="L674" s="193" t="s">
        <v>209</v>
      </c>
      <c r="M674" s="274">
        <f>'[2]Total Item Gudang HLP'!$F$52</f>
        <v>1</v>
      </c>
      <c r="N674" s="265"/>
      <c r="O674" s="284"/>
      <c r="P674" s="41"/>
      <c r="Q674" s="284"/>
      <c r="R674" s="105"/>
      <c r="S674" s="57"/>
      <c r="T674" s="57"/>
      <c r="U674" s="57"/>
      <c r="V674" s="285"/>
      <c r="W674" s="36"/>
      <c r="X674" s="48"/>
    </row>
    <row r="675" spans="2:24" x14ac:dyDescent="0.25">
      <c r="B675" s="405"/>
      <c r="C675" s="89">
        <v>3</v>
      </c>
      <c r="D675" s="203" t="s">
        <v>180</v>
      </c>
      <c r="H675" s="201" t="str">
        <f>CONCATENATE(L675,"-",C675,"-",LEFT(D675,3),LEFT(I675,3),"-",LEFT(J675,6),"-",1)</f>
        <v>HLP-3-WHI-BIG-1</v>
      </c>
      <c r="I675" s="194"/>
      <c r="J675" s="195" t="s">
        <v>218</v>
      </c>
      <c r="K675" s="197" t="s">
        <v>354</v>
      </c>
      <c r="L675" s="193" t="s">
        <v>209</v>
      </c>
      <c r="M675" s="389">
        <v>3</v>
      </c>
      <c r="N675" s="265"/>
      <c r="O675" s="284"/>
      <c r="P675" s="41"/>
      <c r="Q675" s="284"/>
      <c r="R675" s="105"/>
      <c r="S675" s="57"/>
      <c r="T675" s="57"/>
      <c r="U675" s="57"/>
      <c r="V675" s="285"/>
      <c r="W675" s="36"/>
      <c r="X675" s="48"/>
    </row>
    <row r="676" spans="2:24" x14ac:dyDescent="0.25">
      <c r="B676" s="405"/>
      <c r="C676" s="89">
        <v>3</v>
      </c>
      <c r="D676" s="203" t="s">
        <v>180</v>
      </c>
      <c r="H676" s="201" t="str">
        <f>CONCATENATE(L676,"-",C676,"-",LEFT(D676,3),LEFT(I676,3),"-",LEFT(J676,6),"-",2)</f>
        <v>HLP-3-WHI-BIG-2</v>
      </c>
      <c r="I676" s="194"/>
      <c r="J676" s="195" t="s">
        <v>218</v>
      </c>
      <c r="K676" s="197" t="s">
        <v>394</v>
      </c>
      <c r="L676" s="193" t="s">
        <v>209</v>
      </c>
      <c r="M676" s="387"/>
      <c r="N676" s="265"/>
      <c r="O676" s="284"/>
      <c r="P676" s="41"/>
      <c r="Q676" s="284"/>
      <c r="R676" s="105"/>
      <c r="S676" s="57"/>
      <c r="T676" s="57"/>
      <c r="U676" s="57"/>
      <c r="V676" s="285"/>
      <c r="W676" s="36"/>
      <c r="X676" s="48"/>
    </row>
    <row r="677" spans="2:24" x14ac:dyDescent="0.25">
      <c r="B677" s="405"/>
      <c r="C677" s="89">
        <v>3</v>
      </c>
      <c r="D677" s="203" t="s">
        <v>180</v>
      </c>
      <c r="H677" s="201" t="str">
        <f>CONCATENATE(L677,"-",C677,"-",LEFT(D677,3),LEFT(I677,3),"-",LEFT(J677,6),"-",3)</f>
        <v>HLP-3-WHI-BIG-3</v>
      </c>
      <c r="I677" s="194"/>
      <c r="J677" s="195" t="s">
        <v>218</v>
      </c>
      <c r="K677" s="197" t="s">
        <v>387</v>
      </c>
      <c r="L677" s="193" t="s">
        <v>209</v>
      </c>
      <c r="M677" s="388"/>
      <c r="N677" s="265"/>
      <c r="O677" s="284"/>
      <c r="P677" s="41"/>
      <c r="Q677" s="284"/>
      <c r="R677" s="105"/>
      <c r="S677" s="57"/>
      <c r="T677" s="57"/>
      <c r="U677" s="57"/>
      <c r="V677" s="285"/>
      <c r="W677" s="36"/>
      <c r="X677" s="48"/>
    </row>
    <row r="678" spans="2:24" x14ac:dyDescent="0.25">
      <c r="B678" s="405"/>
      <c r="C678" s="89">
        <v>3</v>
      </c>
      <c r="D678" s="203" t="s">
        <v>180</v>
      </c>
      <c r="H678" s="201" t="str">
        <f>CONCATENATE(L678,"-",C678,"-",LEFT(D678,3),LEFT(I678,3),"-",LEFT(J678,3),"-",1)</f>
        <v>HLP-3-WHI-SMA-1</v>
      </c>
      <c r="I678" s="194"/>
      <c r="J678" s="195" t="s">
        <v>138</v>
      </c>
      <c r="K678" s="197" t="s">
        <v>392</v>
      </c>
      <c r="L678" s="193" t="s">
        <v>209</v>
      </c>
      <c r="M678" s="389">
        <v>5</v>
      </c>
      <c r="N678" s="265"/>
      <c r="O678" s="284"/>
      <c r="P678" s="41"/>
      <c r="Q678" s="284"/>
      <c r="R678" s="105"/>
      <c r="S678" s="57"/>
      <c r="T678" s="57"/>
      <c r="U678" s="57"/>
      <c r="V678" s="285"/>
      <c r="W678" s="36"/>
      <c r="X678" s="48"/>
    </row>
    <row r="679" spans="2:24" x14ac:dyDescent="0.25">
      <c r="B679" s="405"/>
      <c r="C679" s="89">
        <v>3</v>
      </c>
      <c r="D679" s="203" t="s">
        <v>180</v>
      </c>
      <c r="H679" s="201" t="str">
        <f>CONCATENATE(L679,"-",C679,"-",LEFT(D679,3),LEFT(I679,3),"-",LEFT(J679,3),"-",2)</f>
        <v>HLP-3-WHI-SMA-2</v>
      </c>
      <c r="I679" s="194"/>
      <c r="J679" s="195" t="s">
        <v>138</v>
      </c>
      <c r="K679" s="197" t="s">
        <v>239</v>
      </c>
      <c r="L679" s="193" t="s">
        <v>209</v>
      </c>
      <c r="M679" s="387"/>
      <c r="N679" s="265"/>
      <c r="O679" s="284"/>
      <c r="P679" s="41"/>
      <c r="Q679" s="284"/>
      <c r="R679" s="105"/>
      <c r="S679" s="57"/>
      <c r="T679" s="57"/>
      <c r="U679" s="57"/>
      <c r="V679" s="285"/>
      <c r="W679" s="36"/>
      <c r="X679" s="48"/>
    </row>
    <row r="680" spans="2:24" x14ac:dyDescent="0.25">
      <c r="B680" s="405"/>
      <c r="C680" s="89">
        <v>3</v>
      </c>
      <c r="D680" s="203" t="s">
        <v>180</v>
      </c>
      <c r="H680" s="201" t="str">
        <f>CONCATENATE(L680,"-",C680,"-",LEFT(D680,3),LEFT(I680,3),"-",LEFT(J680,3),"-",3)</f>
        <v>HLP-3-WHI-SMA-3</v>
      </c>
      <c r="I680" s="194"/>
      <c r="J680" s="195" t="s">
        <v>138</v>
      </c>
      <c r="K680" s="197" t="s">
        <v>391</v>
      </c>
      <c r="L680" s="193" t="s">
        <v>209</v>
      </c>
      <c r="M680" s="387"/>
      <c r="N680" s="265"/>
      <c r="O680" s="284"/>
      <c r="P680" s="41"/>
      <c r="Q680" s="284"/>
      <c r="R680" s="105"/>
      <c r="S680" s="57"/>
      <c r="T680" s="57"/>
      <c r="U680" s="57"/>
      <c r="V680" s="285"/>
      <c r="W680" s="36"/>
      <c r="X680" s="48"/>
    </row>
    <row r="681" spans="2:24" x14ac:dyDescent="0.25">
      <c r="B681" s="405"/>
      <c r="C681" s="89">
        <v>3</v>
      </c>
      <c r="D681" s="203" t="s">
        <v>180</v>
      </c>
      <c r="H681" s="201" t="str">
        <f>CONCATENATE(L681,"-",C681,"-",LEFT(D681,3),LEFT(I681,3),"-",LEFT(J681,3),"-",4)</f>
        <v>HLP-3-WHI-SMA-4</v>
      </c>
      <c r="I681" s="194"/>
      <c r="J681" s="195" t="s">
        <v>138</v>
      </c>
      <c r="K681" s="197" t="s">
        <v>397</v>
      </c>
      <c r="L681" s="193" t="s">
        <v>209</v>
      </c>
      <c r="M681" s="387"/>
      <c r="N681" s="265"/>
      <c r="O681" s="284"/>
      <c r="P681" s="41"/>
      <c r="Q681" s="284"/>
      <c r="R681" s="105"/>
      <c r="S681" s="57"/>
      <c r="T681" s="57"/>
      <c r="U681" s="57"/>
      <c r="V681" s="285"/>
      <c r="W681" s="36"/>
      <c r="X681" s="48"/>
    </row>
    <row r="682" spans="2:24" x14ac:dyDescent="0.25">
      <c r="B682" s="405"/>
      <c r="C682" s="89">
        <v>3</v>
      </c>
      <c r="D682" s="203" t="s">
        <v>180</v>
      </c>
      <c r="H682" s="201" t="str">
        <f>CONCATENATE(L682,"-",C682,"-",LEFT(D682,3),LEFT(I682,3),"-",LEFT(J682,3),"-",5)</f>
        <v>HLP-3-WHI-SMA-5</v>
      </c>
      <c r="I682" s="194"/>
      <c r="J682" s="195" t="s">
        <v>138</v>
      </c>
      <c r="K682" s="197" t="s">
        <v>387</v>
      </c>
      <c r="L682" s="193" t="s">
        <v>209</v>
      </c>
      <c r="M682" s="388"/>
      <c r="N682" s="265"/>
      <c r="O682" s="284"/>
      <c r="P682" s="41"/>
      <c r="Q682" s="284"/>
      <c r="R682" s="105"/>
      <c r="S682" s="57"/>
      <c r="T682" s="57"/>
      <c r="U682" s="57"/>
      <c r="V682" s="285"/>
      <c r="W682" s="36"/>
      <c r="X682" s="48"/>
    </row>
    <row r="683" spans="2:24" x14ac:dyDescent="0.25">
      <c r="B683" s="405"/>
      <c r="C683" s="89">
        <v>3</v>
      </c>
      <c r="D683" s="203" t="s">
        <v>181</v>
      </c>
      <c r="H683" s="201" t="str">
        <f>CONCATENATE(L683,"-",C683,"-",LEFT(D683,3),LEFT(I683,3),"-",LEFT(J683,3),"-",1)</f>
        <v>HLP-3-POTMEJ-SMA-1</v>
      </c>
      <c r="I683" s="194" t="s">
        <v>146</v>
      </c>
      <c r="J683" s="195" t="s">
        <v>138</v>
      </c>
      <c r="K683" s="197" t="s">
        <v>354</v>
      </c>
      <c r="L683" s="193" t="s">
        <v>209</v>
      </c>
      <c r="M683" s="389">
        <f>'[2]Total Item Gudang HLP'!$F$60</f>
        <v>9</v>
      </c>
      <c r="N683" s="265"/>
      <c r="O683" s="284"/>
      <c r="P683" s="41"/>
      <c r="Q683" s="284"/>
      <c r="R683" s="105"/>
      <c r="S683" s="57"/>
      <c r="T683" s="57"/>
      <c r="U683" s="57"/>
      <c r="V683" s="285"/>
      <c r="W683" s="36"/>
      <c r="X683" s="48"/>
    </row>
    <row r="684" spans="2:24" x14ac:dyDescent="0.25">
      <c r="B684" s="405"/>
      <c r="C684" s="89">
        <v>3</v>
      </c>
      <c r="D684" s="203" t="s">
        <v>181</v>
      </c>
      <c r="H684" s="201" t="str">
        <f>CONCATENATE(L684,"-",C684,"-",LEFT(D684,3),LEFT(I684,3),"-",LEFT(J684,3),"-",2)</f>
        <v>HLP-3-POTMEJ-SMA-2</v>
      </c>
      <c r="I684" s="194" t="s">
        <v>146</v>
      </c>
      <c r="J684" s="195" t="s">
        <v>138</v>
      </c>
      <c r="K684" s="197" t="s">
        <v>354</v>
      </c>
      <c r="L684" s="193" t="s">
        <v>209</v>
      </c>
      <c r="M684" s="387"/>
      <c r="N684" s="265"/>
      <c r="O684" s="284"/>
      <c r="P684" s="41"/>
      <c r="Q684" s="284"/>
      <c r="R684" s="105"/>
      <c r="S684" s="57"/>
      <c r="T684" s="57"/>
      <c r="U684" s="57"/>
      <c r="V684" s="285"/>
      <c r="W684" s="36"/>
      <c r="X684" s="48"/>
    </row>
    <row r="685" spans="2:24" x14ac:dyDescent="0.25">
      <c r="B685" s="405"/>
      <c r="C685" s="89">
        <v>3</v>
      </c>
      <c r="D685" s="203" t="s">
        <v>181</v>
      </c>
      <c r="H685" s="201" t="str">
        <f>CONCATENATE(L685,"-",C685,"-",LEFT(D685,3),LEFT(I685,3),"-",LEFT(J685,3),"-",3)</f>
        <v>HLP-3-POTMEJ-SMA-3</v>
      </c>
      <c r="I685" s="194" t="s">
        <v>146</v>
      </c>
      <c r="J685" s="195" t="s">
        <v>138</v>
      </c>
      <c r="K685" s="197" t="s">
        <v>354</v>
      </c>
      <c r="L685" s="193" t="s">
        <v>209</v>
      </c>
      <c r="M685" s="387"/>
      <c r="N685" s="265"/>
      <c r="O685" s="284"/>
      <c r="P685" s="41"/>
      <c r="Q685" s="284"/>
      <c r="R685" s="105"/>
      <c r="S685" s="57"/>
      <c r="T685" s="57"/>
      <c r="U685" s="57"/>
      <c r="V685" s="285"/>
      <c r="W685" s="36"/>
      <c r="X685" s="48"/>
    </row>
    <row r="686" spans="2:24" x14ac:dyDescent="0.25">
      <c r="B686" s="405"/>
      <c r="C686" s="89">
        <v>3</v>
      </c>
      <c r="D686" s="203" t="s">
        <v>181</v>
      </c>
      <c r="H686" s="201" t="str">
        <f>CONCATENATE(L686,"-",C686,"-",LEFT(D686,3),LEFT(I686,3),"-",LEFT(J686,3),"-",4)</f>
        <v>HLP-3-POTMEJ-SMA-4</v>
      </c>
      <c r="I686" s="194" t="s">
        <v>146</v>
      </c>
      <c r="J686" s="195" t="s">
        <v>138</v>
      </c>
      <c r="K686" s="197" t="s">
        <v>354</v>
      </c>
      <c r="L686" s="193" t="s">
        <v>209</v>
      </c>
      <c r="M686" s="387"/>
      <c r="N686" s="265"/>
      <c r="O686" s="284"/>
      <c r="P686" s="41"/>
      <c r="Q686" s="284"/>
      <c r="R686" s="105"/>
      <c r="S686" s="57"/>
      <c r="T686" s="57"/>
      <c r="U686" s="57"/>
      <c r="V686" s="285"/>
      <c r="W686" s="36"/>
      <c r="X686" s="48"/>
    </row>
    <row r="687" spans="2:24" x14ac:dyDescent="0.25">
      <c r="B687" s="405"/>
      <c r="C687" s="89">
        <v>3</v>
      </c>
      <c r="D687" s="203" t="s">
        <v>181</v>
      </c>
      <c r="H687" s="201" t="str">
        <f>CONCATENATE(L687,"-",C687,"-",LEFT(D687,3),LEFT(I687,3),"-",LEFT(J687,3),"-",5)</f>
        <v>HLP-3-POTMEJ-SMA-5</v>
      </c>
      <c r="I687" s="194" t="s">
        <v>146</v>
      </c>
      <c r="J687" s="195" t="s">
        <v>138</v>
      </c>
      <c r="K687" s="197" t="s">
        <v>354</v>
      </c>
      <c r="L687" s="193" t="s">
        <v>209</v>
      </c>
      <c r="M687" s="387"/>
      <c r="N687" s="265"/>
      <c r="O687" s="284"/>
      <c r="P687" s="41"/>
      <c r="Q687" s="284"/>
      <c r="R687" s="105"/>
      <c r="S687" s="57"/>
      <c r="T687" s="57"/>
      <c r="U687" s="57"/>
      <c r="V687" s="285"/>
      <c r="W687" s="36"/>
      <c r="X687" s="48"/>
    </row>
    <row r="688" spans="2:24" x14ac:dyDescent="0.25">
      <c r="B688" s="405"/>
      <c r="C688" s="89">
        <v>3</v>
      </c>
      <c r="D688" s="203" t="s">
        <v>181</v>
      </c>
      <c r="H688" s="201" t="str">
        <f>CONCATENATE(L688,"-",C688,"-",LEFT(D688,3),LEFT(I688,3),"-",LEFT(J688,3),"-",6)</f>
        <v>HLP-3-POTMEJ-SMA-6</v>
      </c>
      <c r="I688" s="194" t="s">
        <v>146</v>
      </c>
      <c r="J688" s="195" t="s">
        <v>138</v>
      </c>
      <c r="K688" s="197" t="s">
        <v>354</v>
      </c>
      <c r="L688" s="193" t="s">
        <v>209</v>
      </c>
      <c r="M688" s="387"/>
      <c r="N688" s="265"/>
      <c r="O688" s="284"/>
      <c r="P688" s="41"/>
      <c r="Q688" s="284"/>
      <c r="R688" s="105"/>
      <c r="S688" s="57"/>
      <c r="T688" s="57"/>
      <c r="U688" s="57"/>
      <c r="V688" s="285"/>
      <c r="W688" s="36"/>
      <c r="X688" s="48"/>
    </row>
    <row r="689" spans="2:24" x14ac:dyDescent="0.25">
      <c r="B689" s="405"/>
      <c r="C689" s="89">
        <v>3</v>
      </c>
      <c r="D689" s="203" t="s">
        <v>181</v>
      </c>
      <c r="H689" s="201" t="str">
        <f>CONCATENATE(L689,"-",C689,"-",LEFT(D689,3),LEFT(I689,3),"-",LEFT(J689,3),"-",7)</f>
        <v>HLP-3-POTMEJ-SMA-7</v>
      </c>
      <c r="I689" s="194" t="s">
        <v>146</v>
      </c>
      <c r="J689" s="195" t="s">
        <v>138</v>
      </c>
      <c r="K689" s="197" t="s">
        <v>354</v>
      </c>
      <c r="L689" s="193" t="s">
        <v>209</v>
      </c>
      <c r="M689" s="387"/>
      <c r="N689" s="265"/>
      <c r="O689" s="284"/>
      <c r="P689" s="41"/>
      <c r="Q689" s="284"/>
      <c r="R689" s="105"/>
      <c r="S689" s="57"/>
      <c r="T689" s="57"/>
      <c r="U689" s="57"/>
      <c r="V689" s="285"/>
      <c r="W689" s="36"/>
      <c r="X689" s="48"/>
    </row>
    <row r="690" spans="2:24" x14ac:dyDescent="0.25">
      <c r="B690" s="405"/>
      <c r="C690" s="89">
        <v>3</v>
      </c>
      <c r="D690" s="203" t="s">
        <v>181</v>
      </c>
      <c r="H690" s="201" t="str">
        <f>CONCATENATE(L690,"-",C690,"-",LEFT(D690,3),LEFT(I690,3),"-",LEFT(J690,3),"-",8)</f>
        <v>HLP-3-POTMEJ-SMA-8</v>
      </c>
      <c r="I690" s="194" t="s">
        <v>146</v>
      </c>
      <c r="J690" s="195" t="s">
        <v>138</v>
      </c>
      <c r="K690" s="197" t="s">
        <v>354</v>
      </c>
      <c r="L690" s="193" t="s">
        <v>209</v>
      </c>
      <c r="M690" s="387"/>
      <c r="N690" s="265"/>
      <c r="O690" s="284"/>
      <c r="P690" s="41"/>
      <c r="Q690" s="284"/>
      <c r="R690" s="105"/>
      <c r="S690" s="57"/>
      <c r="T690" s="57"/>
      <c r="U690" s="57"/>
      <c r="V690" s="285"/>
      <c r="W690" s="36"/>
      <c r="X690" s="48"/>
    </row>
    <row r="691" spans="2:24" x14ac:dyDescent="0.25">
      <c r="B691" s="405"/>
      <c r="C691" s="89">
        <v>3</v>
      </c>
      <c r="D691" s="203" t="s">
        <v>181</v>
      </c>
      <c r="H691" s="201" t="str">
        <f>CONCATENATE(L691,"-",C691,"-",LEFT(D691,3),LEFT(I691,3),"-",LEFT(J691,3),"-",10)</f>
        <v>HLP-3-POTMEJ-SMA-10</v>
      </c>
      <c r="I691" s="194" t="s">
        <v>146</v>
      </c>
      <c r="J691" s="195" t="s">
        <v>138</v>
      </c>
      <c r="K691" s="197" t="s">
        <v>354</v>
      </c>
      <c r="L691" s="193" t="s">
        <v>209</v>
      </c>
      <c r="M691" s="387"/>
      <c r="N691" s="265"/>
      <c r="O691" s="284"/>
      <c r="P691" s="41"/>
      <c r="Q691" s="284"/>
      <c r="R691" s="105"/>
      <c r="S691" s="57"/>
      <c r="T691" s="57"/>
      <c r="U691" s="57"/>
      <c r="V691" s="285"/>
      <c r="W691" s="36"/>
      <c r="X691" s="48"/>
    </row>
    <row r="692" spans="2:24" x14ac:dyDescent="0.25">
      <c r="B692" s="405"/>
      <c r="C692" s="89">
        <v>3</v>
      </c>
      <c r="D692" s="203" t="s">
        <v>181</v>
      </c>
      <c r="H692" s="201" t="str">
        <f>CONCATENATE(L692,"-",C692,"-",LEFT(D692,3),LEFT(I692,3),"-",LEFT(J692,3),"-",11)</f>
        <v>HLP-3-POTMEJ-SMA-11</v>
      </c>
      <c r="I692" s="194" t="s">
        <v>146</v>
      </c>
      <c r="J692" s="195" t="s">
        <v>138</v>
      </c>
      <c r="K692" s="197" t="s">
        <v>392</v>
      </c>
      <c r="L692" s="193" t="s">
        <v>209</v>
      </c>
      <c r="M692" s="387"/>
      <c r="N692" s="265"/>
      <c r="O692" s="284"/>
      <c r="P692" s="41"/>
      <c r="Q692" s="284"/>
      <c r="R692" s="105"/>
      <c r="S692" s="57"/>
      <c r="T692" s="57"/>
      <c r="U692" s="57"/>
      <c r="V692" s="285"/>
      <c r="W692" s="36"/>
      <c r="X692" s="48"/>
    </row>
    <row r="693" spans="2:24" x14ac:dyDescent="0.25">
      <c r="B693" s="405"/>
      <c r="C693" s="89">
        <v>3</v>
      </c>
      <c r="D693" s="203" t="s">
        <v>181</v>
      </c>
      <c r="H693" s="201" t="str">
        <f>CONCATENATE(L693,"-",C693,"-",LEFT(D693,3),LEFT(I693,3),"-",LEFT(J693,3),"-",12)</f>
        <v>HLP-3-POTMEJ-SMA-12</v>
      </c>
      <c r="I693" s="194" t="s">
        <v>146</v>
      </c>
      <c r="J693" s="195" t="s">
        <v>138</v>
      </c>
      <c r="K693" s="197" t="s">
        <v>392</v>
      </c>
      <c r="L693" s="193" t="s">
        <v>209</v>
      </c>
      <c r="M693" s="387"/>
      <c r="N693" s="265"/>
      <c r="O693" s="284"/>
      <c r="P693" s="41"/>
      <c r="Q693" s="284"/>
      <c r="R693" s="105"/>
      <c r="S693" s="57"/>
      <c r="T693" s="57"/>
      <c r="U693" s="57"/>
      <c r="V693" s="285"/>
      <c r="W693" s="36"/>
      <c r="X693" s="48"/>
    </row>
    <row r="694" spans="2:24" x14ac:dyDescent="0.25">
      <c r="B694" s="405"/>
      <c r="C694" s="89">
        <v>3</v>
      </c>
      <c r="D694" s="203" t="s">
        <v>181</v>
      </c>
      <c r="H694" s="201" t="str">
        <f>CONCATENATE(L694,"-",C694,"-",LEFT(D694,3),LEFT(I694,3),"-",LEFT(J694,3),"-",13)</f>
        <v>HLP-3-POTMEJ-SMA-13</v>
      </c>
      <c r="I694" s="194" t="s">
        <v>146</v>
      </c>
      <c r="J694" s="195" t="s">
        <v>138</v>
      </c>
      <c r="K694" s="197" t="s">
        <v>392</v>
      </c>
      <c r="L694" s="193" t="s">
        <v>209</v>
      </c>
      <c r="M694" s="387"/>
      <c r="N694" s="265"/>
      <c r="O694" s="284"/>
      <c r="P694" s="41"/>
      <c r="Q694" s="284"/>
      <c r="R694" s="105"/>
      <c r="S694" s="57"/>
      <c r="T694" s="57"/>
      <c r="U694" s="57"/>
      <c r="V694" s="285"/>
      <c r="W694" s="36"/>
      <c r="X694" s="48"/>
    </row>
    <row r="695" spans="2:24" x14ac:dyDescent="0.25">
      <c r="B695" s="405"/>
      <c r="C695" s="89">
        <v>3</v>
      </c>
      <c r="D695" s="203" t="s">
        <v>181</v>
      </c>
      <c r="H695" s="201" t="str">
        <f>CONCATENATE(L695,"-",C695,"-",LEFT(D695,3),LEFT(I695,3),"-",LEFT(J695,3),"-",14)</f>
        <v>HLP-3-POTMEJ-SMA-14</v>
      </c>
      <c r="I695" s="194" t="s">
        <v>146</v>
      </c>
      <c r="J695" s="195" t="s">
        <v>138</v>
      </c>
      <c r="K695" s="197" t="s">
        <v>392</v>
      </c>
      <c r="L695" s="193" t="s">
        <v>209</v>
      </c>
      <c r="M695" s="387"/>
      <c r="N695" s="265"/>
      <c r="O695" s="284"/>
      <c r="P695" s="41"/>
      <c r="Q695" s="284"/>
      <c r="R695" s="105"/>
      <c r="S695" s="57"/>
      <c r="T695" s="57"/>
      <c r="U695" s="57"/>
      <c r="V695" s="285"/>
      <c r="W695" s="36"/>
      <c r="X695" s="48"/>
    </row>
    <row r="696" spans="2:24" x14ac:dyDescent="0.25">
      <c r="B696" s="405"/>
      <c r="C696" s="89">
        <v>3</v>
      </c>
      <c r="D696" s="203" t="s">
        <v>181</v>
      </c>
      <c r="H696" s="201" t="str">
        <f>CONCATENATE(L696,"-",C696,"-",LEFT(D696,3),LEFT(I696,3),"-",LEFT(J696,3),"-",15)</f>
        <v>HLP-3-POTMEJ-SMA-15</v>
      </c>
      <c r="I696" s="194" t="s">
        <v>146</v>
      </c>
      <c r="J696" s="195" t="s">
        <v>138</v>
      </c>
      <c r="K696" s="197" t="s">
        <v>239</v>
      </c>
      <c r="L696" s="193" t="s">
        <v>209</v>
      </c>
      <c r="M696" s="387"/>
      <c r="N696" s="265"/>
      <c r="O696" s="284"/>
      <c r="P696" s="41"/>
      <c r="Q696" s="284"/>
      <c r="R696" s="105"/>
      <c r="S696" s="57"/>
      <c r="T696" s="57"/>
      <c r="U696" s="57"/>
      <c r="V696" s="285"/>
      <c r="W696" s="36"/>
      <c r="X696" s="48"/>
    </row>
    <row r="697" spans="2:24" x14ac:dyDescent="0.25">
      <c r="B697" s="405"/>
      <c r="C697" s="89">
        <v>3</v>
      </c>
      <c r="D697" s="203" t="s">
        <v>181</v>
      </c>
      <c r="H697" s="201" t="str">
        <f>CONCATENATE(L697,"-",C697,"-",LEFT(D697,3),LEFT(I697,3),"-",LEFT(J697,3),"-",16)</f>
        <v>HLP-3-POTMEJ-SMA-16</v>
      </c>
      <c r="I697" s="194" t="s">
        <v>146</v>
      </c>
      <c r="J697" s="195" t="s">
        <v>138</v>
      </c>
      <c r="K697" s="197" t="s">
        <v>239</v>
      </c>
      <c r="L697" s="193" t="s">
        <v>209</v>
      </c>
      <c r="M697" s="388"/>
      <c r="N697" s="265"/>
      <c r="O697" s="284"/>
      <c r="P697" s="41"/>
      <c r="Q697" s="284"/>
      <c r="R697" s="105"/>
      <c r="S697" s="57"/>
      <c r="T697" s="57"/>
      <c r="U697" s="57"/>
      <c r="V697" s="285"/>
      <c r="W697" s="36"/>
      <c r="X697" s="48"/>
    </row>
    <row r="698" spans="2:24" x14ac:dyDescent="0.25">
      <c r="B698" s="405"/>
      <c r="C698" s="89">
        <v>3</v>
      </c>
      <c r="D698" s="203" t="s">
        <v>181</v>
      </c>
      <c r="H698" s="201" t="str">
        <f>CONCATENATE(L698,"-",C698,"-",LEFT(D698,3),LEFT(I698,3),"-",LEFT(J698,6))</f>
        <v>HLP-3-POT-BIG</v>
      </c>
      <c r="I698" s="194"/>
      <c r="J698" s="195" t="s">
        <v>218</v>
      </c>
      <c r="K698" s="354" t="s">
        <v>359</v>
      </c>
      <c r="L698" s="193" t="s">
        <v>209</v>
      </c>
      <c r="M698" s="274">
        <v>0</v>
      </c>
      <c r="N698" s="265"/>
      <c r="O698" s="284"/>
      <c r="P698" s="41"/>
      <c r="Q698" s="284"/>
      <c r="R698" s="105"/>
      <c r="S698" s="57"/>
      <c r="T698" s="57"/>
      <c r="U698" s="57"/>
      <c r="V698" s="285"/>
      <c r="W698" s="36"/>
      <c r="X698" s="48"/>
    </row>
    <row r="699" spans="2:24" x14ac:dyDescent="0.25">
      <c r="B699" s="405"/>
      <c r="C699" s="89">
        <v>3</v>
      </c>
      <c r="D699" s="203" t="s">
        <v>295</v>
      </c>
      <c r="H699" s="201" t="str">
        <f>CONCATENATE(L699,"-",C699,"-",LEFT(D699,3),LEFT(I699,3),"-",LEFT(J699,6))</f>
        <v>HLP-3-PAIFRA-BIG</v>
      </c>
      <c r="I699" s="194" t="s">
        <v>296</v>
      </c>
      <c r="J699" s="195" t="s">
        <v>218</v>
      </c>
      <c r="K699" s="354" t="s">
        <v>359</v>
      </c>
      <c r="L699" s="193" t="s">
        <v>209</v>
      </c>
      <c r="M699" s="274">
        <v>0</v>
      </c>
      <c r="N699" s="265"/>
      <c r="O699" s="284"/>
      <c r="P699" s="41"/>
      <c r="Q699" s="284"/>
      <c r="R699" s="105"/>
      <c r="S699" s="57"/>
      <c r="T699" s="57"/>
      <c r="U699" s="57"/>
      <c r="V699" s="285"/>
      <c r="W699" s="36"/>
      <c r="X699" s="48"/>
    </row>
    <row r="700" spans="2:24" x14ac:dyDescent="0.25">
      <c r="B700" s="405"/>
      <c r="C700" s="89">
        <v>3</v>
      </c>
      <c r="D700" s="203" t="s">
        <v>295</v>
      </c>
      <c r="H700" s="201" t="str">
        <f>CONCATENATE(L700,"-",C700,"-",LEFT(D700,3),LEFT(I700,3),"-",LEFT(J700,6))</f>
        <v>HLP-3-PAIFRA-SMALL</v>
      </c>
      <c r="I700" s="194" t="s">
        <v>296</v>
      </c>
      <c r="J700" s="195" t="s">
        <v>138</v>
      </c>
      <c r="K700" s="354" t="s">
        <v>359</v>
      </c>
      <c r="L700" s="193" t="s">
        <v>209</v>
      </c>
      <c r="M700" s="274">
        <v>0</v>
      </c>
      <c r="N700" s="265"/>
      <c r="O700" s="284"/>
      <c r="P700" s="41"/>
      <c r="Q700" s="284"/>
      <c r="R700" s="105"/>
      <c r="S700" s="57"/>
      <c r="T700" s="57"/>
      <c r="U700" s="57"/>
      <c r="V700" s="285"/>
      <c r="W700" s="36"/>
      <c r="X700" s="48"/>
    </row>
    <row r="701" spans="2:24" x14ac:dyDescent="0.25">
      <c r="B701" s="405"/>
      <c r="C701" s="89">
        <v>3</v>
      </c>
      <c r="D701" s="203" t="s">
        <v>182</v>
      </c>
      <c r="H701" s="201" t="str">
        <f>CONCATENATE(L701,"-",C701,"-",LEFT(D701,3),LEFT(I701,3),"-",LEFT(J701,6))</f>
        <v>HLP-3-TEL-RED</v>
      </c>
      <c r="I701" s="194"/>
      <c r="J701" s="195" t="s">
        <v>220</v>
      </c>
      <c r="K701" s="197" t="s">
        <v>386</v>
      </c>
      <c r="L701" s="193" t="s">
        <v>209</v>
      </c>
      <c r="M701" s="274">
        <v>1</v>
      </c>
      <c r="N701" s="265"/>
      <c r="O701" s="284"/>
      <c r="P701" s="41"/>
      <c r="Q701" s="284"/>
      <c r="R701" s="105"/>
      <c r="S701" s="57"/>
      <c r="T701" s="57"/>
      <c r="U701" s="57"/>
      <c r="V701" s="285"/>
      <c r="W701" s="36"/>
      <c r="X701" s="48"/>
    </row>
    <row r="702" spans="2:24" x14ac:dyDescent="0.25">
      <c r="B702" s="405"/>
      <c r="C702" s="89">
        <v>3</v>
      </c>
      <c r="D702" s="203" t="s">
        <v>183</v>
      </c>
      <c r="H702" s="201" t="str">
        <f>CONCATENATE(L702,"-",C702,"-",LEFT(D702,3),LEFT(I702,3),"-",LEFT(J702,3),"-",1)</f>
        <v>HLP-3-REMAC -SHA-1</v>
      </c>
      <c r="I702" s="194" t="s">
        <v>23</v>
      </c>
      <c r="J702" s="195" t="s">
        <v>133</v>
      </c>
      <c r="K702" s="198" t="s">
        <v>382</v>
      </c>
      <c r="L702" s="193" t="s">
        <v>209</v>
      </c>
      <c r="M702" s="389">
        <v>5</v>
      </c>
      <c r="N702" s="265"/>
      <c r="O702" s="284"/>
      <c r="P702" s="41"/>
      <c r="Q702" s="284"/>
      <c r="R702" s="105"/>
      <c r="S702" s="57"/>
      <c r="T702" s="57"/>
      <c r="U702" s="57"/>
      <c r="V702" s="285"/>
      <c r="W702" s="36"/>
      <c r="X702" s="48"/>
    </row>
    <row r="703" spans="2:24" x14ac:dyDescent="0.25">
      <c r="B703" s="405"/>
      <c r="C703" s="89">
        <v>3</v>
      </c>
      <c r="D703" s="203" t="s">
        <v>183</v>
      </c>
      <c r="H703" s="201" t="str">
        <f>CONCATENATE(L703,"-",C703,"-",LEFT(D703,3),LEFT(I703,3),"-",LEFT(J703,3),"-",2)</f>
        <v>HLP-3-REMAC -SHA-2</v>
      </c>
      <c r="I703" s="194" t="s">
        <v>23</v>
      </c>
      <c r="J703" s="195" t="s">
        <v>133</v>
      </c>
      <c r="K703" s="198" t="s">
        <v>382</v>
      </c>
      <c r="L703" s="193" t="s">
        <v>209</v>
      </c>
      <c r="M703" s="387"/>
      <c r="N703" s="265"/>
      <c r="O703" s="284"/>
      <c r="P703" s="41"/>
      <c r="Q703" s="284"/>
      <c r="R703" s="105"/>
      <c r="S703" s="57"/>
      <c r="T703" s="57"/>
      <c r="U703" s="57"/>
      <c r="V703" s="285"/>
      <c r="W703" s="36"/>
      <c r="X703" s="48"/>
    </row>
    <row r="704" spans="2:24" x14ac:dyDescent="0.25">
      <c r="B704" s="405"/>
      <c r="C704" s="89">
        <v>3</v>
      </c>
      <c r="D704" s="203" t="s">
        <v>183</v>
      </c>
      <c r="H704" s="201" t="str">
        <f>CONCATENATE(L704,"-",C704,"-",LEFT(D704,3),LEFT(I704,3),"-",LEFT(J704,3),"-",3)</f>
        <v>HLP-3-REMAC -SHA-3</v>
      </c>
      <c r="I704" s="194" t="s">
        <v>23</v>
      </c>
      <c r="J704" s="195" t="s">
        <v>133</v>
      </c>
      <c r="K704" s="198" t="s">
        <v>383</v>
      </c>
      <c r="L704" s="193" t="s">
        <v>209</v>
      </c>
      <c r="M704" s="387"/>
      <c r="N704" s="265"/>
      <c r="O704" s="284"/>
      <c r="P704" s="41"/>
      <c r="Q704" s="284"/>
      <c r="R704" s="105"/>
      <c r="S704" s="57"/>
      <c r="T704" s="57"/>
      <c r="U704" s="57"/>
      <c r="V704" s="285"/>
      <c r="W704" s="36"/>
      <c r="X704" s="48"/>
    </row>
    <row r="705" spans="2:24" x14ac:dyDescent="0.25">
      <c r="B705" s="405"/>
      <c r="C705" s="89">
        <v>3</v>
      </c>
      <c r="D705" s="203" t="s">
        <v>183</v>
      </c>
      <c r="H705" s="201" t="str">
        <f>CONCATENATE(L705,"-",C705,"-",LEFT(D705,3),LEFT(I705,3),"-",LEFT(J705,3),"-",4)</f>
        <v>HLP-3-REMAC -SHA-4</v>
      </c>
      <c r="I705" s="194" t="s">
        <v>23</v>
      </c>
      <c r="J705" s="195" t="s">
        <v>133</v>
      </c>
      <c r="K705" s="198" t="s">
        <v>384</v>
      </c>
      <c r="L705" s="193" t="s">
        <v>209</v>
      </c>
      <c r="M705" s="387"/>
      <c r="N705" s="265"/>
      <c r="O705" s="284"/>
      <c r="P705" s="41"/>
      <c r="Q705" s="284"/>
      <c r="R705" s="105"/>
      <c r="S705" s="57"/>
      <c r="T705" s="57"/>
      <c r="U705" s="57"/>
      <c r="V705" s="285"/>
      <c r="W705" s="36"/>
      <c r="X705" s="48"/>
    </row>
    <row r="706" spans="2:24" x14ac:dyDescent="0.25">
      <c r="B706" s="405"/>
      <c r="C706" s="89">
        <v>3</v>
      </c>
      <c r="D706" s="203" t="s">
        <v>183</v>
      </c>
      <c r="H706" s="201" t="str">
        <f>CONCATENATE(L706,"-",C706,"-",LEFT(D706,3),LEFT(I706,3),"-",LEFT(J706,3),"-",5)</f>
        <v>HLP-3-REMAC -SHA-5</v>
      </c>
      <c r="I706" s="194" t="s">
        <v>23</v>
      </c>
      <c r="J706" s="195" t="s">
        <v>133</v>
      </c>
      <c r="K706" s="198" t="s">
        <v>247</v>
      </c>
      <c r="L706" s="193" t="s">
        <v>209</v>
      </c>
      <c r="M706" s="387"/>
      <c r="N706" s="265"/>
      <c r="O706" s="284"/>
      <c r="P706" s="41"/>
      <c r="Q706" s="284"/>
      <c r="R706" s="105"/>
      <c r="S706" s="57"/>
      <c r="T706" s="57"/>
      <c r="U706" s="57"/>
      <c r="V706" s="285"/>
      <c r="W706" s="36"/>
      <c r="X706" s="48"/>
    </row>
    <row r="707" spans="2:24" x14ac:dyDescent="0.25">
      <c r="B707" s="405"/>
      <c r="C707" s="89">
        <v>3</v>
      </c>
      <c r="D707" s="203" t="s">
        <v>183</v>
      </c>
      <c r="H707" s="201" t="str">
        <f>CONCATENATE(L707,"-",C707,"-",LEFT(D707,3),LEFT(I707,3),"-",LEFT(J707,3),"-",6)</f>
        <v>HLP-3-REMAC -SHA-6</v>
      </c>
      <c r="I707" s="194" t="s">
        <v>23</v>
      </c>
      <c r="J707" s="195" t="s">
        <v>133</v>
      </c>
      <c r="K707" s="198" t="s">
        <v>385</v>
      </c>
      <c r="L707" s="193" t="s">
        <v>209</v>
      </c>
      <c r="M707" s="388"/>
      <c r="N707" s="265"/>
      <c r="O707" s="284"/>
      <c r="P707" s="41"/>
      <c r="Q707" s="284"/>
      <c r="R707" s="105"/>
      <c r="S707" s="57"/>
      <c r="T707" s="57"/>
      <c r="U707" s="57"/>
      <c r="V707" s="285"/>
      <c r="W707" s="36"/>
      <c r="X707" s="48"/>
    </row>
    <row r="708" spans="2:24" x14ac:dyDescent="0.25">
      <c r="B708" s="405"/>
      <c r="C708" s="89">
        <v>3</v>
      </c>
      <c r="D708" s="203" t="s">
        <v>183</v>
      </c>
      <c r="H708" s="201" t="str">
        <f>CONCATENATE(L708,"-",C708,"-",LEFT(D708,3),LEFT(I708,3),"-",LEFT(J708,6))</f>
        <v>HLP-3-REMAC -GREE</v>
      </c>
      <c r="I708" s="194" t="s">
        <v>23</v>
      </c>
      <c r="J708" s="195" t="s">
        <v>135</v>
      </c>
      <c r="K708" s="198" t="s">
        <v>249</v>
      </c>
      <c r="L708" s="193" t="s">
        <v>209</v>
      </c>
      <c r="M708" s="274">
        <v>1</v>
      </c>
      <c r="N708" s="265"/>
      <c r="O708" s="284"/>
      <c r="P708" s="41"/>
      <c r="Q708" s="284"/>
      <c r="R708" s="105"/>
      <c r="S708" s="57"/>
      <c r="T708" s="57"/>
      <c r="U708" s="57"/>
      <c r="V708" s="285"/>
      <c r="W708" s="36"/>
      <c r="X708" s="48"/>
    </row>
    <row r="709" spans="2:24" x14ac:dyDescent="0.25">
      <c r="B709" s="405"/>
      <c r="C709" s="89">
        <v>3</v>
      </c>
      <c r="D709" s="203" t="s">
        <v>183</v>
      </c>
      <c r="H709" s="201" t="str">
        <f>CONCATENATE(L709,"-",C709,"-",LEFT(D709,3),LEFT(I709,3),"-",LEFT(J709,3),"-",1)</f>
        <v>HLP-3-REMAC -PAN-1</v>
      </c>
      <c r="I709" s="194" t="s">
        <v>23</v>
      </c>
      <c r="J709" s="195" t="s">
        <v>134</v>
      </c>
      <c r="K709" s="198" t="s">
        <v>386</v>
      </c>
      <c r="L709" s="193" t="s">
        <v>209</v>
      </c>
      <c r="M709" s="389">
        <v>5</v>
      </c>
      <c r="N709" s="265"/>
      <c r="O709" s="284"/>
      <c r="P709" s="41"/>
      <c r="Q709" s="284"/>
      <c r="R709" s="105"/>
      <c r="S709" s="57"/>
      <c r="T709" s="57"/>
      <c r="U709" s="57"/>
      <c r="V709" s="285"/>
      <c r="W709" s="36"/>
      <c r="X709" s="48"/>
    </row>
    <row r="710" spans="2:24" x14ac:dyDescent="0.25">
      <c r="B710" s="405"/>
      <c r="C710" s="89">
        <v>3</v>
      </c>
      <c r="D710" s="203" t="s">
        <v>183</v>
      </c>
      <c r="H710" s="201" t="str">
        <f>CONCATENATE(L710,"-",C710,"-",LEFT(D710,3),LEFT(I710,3),"-",LEFT(J710,3),"-",2)</f>
        <v>HLP-3-REMAC -PAN-2</v>
      </c>
      <c r="I710" s="194" t="s">
        <v>23</v>
      </c>
      <c r="J710" s="195" t="s">
        <v>134</v>
      </c>
      <c r="K710" s="198" t="s">
        <v>239</v>
      </c>
      <c r="L710" s="193" t="s">
        <v>209</v>
      </c>
      <c r="M710" s="387"/>
      <c r="N710" s="265"/>
      <c r="O710" s="284"/>
      <c r="P710" s="41"/>
      <c r="Q710" s="284"/>
      <c r="R710" s="105"/>
      <c r="S710" s="57"/>
      <c r="T710" s="57"/>
      <c r="U710" s="57"/>
      <c r="V710" s="285"/>
      <c r="W710" s="36"/>
      <c r="X710" s="48"/>
    </row>
    <row r="711" spans="2:24" x14ac:dyDescent="0.25">
      <c r="B711" s="405"/>
      <c r="C711" s="89">
        <v>3</v>
      </c>
      <c r="D711" s="203" t="s">
        <v>183</v>
      </c>
      <c r="H711" s="201" t="str">
        <f>CONCATENATE(L711,"-",C711,"-",LEFT(D711,3),LEFT(I711,3),"-",LEFT(J711,3),"-",3)</f>
        <v>HLP-3-REMAC -PAN-3</v>
      </c>
      <c r="I711" s="194" t="s">
        <v>23</v>
      </c>
      <c r="J711" s="195" t="s">
        <v>134</v>
      </c>
      <c r="K711" s="198" t="s">
        <v>387</v>
      </c>
      <c r="L711" s="193" t="s">
        <v>209</v>
      </c>
      <c r="M711" s="387"/>
      <c r="N711" s="265"/>
      <c r="O711" s="284"/>
      <c r="P711" s="41"/>
      <c r="Q711" s="284"/>
      <c r="R711" s="105"/>
      <c r="S711" s="57"/>
      <c r="T711" s="57"/>
      <c r="U711" s="57"/>
      <c r="V711" s="285"/>
      <c r="W711" s="36"/>
      <c r="X711" s="48"/>
    </row>
    <row r="712" spans="2:24" x14ac:dyDescent="0.25">
      <c r="B712" s="405"/>
      <c r="C712" s="89">
        <v>3</v>
      </c>
      <c r="D712" s="203" t="s">
        <v>183</v>
      </c>
      <c r="H712" s="201" t="str">
        <f>CONCATENATE(L712,"-",C712,"-",LEFT(D712,3),LEFT(I712,3),"-",LEFT(J712,3),"-",4)</f>
        <v>HLP-3-REMAC -PAN-4</v>
      </c>
      <c r="I712" s="194" t="s">
        <v>23</v>
      </c>
      <c r="J712" s="195" t="s">
        <v>134</v>
      </c>
      <c r="K712" s="198" t="s">
        <v>388</v>
      </c>
      <c r="L712" s="193" t="s">
        <v>209</v>
      </c>
      <c r="M712" s="387"/>
      <c r="N712" s="265"/>
      <c r="O712" s="284"/>
      <c r="P712" s="41"/>
      <c r="Q712" s="284"/>
      <c r="R712" s="105"/>
      <c r="S712" s="57"/>
      <c r="T712" s="57"/>
      <c r="U712" s="57"/>
      <c r="V712" s="285"/>
      <c r="W712" s="36"/>
      <c r="X712" s="48"/>
    </row>
    <row r="713" spans="2:24" x14ac:dyDescent="0.25">
      <c r="B713" s="405"/>
      <c r="C713" s="89">
        <v>3</v>
      </c>
      <c r="D713" s="203" t="s">
        <v>183</v>
      </c>
      <c r="H713" s="201" t="str">
        <f>CONCATENATE(L713,"-",C713,"-",LEFT(D713,3),LEFT(I713,3),"-",LEFT(J713,3),"-",5)</f>
        <v>HLP-3-REMAC -PAN-5</v>
      </c>
      <c r="I713" s="194" t="s">
        <v>23</v>
      </c>
      <c r="J713" s="195" t="s">
        <v>134</v>
      </c>
      <c r="K713" s="198" t="s">
        <v>389</v>
      </c>
      <c r="L713" s="193" t="s">
        <v>209</v>
      </c>
      <c r="M713" s="388"/>
      <c r="N713" s="265"/>
      <c r="O713" s="284"/>
      <c r="P713" s="41"/>
      <c r="Q713" s="284"/>
      <c r="R713" s="105"/>
      <c r="S713" s="57"/>
      <c r="T713" s="57"/>
      <c r="U713" s="57"/>
      <c r="V713" s="285"/>
      <c r="W713" s="36"/>
      <c r="X713" s="48"/>
    </row>
    <row r="714" spans="2:24" x14ac:dyDescent="0.25">
      <c r="B714" s="405"/>
      <c r="C714" s="89">
        <v>3</v>
      </c>
      <c r="D714" s="203" t="s">
        <v>183</v>
      </c>
      <c r="H714" s="201" t="str">
        <f>CONCATENATE(L714,"-",C714,"-",LEFT(D714,3),LEFT(I714,3),"-",LEFT(J714,3))</f>
        <v>HLP-3-REMAC -SAN</v>
      </c>
      <c r="I714" s="194" t="s">
        <v>23</v>
      </c>
      <c r="J714" s="195" t="s">
        <v>136</v>
      </c>
      <c r="K714" s="198" t="s">
        <v>390</v>
      </c>
      <c r="L714" s="193" t="s">
        <v>209</v>
      </c>
      <c r="M714" s="274">
        <v>1</v>
      </c>
      <c r="N714" s="265"/>
      <c r="O714" s="284"/>
      <c r="P714" s="41"/>
      <c r="Q714" s="284"/>
      <c r="R714" s="105"/>
      <c r="S714" s="57"/>
      <c r="T714" s="57"/>
      <c r="U714" s="57"/>
      <c r="V714" s="285"/>
      <c r="W714" s="36"/>
      <c r="X714" s="48"/>
    </row>
    <row r="715" spans="2:24" x14ac:dyDescent="0.25">
      <c r="B715" s="405"/>
      <c r="C715" s="89">
        <v>3</v>
      </c>
      <c r="D715" s="203" t="s">
        <v>183</v>
      </c>
      <c r="H715" s="201" t="str">
        <f>CONCATENATE(L715,"-",C715,"-",LEFT(D715,3),LEFT(I715,3),"-",LEFT(J715,3),"-",1)</f>
        <v>HLP-3-REMAC -DAI-1</v>
      </c>
      <c r="I715" s="194" t="s">
        <v>23</v>
      </c>
      <c r="J715" s="195" t="s">
        <v>137</v>
      </c>
      <c r="K715" s="198" t="s">
        <v>356</v>
      </c>
      <c r="L715" s="193" t="s">
        <v>209</v>
      </c>
      <c r="M715" s="389">
        <v>2</v>
      </c>
      <c r="N715" s="265"/>
      <c r="O715" s="284"/>
      <c r="P715" s="41"/>
      <c r="Q715" s="284"/>
      <c r="R715" s="105"/>
      <c r="S715" s="57"/>
      <c r="T715" s="57"/>
      <c r="U715" s="57"/>
      <c r="V715" s="285"/>
      <c r="W715" s="36"/>
      <c r="X715" s="48"/>
    </row>
    <row r="716" spans="2:24" x14ac:dyDescent="0.25">
      <c r="B716" s="405"/>
      <c r="C716" s="89">
        <v>3</v>
      </c>
      <c r="D716" s="203" t="s">
        <v>183</v>
      </c>
      <c r="H716" s="201" t="str">
        <f>CONCATENATE(L716,"-",C716,"-",LEFT(D716,3),LEFT(I716,3),"-",LEFT(J716,3),"-",2)</f>
        <v>HLP-3-REMAC -DAI-2</v>
      </c>
      <c r="I716" s="194" t="s">
        <v>23</v>
      </c>
      <c r="J716" s="195" t="s">
        <v>137</v>
      </c>
      <c r="K716" s="198" t="s">
        <v>354</v>
      </c>
      <c r="L716" s="193" t="s">
        <v>209</v>
      </c>
      <c r="M716" s="388"/>
      <c r="N716" s="265"/>
      <c r="O716" s="284"/>
      <c r="P716" s="41"/>
      <c r="Q716" s="284"/>
      <c r="R716" s="105"/>
      <c r="S716" s="57"/>
      <c r="T716" s="57"/>
      <c r="U716" s="57"/>
      <c r="V716" s="285"/>
      <c r="W716" s="36"/>
      <c r="X716" s="48"/>
    </row>
    <row r="717" spans="2:24" x14ac:dyDescent="0.25">
      <c r="B717" s="405"/>
      <c r="C717" s="89">
        <v>3</v>
      </c>
      <c r="D717" s="203" t="s">
        <v>183</v>
      </c>
      <c r="H717" s="201" t="str">
        <f>CONCATENATE(L717,"-",C717,"-",LEFT(D717,3),LEFT(I717,3),"-",LEFT(J717,3))</f>
        <v>HLP-3-REMAC -SAM</v>
      </c>
      <c r="I717" s="194" t="s">
        <v>23</v>
      </c>
      <c r="J717" s="195" t="s">
        <v>221</v>
      </c>
      <c r="K717" s="354" t="s">
        <v>359</v>
      </c>
      <c r="L717" s="193" t="s">
        <v>209</v>
      </c>
      <c r="M717" s="274">
        <v>0</v>
      </c>
      <c r="N717" s="265"/>
      <c r="O717" s="284"/>
      <c r="P717" s="41"/>
      <c r="Q717" s="284"/>
      <c r="R717" s="105"/>
      <c r="S717" s="57"/>
      <c r="T717" s="57"/>
      <c r="U717" s="57"/>
      <c r="V717" s="285"/>
      <c r="W717" s="36"/>
      <c r="X717" s="48"/>
    </row>
    <row r="718" spans="2:24" x14ac:dyDescent="0.25">
      <c r="B718" s="405"/>
      <c r="C718" s="89">
        <v>3</v>
      </c>
      <c r="D718" s="203" t="s">
        <v>183</v>
      </c>
      <c r="H718" s="201" t="str">
        <f>CONCATENATE(L718,"-",C718,"-",LEFT(D718,3),LEFT(I718,3),"-",LEFT(J718,4))</f>
        <v>HLP-3-REMAC -CHAN</v>
      </c>
      <c r="I718" s="194" t="s">
        <v>23</v>
      </c>
      <c r="J718" s="195" t="s">
        <v>339</v>
      </c>
      <c r="K718" s="354" t="s">
        <v>359</v>
      </c>
      <c r="L718" s="193" t="s">
        <v>209</v>
      </c>
      <c r="M718" s="274">
        <v>0</v>
      </c>
      <c r="N718" s="265"/>
      <c r="O718" s="284"/>
      <c r="P718" s="41"/>
      <c r="Q718" s="284"/>
      <c r="R718" s="105"/>
      <c r="S718" s="57"/>
      <c r="T718" s="57"/>
      <c r="U718" s="57"/>
      <c r="V718" s="285"/>
      <c r="W718" s="36"/>
      <c r="X718" s="48"/>
    </row>
    <row r="719" spans="2:24" x14ac:dyDescent="0.25">
      <c r="B719" s="405"/>
      <c r="C719" s="89">
        <v>3</v>
      </c>
      <c r="D719" s="203" t="s">
        <v>57</v>
      </c>
      <c r="H719" s="201" t="str">
        <f>CONCATENATE(L719,"-",C719,"-",LEFT(D719,3),LEFT(I719,3),"-",LEFT(J719,6))</f>
        <v>HLP-3-TVSHA-50 INC</v>
      </c>
      <c r="I719" s="194" t="s">
        <v>133</v>
      </c>
      <c r="J719" s="195" t="s">
        <v>184</v>
      </c>
      <c r="K719" s="197" t="s">
        <v>354</v>
      </c>
      <c r="L719" s="193" t="s">
        <v>209</v>
      </c>
      <c r="M719" s="274">
        <v>1</v>
      </c>
      <c r="N719" s="265"/>
      <c r="O719" s="284"/>
      <c r="P719" s="41"/>
      <c r="Q719" s="284"/>
      <c r="R719" s="105"/>
      <c r="S719" s="57"/>
      <c r="T719" s="57"/>
      <c r="U719" s="57"/>
      <c r="V719" s="285"/>
      <c r="W719" s="36"/>
      <c r="X719" s="48"/>
    </row>
    <row r="720" spans="2:24" x14ac:dyDescent="0.25">
      <c r="B720" s="405"/>
      <c r="C720" s="89">
        <v>3</v>
      </c>
      <c r="D720" s="203" t="s">
        <v>57</v>
      </c>
      <c r="H720" s="201" t="str">
        <f>CONCATENATE(L720,"-",C720,"-",LEFT(D720,3),LEFT(I720,3),"-",LEFT(J720,6))</f>
        <v>HLP-3-TVPOL-32 INC</v>
      </c>
      <c r="I720" s="194" t="s">
        <v>305</v>
      </c>
      <c r="J720" s="195" t="s">
        <v>307</v>
      </c>
      <c r="K720" s="354" t="s">
        <v>359</v>
      </c>
      <c r="L720" s="193" t="s">
        <v>209</v>
      </c>
      <c r="M720" s="274">
        <v>0</v>
      </c>
      <c r="N720" s="265"/>
      <c r="O720" s="284"/>
      <c r="P720" s="41"/>
      <c r="Q720" s="284"/>
      <c r="R720" s="105"/>
      <c r="S720" s="57"/>
      <c r="T720" s="57"/>
      <c r="U720" s="57"/>
      <c r="V720" s="285"/>
      <c r="W720" s="36"/>
      <c r="X720" s="48"/>
    </row>
    <row r="721" spans="2:24" x14ac:dyDescent="0.25">
      <c r="B721" s="405"/>
      <c r="C721" s="89">
        <v>3</v>
      </c>
      <c r="D721" s="203" t="s">
        <v>57</v>
      </c>
      <c r="H721" s="201" t="str">
        <f>CONCATENATE(L721,"-",C721,"-",LEFT(D721,3),LEFT(I721,3),"-",LEFT(J721,6))</f>
        <v>HLP-3-TVHIS-58 INC</v>
      </c>
      <c r="I721" s="194" t="s">
        <v>306</v>
      </c>
      <c r="J721" s="195" t="s">
        <v>308</v>
      </c>
      <c r="K721" s="354" t="s">
        <v>359</v>
      </c>
      <c r="L721" s="193" t="s">
        <v>209</v>
      </c>
      <c r="M721" s="274">
        <v>0</v>
      </c>
      <c r="N721" s="265"/>
      <c r="O721" s="284"/>
      <c r="P721" s="41"/>
      <c r="Q721" s="284"/>
      <c r="R721" s="105"/>
      <c r="S721" s="57"/>
      <c r="T721" s="57"/>
      <c r="U721" s="57"/>
      <c r="V721" s="285"/>
      <c r="W721" s="36"/>
      <c r="X721" s="48"/>
    </row>
    <row r="722" spans="2:24" x14ac:dyDescent="0.25">
      <c r="B722" s="405"/>
      <c r="C722" s="89">
        <v>3</v>
      </c>
      <c r="D722" s="203" t="s">
        <v>57</v>
      </c>
      <c r="H722" s="201" t="str">
        <f>CONCATENATE(L722,"-",C722,"-",LEFT(D722,3),LEFT(I722,3),"-",LEFT(J722,6))</f>
        <v>HLP-3-TVPAN-32 INC</v>
      </c>
      <c r="I722" s="194" t="s">
        <v>134</v>
      </c>
      <c r="J722" s="195" t="s">
        <v>307</v>
      </c>
      <c r="K722" s="354" t="s">
        <v>359</v>
      </c>
      <c r="L722" s="193" t="s">
        <v>209</v>
      </c>
      <c r="M722" s="274">
        <v>0</v>
      </c>
      <c r="N722" s="265"/>
      <c r="O722" s="284"/>
      <c r="P722" s="41"/>
      <c r="Q722" s="284"/>
      <c r="R722" s="105"/>
      <c r="S722" s="57"/>
      <c r="T722" s="57"/>
      <c r="U722" s="57"/>
      <c r="V722" s="285"/>
      <c r="W722" s="36"/>
      <c r="X722" s="48"/>
    </row>
    <row r="723" spans="2:24" x14ac:dyDescent="0.25">
      <c r="B723" s="405"/>
      <c r="C723" s="89">
        <v>3</v>
      </c>
      <c r="D723" s="203" t="s">
        <v>57</v>
      </c>
      <c r="H723" s="201" t="str">
        <f>CONCATENATE(L723,"-",C723,"-",LEFT(D723,3),LEFT(I723,3),"-",LEFT(J723,6))</f>
        <v>HLP-3-TVAKA- 50 IN</v>
      </c>
      <c r="I723" s="194" t="s">
        <v>338</v>
      </c>
      <c r="J723" s="195" t="s">
        <v>341</v>
      </c>
      <c r="K723" s="354" t="s">
        <v>359</v>
      </c>
      <c r="L723" s="193" t="s">
        <v>209</v>
      </c>
      <c r="M723" s="274">
        <v>0</v>
      </c>
      <c r="N723" s="265"/>
      <c r="O723" s="284"/>
      <c r="P723" s="41"/>
      <c r="Q723" s="284"/>
      <c r="R723" s="105"/>
      <c r="S723" s="57"/>
      <c r="T723" s="57"/>
      <c r="U723" s="57"/>
      <c r="V723" s="285"/>
      <c r="W723" s="36"/>
      <c r="X723" s="48"/>
    </row>
    <row r="724" spans="2:24" x14ac:dyDescent="0.25">
      <c r="B724" s="405"/>
      <c r="C724" s="89">
        <v>3</v>
      </c>
      <c r="D724" s="203" t="s">
        <v>185</v>
      </c>
      <c r="H724" s="201" t="str">
        <f>CONCATENATE(L724,"-",C724,"-",LEFT(D724,3),LEFT(I724,3),"-",LEFT(J724,3),"-",1)</f>
        <v>HLP-3-DISKRI-WHI-1</v>
      </c>
      <c r="I724" s="194" t="s">
        <v>187</v>
      </c>
      <c r="J724" s="195" t="s">
        <v>350</v>
      </c>
      <c r="K724" s="197" t="s">
        <v>390</v>
      </c>
      <c r="L724" s="193" t="s">
        <v>209</v>
      </c>
      <c r="M724" s="389">
        <f>'[2]Total Item Gudang HLP'!$F$70</f>
        <v>5</v>
      </c>
      <c r="N724" s="265"/>
      <c r="O724" s="284"/>
      <c r="P724" s="41"/>
      <c r="Q724" s="284"/>
      <c r="R724" s="105"/>
      <c r="S724" s="57"/>
      <c r="T724" s="57"/>
      <c r="U724" s="57"/>
      <c r="V724" s="285"/>
      <c r="W724" s="36"/>
      <c r="X724" s="48"/>
    </row>
    <row r="725" spans="2:24" x14ac:dyDescent="0.25">
      <c r="B725" s="405"/>
      <c r="C725" s="89">
        <v>3</v>
      </c>
      <c r="D725" s="203" t="s">
        <v>185</v>
      </c>
      <c r="H725" s="201" t="str">
        <f>CONCATENATE(L725,"-",C725,"-",LEFT(D725,3),LEFT(I725,3),"-",LEFT(J725,3),"-",2)</f>
        <v>HLP-3-DISKRI-WHI-2</v>
      </c>
      <c r="I725" s="194" t="s">
        <v>187</v>
      </c>
      <c r="J725" s="195" t="s">
        <v>350</v>
      </c>
      <c r="K725" s="197" t="s">
        <v>391</v>
      </c>
      <c r="L725" s="193" t="s">
        <v>209</v>
      </c>
      <c r="M725" s="387"/>
      <c r="N725" s="265"/>
      <c r="O725" s="284"/>
      <c r="P725" s="41"/>
      <c r="Q725" s="284"/>
      <c r="R725" s="105"/>
      <c r="S725" s="57"/>
      <c r="T725" s="57"/>
      <c r="U725" s="57"/>
      <c r="V725" s="285"/>
      <c r="W725" s="36"/>
      <c r="X725" s="48"/>
    </row>
    <row r="726" spans="2:24" x14ac:dyDescent="0.25">
      <c r="B726" s="405"/>
      <c r="C726" s="89">
        <v>3</v>
      </c>
      <c r="D726" s="203" t="s">
        <v>185</v>
      </c>
      <c r="H726" s="201" t="str">
        <f>CONCATENATE(L726,"-",C726,"-",LEFT(D726,3),LEFT(I726,3),"-",LEFT(J726,3),"-",3)</f>
        <v>HLP-3-DISKRI-WHI-3</v>
      </c>
      <c r="I726" s="194" t="s">
        <v>187</v>
      </c>
      <c r="J726" s="195" t="s">
        <v>350</v>
      </c>
      <c r="K726" s="197" t="s">
        <v>382</v>
      </c>
      <c r="L726" s="193" t="s">
        <v>209</v>
      </c>
      <c r="M726" s="387"/>
      <c r="N726" s="265"/>
      <c r="O726" s="284"/>
      <c r="P726" s="41"/>
      <c r="Q726" s="284"/>
      <c r="R726" s="105"/>
      <c r="S726" s="57"/>
      <c r="T726" s="57"/>
      <c r="U726" s="57"/>
      <c r="V726" s="285"/>
      <c r="W726" s="36"/>
      <c r="X726" s="48"/>
    </row>
    <row r="727" spans="2:24" x14ac:dyDescent="0.25">
      <c r="B727" s="405"/>
      <c r="C727" s="89">
        <v>3</v>
      </c>
      <c r="D727" s="203" t="s">
        <v>185</v>
      </c>
      <c r="H727" s="201" t="str">
        <f>CONCATENATE(L727,"-",C727,"-",LEFT(D727,3),LEFT(I727,3),"-",LEFT(J727,3),"-",4)</f>
        <v>HLP-3-DISKRI-WHI-4</v>
      </c>
      <c r="I727" s="194" t="s">
        <v>187</v>
      </c>
      <c r="J727" s="195" t="s">
        <v>350</v>
      </c>
      <c r="K727" s="197" t="s">
        <v>385</v>
      </c>
      <c r="L727" s="193" t="s">
        <v>209</v>
      </c>
      <c r="M727" s="387"/>
      <c r="N727" s="265"/>
      <c r="O727" s="284"/>
      <c r="P727" s="41"/>
      <c r="Q727" s="284"/>
      <c r="R727" s="105"/>
      <c r="S727" s="57"/>
      <c r="T727" s="57"/>
      <c r="U727" s="57"/>
      <c r="V727" s="285"/>
      <c r="W727" s="36"/>
      <c r="X727" s="48"/>
    </row>
    <row r="728" spans="2:24" x14ac:dyDescent="0.25">
      <c r="B728" s="405"/>
      <c r="C728" s="89">
        <v>3</v>
      </c>
      <c r="D728" s="203" t="s">
        <v>185</v>
      </c>
      <c r="H728" s="201" t="str">
        <f>CONCATENATE(L728,"-",C728,"-",LEFT(D728,3),LEFT(I728,3),"-",LEFT(J728,3),"-",5)</f>
        <v>HLP-3-DISCEN-WHI-5</v>
      </c>
      <c r="I728" s="194" t="s">
        <v>400</v>
      </c>
      <c r="J728" s="195" t="s">
        <v>350</v>
      </c>
      <c r="K728" s="197" t="s">
        <v>388</v>
      </c>
      <c r="L728" s="193" t="s">
        <v>209</v>
      </c>
      <c r="M728" s="388"/>
      <c r="N728" s="265"/>
      <c r="O728" s="284"/>
      <c r="P728" s="41"/>
      <c r="Q728" s="284"/>
      <c r="R728" s="105"/>
      <c r="S728" s="57"/>
      <c r="T728" s="57"/>
      <c r="U728" s="57"/>
      <c r="V728" s="285"/>
      <c r="W728" s="36"/>
      <c r="X728" s="48"/>
    </row>
    <row r="729" spans="2:24" x14ac:dyDescent="0.25">
      <c r="B729" s="405"/>
      <c r="C729" s="89">
        <v>3</v>
      </c>
      <c r="D729" s="203" t="s">
        <v>185</v>
      </c>
      <c r="H729" s="201" t="str">
        <f>CONCATENATE(L729,"-",C729,"-",LEFT(D729,3),LEFT(I729,3),"-",LEFT(J729,6))</f>
        <v>HLP-3-DISMIY-SMALL</v>
      </c>
      <c r="I729" s="194" t="s">
        <v>330</v>
      </c>
      <c r="J729" s="195" t="s">
        <v>138</v>
      </c>
      <c r="K729" s="197" t="s">
        <v>247</v>
      </c>
      <c r="L729" s="193" t="s">
        <v>209</v>
      </c>
      <c r="M729" s="274">
        <v>0</v>
      </c>
      <c r="N729" s="265"/>
      <c r="O729" s="284"/>
      <c r="P729" s="41"/>
      <c r="Q729" s="284"/>
      <c r="R729" s="105"/>
      <c r="S729" s="57"/>
      <c r="T729" s="57"/>
      <c r="U729" s="57"/>
      <c r="V729" s="285"/>
      <c r="W729" s="36"/>
      <c r="X729" s="48"/>
    </row>
    <row r="730" spans="2:24" x14ac:dyDescent="0.25">
      <c r="B730" s="405"/>
      <c r="C730" s="89">
        <v>3</v>
      </c>
      <c r="D730" s="203" t="s">
        <v>320</v>
      </c>
      <c r="H730" s="201" t="str">
        <f>CONCATENATE(L730,"-",C730,"-",LEFT(D730,3),LEFT(I730,3),"-",LEFT(J730,3))</f>
        <v>HLP-3-COFKLA-BLA</v>
      </c>
      <c r="I730" s="194" t="s">
        <v>321</v>
      </c>
      <c r="J730" s="195" t="s">
        <v>351</v>
      </c>
      <c r="K730" s="197" t="s">
        <v>390</v>
      </c>
      <c r="L730" s="193" t="s">
        <v>209</v>
      </c>
      <c r="M730" s="274">
        <f>'[2]Total Item Gudang HLP'!$F$71</f>
        <v>1</v>
      </c>
      <c r="N730" s="265"/>
      <c r="O730" s="284"/>
      <c r="P730" s="41"/>
      <c r="Q730" s="284"/>
      <c r="R730" s="105"/>
      <c r="S730" s="57"/>
      <c r="T730" s="57"/>
      <c r="U730" s="57"/>
      <c r="V730" s="285"/>
      <c r="W730" s="36"/>
      <c r="X730" s="48"/>
    </row>
    <row r="731" spans="2:24" x14ac:dyDescent="0.25">
      <c r="B731" s="405"/>
      <c r="C731" s="89">
        <v>3</v>
      </c>
      <c r="D731" s="203" t="s">
        <v>188</v>
      </c>
      <c r="H731" s="201" t="str">
        <f>CONCATENATE(L731,"-",C731,"-",LEFT(D731,3),LEFT(I731,3),"-",LEFT(J731,3))</f>
        <v>HLP-3-MICKRI-WHI</v>
      </c>
      <c r="I731" s="194" t="s">
        <v>187</v>
      </c>
      <c r="J731" s="195" t="s">
        <v>350</v>
      </c>
      <c r="K731" s="197" t="s">
        <v>390</v>
      </c>
      <c r="L731" s="193" t="s">
        <v>209</v>
      </c>
      <c r="M731" s="274">
        <f>'[2]Total Item Gudang HLP'!$F$72</f>
        <v>1</v>
      </c>
      <c r="N731" s="265"/>
      <c r="O731" s="284"/>
      <c r="P731" s="41"/>
      <c r="Q731" s="284"/>
      <c r="R731" s="105"/>
      <c r="S731" s="57"/>
      <c r="T731" s="57"/>
      <c r="U731" s="57"/>
      <c r="V731" s="285"/>
      <c r="W731" s="36"/>
      <c r="X731" s="48"/>
    </row>
    <row r="732" spans="2:24" x14ac:dyDescent="0.25">
      <c r="B732" s="405"/>
      <c r="C732" s="89">
        <v>3</v>
      </c>
      <c r="D732" s="203" t="s">
        <v>342</v>
      </c>
      <c r="H732" s="201" t="str">
        <f>CONCATENATE(L732,"-",C732,"-",LEFT(D732,3),LEFT(I732,3),"-",LEFT(J732,6))</f>
        <v>HLP-3-STECON-RAKIT</v>
      </c>
      <c r="I732" s="194" t="s">
        <v>344</v>
      </c>
      <c r="J732" s="195" t="s">
        <v>343</v>
      </c>
      <c r="K732" s="354" t="s">
        <v>359</v>
      </c>
      <c r="L732" s="193" t="s">
        <v>209</v>
      </c>
      <c r="M732" s="274">
        <v>0</v>
      </c>
      <c r="N732" s="265"/>
      <c r="O732" s="284"/>
      <c r="P732" s="41"/>
      <c r="Q732" s="284"/>
      <c r="R732" s="105"/>
      <c r="S732" s="57"/>
      <c r="T732" s="57"/>
      <c r="U732" s="57"/>
      <c r="V732" s="285"/>
      <c r="W732" s="36"/>
      <c r="X732" s="48"/>
    </row>
    <row r="733" spans="2:24" x14ac:dyDescent="0.25">
      <c r="B733" s="405"/>
      <c r="C733" s="89">
        <v>3</v>
      </c>
      <c r="D733" s="203" t="s">
        <v>189</v>
      </c>
      <c r="H733" s="201" t="str">
        <f>CONCATENATE(L733,"-",C733,"-",LEFT(D733,3),LEFT(I733,3),"-",LEFT(J733,4))</f>
        <v>HLP-3-REF3 P-TOSH</v>
      </c>
      <c r="I733" s="194" t="s">
        <v>190</v>
      </c>
      <c r="J733" s="195" t="s">
        <v>191</v>
      </c>
      <c r="K733" s="197" t="s">
        <v>391</v>
      </c>
      <c r="L733" s="193" t="s">
        <v>209</v>
      </c>
      <c r="M733" s="274">
        <f>'[2]Total Item Gudang HLP'!$F$73</f>
        <v>1</v>
      </c>
      <c r="N733" s="265"/>
      <c r="O733" s="284"/>
      <c r="P733" s="41"/>
      <c r="Q733" s="284"/>
      <c r="R733" s="105"/>
      <c r="S733" s="57"/>
      <c r="T733" s="57"/>
      <c r="U733" s="57"/>
      <c r="V733" s="285"/>
      <c r="W733" s="36"/>
      <c r="X733" s="48"/>
    </row>
    <row r="734" spans="2:24" x14ac:dyDescent="0.25">
      <c r="B734" s="405"/>
      <c r="C734" s="89">
        <v>3</v>
      </c>
      <c r="D734" s="203" t="s">
        <v>189</v>
      </c>
      <c r="H734" s="201" t="str">
        <f>CONCATENATE(L734,"-",C734,"-",LEFT(D734,3),LEFT(I734,3),"-",LEFT(J734,4))</f>
        <v>HLP-3-REF1 P-TOSH</v>
      </c>
      <c r="I734" s="194" t="s">
        <v>315</v>
      </c>
      <c r="J734" s="195" t="s">
        <v>191</v>
      </c>
      <c r="K734" s="354" t="s">
        <v>359</v>
      </c>
      <c r="L734" s="193" t="s">
        <v>209</v>
      </c>
      <c r="M734" s="274">
        <v>0</v>
      </c>
      <c r="N734" s="265"/>
      <c r="O734" s="284"/>
      <c r="P734" s="41"/>
      <c r="Q734" s="284"/>
      <c r="R734" s="105"/>
      <c r="S734" s="57"/>
      <c r="T734" s="57"/>
      <c r="U734" s="57"/>
      <c r="V734" s="285"/>
      <c r="W734" s="36"/>
      <c r="X734" s="48"/>
    </row>
    <row r="735" spans="2:24" x14ac:dyDescent="0.25">
      <c r="B735" s="405"/>
      <c r="C735" s="89">
        <v>3</v>
      </c>
      <c r="D735" s="203" t="s">
        <v>189</v>
      </c>
      <c r="H735" s="201" t="str">
        <f>CONCATENATE(L735,"-",C735,"-",LEFT(D735,3),LEFT(I735,3),"-",LEFT(J735,3))</f>
        <v>HLP-3-REF1 P-SHA</v>
      </c>
      <c r="I735" s="194" t="s">
        <v>315</v>
      </c>
      <c r="J735" s="195" t="s">
        <v>133</v>
      </c>
      <c r="K735" s="354" t="s">
        <v>359</v>
      </c>
      <c r="L735" s="193" t="s">
        <v>209</v>
      </c>
      <c r="M735" s="274">
        <v>0</v>
      </c>
      <c r="N735" s="265"/>
      <c r="O735" s="284"/>
      <c r="P735" s="41"/>
      <c r="Q735" s="284"/>
      <c r="R735" s="105"/>
      <c r="S735" s="57"/>
      <c r="T735" s="57"/>
      <c r="U735" s="57"/>
      <c r="V735" s="285"/>
      <c r="W735" s="36"/>
      <c r="X735" s="48"/>
    </row>
    <row r="736" spans="2:24" x14ac:dyDescent="0.25">
      <c r="B736" s="405"/>
      <c r="C736" s="89">
        <v>3</v>
      </c>
      <c r="D736" s="203" t="s">
        <v>189</v>
      </c>
      <c r="H736" s="201" t="str">
        <f>CONCATENATE(L736,"-",C736,"-",LEFT(D736,3),LEFT(I736,3),"-",LEFT(J736,3))</f>
        <v>HLP-3-REF2 P-SAM</v>
      </c>
      <c r="I736" s="194" t="s">
        <v>324</v>
      </c>
      <c r="J736" s="195" t="s">
        <v>221</v>
      </c>
      <c r="K736" s="354" t="s">
        <v>359</v>
      </c>
      <c r="L736" s="193" t="s">
        <v>209</v>
      </c>
      <c r="M736" s="274">
        <v>0</v>
      </c>
      <c r="N736" s="265"/>
      <c r="O736" s="284"/>
      <c r="P736" s="41"/>
      <c r="Q736" s="284"/>
      <c r="R736" s="105"/>
      <c r="S736" s="57"/>
      <c r="T736" s="57"/>
      <c r="U736" s="57"/>
      <c r="V736" s="285"/>
      <c r="W736" s="36"/>
      <c r="X736" s="48"/>
    </row>
    <row r="737" spans="2:24" x14ac:dyDescent="0.25">
      <c r="B737" s="405"/>
      <c r="C737" s="89">
        <v>3</v>
      </c>
      <c r="D737" s="203" t="s">
        <v>312</v>
      </c>
      <c r="H737" s="201" t="str">
        <f>CONCATENATE(L737,"-",C737,"-",LEFT(D737,3),LEFT(I737,3),"-",LEFT(J737,3))</f>
        <v>HLP-3-HUMKRI-SHA</v>
      </c>
      <c r="I737" s="194" t="s">
        <v>313</v>
      </c>
      <c r="J737" s="195" t="s">
        <v>133</v>
      </c>
      <c r="K737" s="354" t="s">
        <v>359</v>
      </c>
      <c r="L737" s="193" t="s">
        <v>209</v>
      </c>
      <c r="M737" s="274">
        <v>0</v>
      </c>
      <c r="N737" s="265"/>
      <c r="O737" s="284"/>
      <c r="P737" s="41"/>
      <c r="Q737" s="284"/>
      <c r="R737" s="105"/>
      <c r="S737" s="57"/>
      <c r="T737" s="57"/>
      <c r="U737" s="57"/>
      <c r="V737" s="285"/>
      <c r="W737" s="36"/>
      <c r="X737" s="48"/>
    </row>
    <row r="738" spans="2:24" x14ac:dyDescent="0.25">
      <c r="B738" s="405"/>
      <c r="C738" s="89">
        <v>3</v>
      </c>
      <c r="D738" s="203" t="s">
        <v>317</v>
      </c>
      <c r="H738" s="201" t="str">
        <f>CONCATENATE(L738,"-",C738,"-",LEFT(D738,3),LEFT(I738,3),"-",LEFT(J738,6))</f>
        <v>HLP-3-SOUPOR-BLACK</v>
      </c>
      <c r="I738" s="194" t="s">
        <v>318</v>
      </c>
      <c r="J738" s="195" t="s">
        <v>310</v>
      </c>
      <c r="K738" s="197" t="s">
        <v>354</v>
      </c>
      <c r="L738" s="193" t="s">
        <v>209</v>
      </c>
      <c r="M738" s="274">
        <f>'[2]Total Item Gudang HLP'!$F$69</f>
        <v>1</v>
      </c>
      <c r="N738" s="265"/>
      <c r="O738" s="284"/>
      <c r="P738" s="41"/>
      <c r="Q738" s="284"/>
      <c r="R738" s="105"/>
      <c r="S738" s="57"/>
      <c r="T738" s="57"/>
      <c r="U738" s="57"/>
      <c r="V738" s="285"/>
      <c r="W738" s="36"/>
      <c r="X738" s="48"/>
    </row>
    <row r="739" spans="2:24" x14ac:dyDescent="0.25">
      <c r="B739" s="405"/>
      <c r="C739" s="89">
        <v>3</v>
      </c>
      <c r="D739" s="203" t="s">
        <v>192</v>
      </c>
      <c r="H739" s="201" t="str">
        <f>CONCATENATE(L739,"-",C739,"-",LEFT(D739,3),LEFT(I739,3),"-",LEFT(J739,5))</f>
        <v>HLP-3-LAMREA-STAND</v>
      </c>
      <c r="I739" s="194" t="s">
        <v>193</v>
      </c>
      <c r="J739" s="195" t="s">
        <v>194</v>
      </c>
      <c r="K739" s="197" t="s">
        <v>354</v>
      </c>
      <c r="L739" s="193" t="s">
        <v>209</v>
      </c>
      <c r="M739" s="274">
        <f>'[2]Total Item Gudang HLP'!$F$23</f>
        <v>1</v>
      </c>
      <c r="N739" s="265"/>
      <c r="O739" s="284"/>
      <c r="P739" s="41"/>
      <c r="Q739" s="284"/>
      <c r="R739" s="105"/>
      <c r="S739" s="57"/>
      <c r="T739" s="57"/>
      <c r="U739" s="57"/>
      <c r="V739" s="285"/>
      <c r="W739" s="36"/>
      <c r="X739" s="48"/>
    </row>
    <row r="740" spans="2:24" x14ac:dyDescent="0.25">
      <c r="B740" s="405"/>
      <c r="C740" s="89">
        <v>3</v>
      </c>
      <c r="D740" s="203" t="s">
        <v>192</v>
      </c>
      <c r="H740" s="201" t="str">
        <f>CONCATENATE(L740,"-",C740,"-",LEFT(D740,3),LEFT(I740,3),"-",LEFT(J740,6))</f>
        <v>HLP-3-LAMBLU-KRIS</v>
      </c>
      <c r="I740" s="194" t="s">
        <v>195</v>
      </c>
      <c r="J740" s="195" t="s">
        <v>196</v>
      </c>
      <c r="K740" s="197" t="s">
        <v>354</v>
      </c>
      <c r="L740" s="193" t="s">
        <v>209</v>
      </c>
      <c r="M740" s="274">
        <v>1</v>
      </c>
      <c r="N740" s="265"/>
      <c r="O740" s="284"/>
      <c r="P740" s="41"/>
      <c r="Q740" s="284"/>
      <c r="R740" s="105"/>
      <c r="S740" s="57"/>
      <c r="T740" s="57"/>
      <c r="U740" s="57"/>
      <c r="V740" s="285"/>
      <c r="W740" s="36"/>
      <c r="X740" s="48"/>
    </row>
    <row r="741" spans="2:24" x14ac:dyDescent="0.25">
      <c r="B741" s="405"/>
      <c r="C741" s="89">
        <v>3</v>
      </c>
      <c r="D741" s="203" t="s">
        <v>298</v>
      </c>
      <c r="H741" s="201" t="str">
        <f>CONCATENATE(L741,"-",C741,"-",LEFT(D741,3),LEFT(I741,3),"-",LEFT(J741,3))</f>
        <v>HLP-3-DIEAIR-DEC</v>
      </c>
      <c r="I741" s="194" t="s">
        <v>299</v>
      </c>
      <c r="J741" s="195" t="s">
        <v>300</v>
      </c>
      <c r="K741" s="354" t="s">
        <v>359</v>
      </c>
      <c r="L741" s="193" t="s">
        <v>209</v>
      </c>
      <c r="M741" s="274">
        <v>0</v>
      </c>
      <c r="N741" s="265"/>
      <c r="O741" s="284"/>
      <c r="P741" s="41"/>
      <c r="Q741" s="284"/>
      <c r="R741" s="105"/>
      <c r="S741" s="57"/>
      <c r="T741" s="57"/>
      <c r="U741" s="57"/>
      <c r="V741" s="285"/>
      <c r="W741" s="36"/>
      <c r="X741" s="48"/>
    </row>
    <row r="742" spans="2:24" x14ac:dyDescent="0.25">
      <c r="B742" s="405"/>
      <c r="C742" s="89">
        <v>3</v>
      </c>
      <c r="D742" s="203" t="s">
        <v>301</v>
      </c>
      <c r="H742" s="201" t="str">
        <f>CONCATENATE(L742,"-",C742,"-",LEFT(D742,3),LEFT(I742,3),"-",LEFT(J742,3))</f>
        <v>HLP-3-PLAPLA-AIR</v>
      </c>
      <c r="I742" s="194" t="s">
        <v>301</v>
      </c>
      <c r="J742" s="195" t="s">
        <v>302</v>
      </c>
      <c r="K742" s="354" t="s">
        <v>359</v>
      </c>
      <c r="L742" s="193" t="s">
        <v>209</v>
      </c>
      <c r="M742" s="274">
        <v>0</v>
      </c>
      <c r="N742" s="265"/>
      <c r="O742" s="284"/>
      <c r="P742" s="41"/>
      <c r="Q742" s="284"/>
      <c r="R742" s="105"/>
      <c r="S742" s="57"/>
      <c r="T742" s="57"/>
      <c r="U742" s="57"/>
      <c r="V742" s="285"/>
      <c r="W742" s="36"/>
      <c r="X742" s="48"/>
    </row>
    <row r="743" spans="2:24" x14ac:dyDescent="0.25">
      <c r="B743" s="405"/>
      <c r="C743" s="89">
        <v>3</v>
      </c>
      <c r="D743" s="203" t="s">
        <v>303</v>
      </c>
      <c r="H743" s="201" t="str">
        <f>CONCATENATE(L743,"-",C743,"-",LEFT(D743,3),LEFT(I743,3),"-",LEFT(J743,6))</f>
        <v>HLP-3-TIRSEK-PEMBAT</v>
      </c>
      <c r="I743" s="194" t="s">
        <v>352</v>
      </c>
      <c r="J743" s="195" t="s">
        <v>304</v>
      </c>
      <c r="K743" s="354" t="s">
        <v>359</v>
      </c>
      <c r="L743" s="193" t="s">
        <v>209</v>
      </c>
      <c r="M743" s="274">
        <v>0</v>
      </c>
      <c r="N743" s="265"/>
      <c r="O743" s="284"/>
      <c r="P743" s="41"/>
      <c r="Q743" s="284"/>
      <c r="R743" s="105"/>
      <c r="S743" s="57"/>
      <c r="T743" s="57"/>
      <c r="U743" s="57"/>
      <c r="V743" s="285"/>
      <c r="W743" s="36"/>
      <c r="X743" s="48"/>
    </row>
    <row r="744" spans="2:24" ht="4.5" customHeight="1" thickBot="1" x14ac:dyDescent="0.3">
      <c r="B744" s="249"/>
      <c r="C744" s="250"/>
      <c r="D744" s="251"/>
      <c r="E744" s="252"/>
      <c r="F744" s="252"/>
      <c r="G744" s="252"/>
      <c r="H744" s="253"/>
      <c r="I744" s="254"/>
      <c r="J744" s="255"/>
      <c r="K744" s="255"/>
      <c r="L744" s="255"/>
      <c r="M744" s="276"/>
      <c r="N744" s="294"/>
      <c r="O744" s="273"/>
      <c r="P744" s="290"/>
      <c r="Q744" s="273"/>
      <c r="R744" s="291"/>
      <c r="S744" s="292"/>
      <c r="T744" s="292"/>
      <c r="U744" s="292"/>
      <c r="V744" s="295"/>
      <c r="W744" s="36"/>
      <c r="X744" s="48"/>
    </row>
    <row r="745" spans="2:24" x14ac:dyDescent="0.25">
      <c r="B745" s="404">
        <v>1</v>
      </c>
      <c r="C745" s="88">
        <v>1</v>
      </c>
      <c r="D745" s="202" t="s">
        <v>128</v>
      </c>
      <c r="E745" s="257"/>
      <c r="F745" s="257"/>
      <c r="G745" s="257"/>
      <c r="H745" s="261" t="str">
        <f>CONCATENATE(L745,"-",C745,"-",LEFT(D745,3),LEFT(I745,3),"-",LEFT(J745,6))</f>
        <v>RAA-1-ACSHA-1/2 PK</v>
      </c>
      <c r="I745" s="173" t="s">
        <v>133</v>
      </c>
      <c r="J745" s="178" t="s">
        <v>177</v>
      </c>
      <c r="K745" s="352" t="s">
        <v>359</v>
      </c>
      <c r="L745" s="178" t="s">
        <v>207</v>
      </c>
      <c r="M745" s="275">
        <v>0</v>
      </c>
      <c r="N745" s="44"/>
      <c r="O745" s="287"/>
      <c r="P745" s="288"/>
      <c r="Q745" s="289"/>
      <c r="R745" s="289"/>
      <c r="S745" s="289"/>
      <c r="T745" s="44"/>
      <c r="U745" s="44"/>
      <c r="V745" s="53"/>
    </row>
    <row r="746" spans="2:24" x14ac:dyDescent="0.25">
      <c r="B746" s="405"/>
      <c r="C746" s="89">
        <v>1</v>
      </c>
      <c r="D746" s="203" t="s">
        <v>128</v>
      </c>
      <c r="E746" s="259"/>
      <c r="F746" s="259"/>
      <c r="G746" s="259"/>
      <c r="H746" s="186" t="str">
        <f t="shared" ref="H746:H827" si="10">CONCATENATE(L746,"-",C746,"-",LEFT(D746,3),LEFT(I746,3),"-",LEFT(J746,6))</f>
        <v>RAA-1-ACSHA-3/4 PK</v>
      </c>
      <c r="I746" s="174" t="s">
        <v>133</v>
      </c>
      <c r="J746" s="175" t="s">
        <v>217</v>
      </c>
      <c r="K746" s="352" t="s">
        <v>359</v>
      </c>
      <c r="L746" s="178" t="s">
        <v>207</v>
      </c>
      <c r="M746" s="275">
        <v>0</v>
      </c>
      <c r="N746" s="41"/>
      <c r="O746" s="284"/>
      <c r="P746" s="105"/>
      <c r="Q746" s="57"/>
      <c r="R746" s="57"/>
      <c r="S746" s="57"/>
      <c r="T746" s="41"/>
      <c r="U746" s="41"/>
      <c r="V746" s="51"/>
    </row>
    <row r="747" spans="2:24" x14ac:dyDescent="0.25">
      <c r="B747" s="405"/>
      <c r="C747" s="89">
        <v>1</v>
      </c>
      <c r="D747" s="203" t="s">
        <v>128</v>
      </c>
      <c r="E747" s="259"/>
      <c r="F747" s="259"/>
      <c r="G747" s="259"/>
      <c r="H747" s="186" t="str">
        <f>CONCATENATE(L747,"-",C747,"-",LEFT(D747,3),LEFT(I747,3),"-",LEFT(J747,6),"-",1)</f>
        <v>RAA-1-ACSHA-1 PK-1</v>
      </c>
      <c r="I747" s="174" t="s">
        <v>133</v>
      </c>
      <c r="J747" s="176" t="s">
        <v>129</v>
      </c>
      <c r="K747" s="183" t="s">
        <v>402</v>
      </c>
      <c r="L747" s="178" t="s">
        <v>207</v>
      </c>
      <c r="M747" s="428">
        <v>3</v>
      </c>
      <c r="N747" s="41"/>
      <c r="O747" s="284"/>
      <c r="P747" s="105"/>
      <c r="Q747" s="57"/>
      <c r="R747" s="57"/>
      <c r="S747" s="57"/>
      <c r="T747" s="41"/>
      <c r="U747" s="41"/>
      <c r="V747" s="51"/>
    </row>
    <row r="748" spans="2:24" x14ac:dyDescent="0.25">
      <c r="B748" s="405"/>
      <c r="C748" s="89">
        <v>1</v>
      </c>
      <c r="D748" s="203" t="s">
        <v>128</v>
      </c>
      <c r="E748" s="259"/>
      <c r="F748" s="259"/>
      <c r="G748" s="259"/>
      <c r="H748" s="186" t="str">
        <f>CONCATENATE(L748,"-",C748,"-",LEFT(D748,3),LEFT(I748,3),"-",LEFT(J748,6),"-",2)</f>
        <v>RAA-1-ACSHA-1 PK-2</v>
      </c>
      <c r="I748" s="174" t="s">
        <v>133</v>
      </c>
      <c r="J748" s="176" t="s">
        <v>129</v>
      </c>
      <c r="K748" s="183" t="s">
        <v>404</v>
      </c>
      <c r="L748" s="178" t="s">
        <v>207</v>
      </c>
      <c r="M748" s="429"/>
      <c r="N748" s="41"/>
      <c r="O748" s="284"/>
      <c r="P748" s="105"/>
      <c r="Q748" s="57"/>
      <c r="R748" s="57"/>
      <c r="S748" s="57"/>
      <c r="T748" s="41"/>
      <c r="U748" s="41"/>
      <c r="V748" s="51"/>
    </row>
    <row r="749" spans="2:24" x14ac:dyDescent="0.25">
      <c r="B749" s="405"/>
      <c r="C749" s="89">
        <v>1</v>
      </c>
      <c r="D749" s="203" t="s">
        <v>128</v>
      </c>
      <c r="E749" s="259"/>
      <c r="F749" s="259"/>
      <c r="G749" s="259"/>
      <c r="H749" s="186" t="str">
        <f t="shared" si="10"/>
        <v>RAA-1-ACSHA-2 PK</v>
      </c>
      <c r="I749" s="174" t="s">
        <v>133</v>
      </c>
      <c r="J749" s="177" t="s">
        <v>131</v>
      </c>
      <c r="K749" s="183" t="s">
        <v>358</v>
      </c>
      <c r="L749" s="178" t="s">
        <v>207</v>
      </c>
      <c r="M749" s="275">
        <v>1</v>
      </c>
      <c r="N749" s="41"/>
      <c r="O749" s="284"/>
      <c r="P749" s="105"/>
      <c r="Q749" s="57"/>
      <c r="R749" s="57"/>
      <c r="S749" s="57"/>
      <c r="T749" s="41"/>
      <c r="U749" s="41"/>
      <c r="V749" s="51"/>
    </row>
    <row r="750" spans="2:24" x14ac:dyDescent="0.25">
      <c r="B750" s="405"/>
      <c r="C750" s="89">
        <v>1</v>
      </c>
      <c r="D750" s="203" t="s">
        <v>128</v>
      </c>
      <c r="E750" s="259"/>
      <c r="F750" s="259"/>
      <c r="G750" s="259"/>
      <c r="H750" s="186" t="str">
        <f t="shared" si="10"/>
        <v>RAA-1-ACSHA-5 PK</v>
      </c>
      <c r="I750" s="174" t="s">
        <v>133</v>
      </c>
      <c r="J750" s="176" t="s">
        <v>132</v>
      </c>
      <c r="K750" s="357" t="s">
        <v>359</v>
      </c>
      <c r="L750" s="178" t="s">
        <v>207</v>
      </c>
      <c r="M750" s="275">
        <v>0</v>
      </c>
      <c r="N750" s="41"/>
      <c r="O750" s="284"/>
      <c r="P750" s="105"/>
      <c r="Q750" s="57"/>
      <c r="R750" s="57"/>
      <c r="S750" s="57"/>
      <c r="T750" s="41"/>
      <c r="U750" s="41"/>
      <c r="V750" s="51"/>
    </row>
    <row r="751" spans="2:24" x14ac:dyDescent="0.25">
      <c r="B751" s="405"/>
      <c r="C751" s="89">
        <v>1</v>
      </c>
      <c r="D751" s="203" t="s">
        <v>128</v>
      </c>
      <c r="E751" s="259"/>
      <c r="F751" s="259"/>
      <c r="G751" s="259"/>
      <c r="H751" s="186" t="str">
        <f t="shared" si="10"/>
        <v>RAA-1-ACPAN-1/2 PK</v>
      </c>
      <c r="I751" s="174" t="s">
        <v>134</v>
      </c>
      <c r="J751" s="178" t="s">
        <v>177</v>
      </c>
      <c r="K751" s="357" t="s">
        <v>359</v>
      </c>
      <c r="L751" s="178" t="s">
        <v>207</v>
      </c>
      <c r="M751" s="275">
        <v>0</v>
      </c>
      <c r="N751" s="41"/>
      <c r="O751" s="284"/>
      <c r="P751" s="105"/>
      <c r="Q751" s="57"/>
      <c r="R751" s="57"/>
      <c r="S751" s="57"/>
      <c r="T751" s="41"/>
      <c r="U751" s="41"/>
      <c r="V751" s="51"/>
    </row>
    <row r="752" spans="2:24" x14ac:dyDescent="0.25">
      <c r="B752" s="405"/>
      <c r="C752" s="89">
        <v>1</v>
      </c>
      <c r="D752" s="203" t="s">
        <v>128</v>
      </c>
      <c r="E752" s="259"/>
      <c r="F752" s="259"/>
      <c r="G752" s="259"/>
      <c r="H752" s="186" t="str">
        <f t="shared" si="10"/>
        <v>RAA-1-ACPAN-3/4 PK</v>
      </c>
      <c r="I752" s="174" t="s">
        <v>134</v>
      </c>
      <c r="J752" s="175" t="s">
        <v>217</v>
      </c>
      <c r="K752" s="357" t="s">
        <v>359</v>
      </c>
      <c r="L752" s="178" t="s">
        <v>207</v>
      </c>
      <c r="M752" s="275">
        <v>0</v>
      </c>
      <c r="N752" s="41"/>
      <c r="O752" s="284"/>
      <c r="P752" s="105"/>
      <c r="Q752" s="57"/>
      <c r="R752" s="57"/>
      <c r="S752" s="57"/>
      <c r="T752" s="41"/>
      <c r="U752" s="41"/>
      <c r="V752" s="51"/>
    </row>
    <row r="753" spans="2:22" x14ac:dyDescent="0.25">
      <c r="B753" s="405"/>
      <c r="C753" s="89">
        <v>1</v>
      </c>
      <c r="D753" s="203" t="s">
        <v>128</v>
      </c>
      <c r="E753" s="259"/>
      <c r="F753" s="259"/>
      <c r="G753" s="259"/>
      <c r="H753" s="186" t="str">
        <f t="shared" si="10"/>
        <v>RAA-1-ACPAN-1 PK</v>
      </c>
      <c r="I753" s="174" t="s">
        <v>134</v>
      </c>
      <c r="J753" s="176" t="s">
        <v>129</v>
      </c>
      <c r="K753" s="357" t="s">
        <v>359</v>
      </c>
      <c r="L753" s="178" t="s">
        <v>207</v>
      </c>
      <c r="M753" s="275">
        <v>0</v>
      </c>
      <c r="N753" s="41"/>
      <c r="O753" s="284"/>
      <c r="P753" s="105"/>
      <c r="Q753" s="57"/>
      <c r="R753" s="57"/>
      <c r="S753" s="57"/>
      <c r="T753" s="41"/>
      <c r="U753" s="41"/>
      <c r="V753" s="51"/>
    </row>
    <row r="754" spans="2:22" x14ac:dyDescent="0.25">
      <c r="B754" s="405"/>
      <c r="C754" s="89">
        <v>1</v>
      </c>
      <c r="D754" s="203" t="s">
        <v>128</v>
      </c>
      <c r="E754" s="259"/>
      <c r="F754" s="259"/>
      <c r="G754" s="259"/>
      <c r="H754" s="186" t="str">
        <f t="shared" si="10"/>
        <v>RAA-1-ACPAN-1,5 PK</v>
      </c>
      <c r="I754" s="174" t="s">
        <v>134</v>
      </c>
      <c r="J754" s="176" t="s">
        <v>130</v>
      </c>
      <c r="K754" s="357" t="s">
        <v>359</v>
      </c>
      <c r="L754" s="178" t="s">
        <v>207</v>
      </c>
      <c r="M754" s="275">
        <v>0</v>
      </c>
      <c r="N754" s="41"/>
      <c r="O754" s="284"/>
      <c r="P754" s="105"/>
      <c r="Q754" s="57"/>
      <c r="R754" s="57"/>
      <c r="S754" s="57"/>
      <c r="T754" s="41"/>
      <c r="U754" s="41"/>
      <c r="V754" s="51"/>
    </row>
    <row r="755" spans="2:22" x14ac:dyDescent="0.25">
      <c r="B755" s="405"/>
      <c r="C755" s="89">
        <v>1</v>
      </c>
      <c r="D755" s="203" t="s">
        <v>128</v>
      </c>
      <c r="E755" s="259"/>
      <c r="F755" s="259"/>
      <c r="G755" s="259"/>
      <c r="H755" s="186" t="str">
        <f t="shared" si="10"/>
        <v>RAA-1-ACPAN-2 PK</v>
      </c>
      <c r="I755" s="174" t="s">
        <v>134</v>
      </c>
      <c r="J755" s="177" t="s">
        <v>131</v>
      </c>
      <c r="K755" s="357" t="s">
        <v>359</v>
      </c>
      <c r="L755" s="178" t="s">
        <v>207</v>
      </c>
      <c r="M755" s="275">
        <v>0</v>
      </c>
      <c r="N755" s="41"/>
      <c r="O755" s="284"/>
      <c r="P755" s="105"/>
      <c r="Q755" s="57"/>
      <c r="R755" s="57"/>
      <c r="S755" s="57"/>
      <c r="T755" s="41"/>
      <c r="U755" s="41"/>
      <c r="V755" s="51"/>
    </row>
    <row r="756" spans="2:22" x14ac:dyDescent="0.25">
      <c r="B756" s="405"/>
      <c r="C756" s="89">
        <v>1</v>
      </c>
      <c r="D756" s="203" t="s">
        <v>128</v>
      </c>
      <c r="E756" s="259"/>
      <c r="F756" s="259"/>
      <c r="G756" s="259"/>
      <c r="H756" s="186" t="str">
        <f t="shared" si="10"/>
        <v>RAA-1-ACPAN-5 PK</v>
      </c>
      <c r="I756" s="174" t="s">
        <v>134</v>
      </c>
      <c r="J756" s="176" t="s">
        <v>132</v>
      </c>
      <c r="K756" s="357" t="s">
        <v>359</v>
      </c>
      <c r="L756" s="178" t="s">
        <v>207</v>
      </c>
      <c r="M756" s="275">
        <v>0</v>
      </c>
      <c r="N756" s="41"/>
      <c r="O756" s="284"/>
      <c r="P756" s="105"/>
      <c r="Q756" s="57"/>
      <c r="R756" s="57"/>
      <c r="S756" s="57"/>
      <c r="T756" s="41"/>
      <c r="U756" s="41"/>
      <c r="V756" s="51"/>
    </row>
    <row r="757" spans="2:22" x14ac:dyDescent="0.25">
      <c r="B757" s="405"/>
      <c r="C757" s="89">
        <v>1</v>
      </c>
      <c r="D757" s="203" t="s">
        <v>128</v>
      </c>
      <c r="E757" s="259"/>
      <c r="F757" s="259"/>
      <c r="G757" s="259"/>
      <c r="H757" s="186" t="str">
        <f t="shared" si="10"/>
        <v>RAA-1-ACCHA-1/2 PK</v>
      </c>
      <c r="I757" s="174" t="s">
        <v>339</v>
      </c>
      <c r="J757" s="178" t="s">
        <v>177</v>
      </c>
      <c r="K757" s="357" t="s">
        <v>359</v>
      </c>
      <c r="L757" s="178" t="s">
        <v>207</v>
      </c>
      <c r="M757" s="275">
        <v>0</v>
      </c>
      <c r="N757" s="41"/>
      <c r="O757" s="284"/>
      <c r="P757" s="105"/>
      <c r="Q757" s="57"/>
      <c r="R757" s="57"/>
      <c r="S757" s="57"/>
      <c r="T757" s="41"/>
      <c r="U757" s="41"/>
      <c r="V757" s="51"/>
    </row>
    <row r="758" spans="2:22" x14ac:dyDescent="0.25">
      <c r="B758" s="405"/>
      <c r="C758" s="89">
        <v>1</v>
      </c>
      <c r="D758" s="203" t="s">
        <v>128</v>
      </c>
      <c r="E758" s="259"/>
      <c r="F758" s="259"/>
      <c r="G758" s="259"/>
      <c r="H758" s="186" t="str">
        <f t="shared" si="10"/>
        <v>RAA-1-ACCHA-3/4 PK</v>
      </c>
      <c r="I758" s="174" t="s">
        <v>339</v>
      </c>
      <c r="J758" s="175" t="s">
        <v>217</v>
      </c>
      <c r="K758" s="357" t="s">
        <v>359</v>
      </c>
      <c r="L758" s="178" t="s">
        <v>207</v>
      </c>
      <c r="M758" s="275">
        <v>0</v>
      </c>
      <c r="N758" s="41"/>
      <c r="O758" s="284"/>
      <c r="P758" s="105"/>
      <c r="Q758" s="57"/>
      <c r="R758" s="57"/>
      <c r="S758" s="57"/>
      <c r="T758" s="41"/>
      <c r="U758" s="41"/>
      <c r="V758" s="51"/>
    </row>
    <row r="759" spans="2:22" x14ac:dyDescent="0.25">
      <c r="B759" s="405"/>
      <c r="C759" s="89">
        <v>1</v>
      </c>
      <c r="D759" s="203" t="s">
        <v>128</v>
      </c>
      <c r="E759" s="259"/>
      <c r="F759" s="259"/>
      <c r="G759" s="259"/>
      <c r="H759" s="186" t="str">
        <f t="shared" si="10"/>
        <v>RAA-1-ACCHA-1 PK</v>
      </c>
      <c r="I759" s="174" t="s">
        <v>339</v>
      </c>
      <c r="J759" s="176" t="s">
        <v>129</v>
      </c>
      <c r="K759" s="357" t="s">
        <v>359</v>
      </c>
      <c r="L759" s="178" t="s">
        <v>207</v>
      </c>
      <c r="M759" s="275">
        <v>0</v>
      </c>
      <c r="N759" s="41"/>
      <c r="O759" s="284"/>
      <c r="P759" s="105"/>
      <c r="Q759" s="57"/>
      <c r="R759" s="57"/>
      <c r="S759" s="57"/>
      <c r="T759" s="41"/>
      <c r="U759" s="41"/>
      <c r="V759" s="51"/>
    </row>
    <row r="760" spans="2:22" x14ac:dyDescent="0.25">
      <c r="B760" s="405"/>
      <c r="C760" s="89">
        <v>1</v>
      </c>
      <c r="D760" s="203" t="s">
        <v>128</v>
      </c>
      <c r="E760" s="259"/>
      <c r="F760" s="259"/>
      <c r="G760" s="259"/>
      <c r="H760" s="186" t="str">
        <f t="shared" si="10"/>
        <v>RAA-1-ACCHA-1,5 PK</v>
      </c>
      <c r="I760" s="174" t="s">
        <v>339</v>
      </c>
      <c r="J760" s="176" t="s">
        <v>130</v>
      </c>
      <c r="K760" s="357" t="s">
        <v>359</v>
      </c>
      <c r="L760" s="178" t="s">
        <v>207</v>
      </c>
      <c r="M760" s="275">
        <v>0</v>
      </c>
      <c r="N760" s="41"/>
      <c r="O760" s="284"/>
      <c r="P760" s="105"/>
      <c r="Q760" s="57"/>
      <c r="R760" s="57"/>
      <c r="S760" s="57"/>
      <c r="T760" s="41"/>
      <c r="U760" s="41"/>
      <c r="V760" s="51"/>
    </row>
    <row r="761" spans="2:22" x14ac:dyDescent="0.25">
      <c r="B761" s="405"/>
      <c r="C761" s="89">
        <v>1</v>
      </c>
      <c r="D761" s="203" t="s">
        <v>128</v>
      </c>
      <c r="E761" s="259"/>
      <c r="F761" s="259"/>
      <c r="G761" s="259"/>
      <c r="H761" s="186" t="str">
        <f t="shared" si="10"/>
        <v>RAA-1-ACCHA-2 PK</v>
      </c>
      <c r="I761" s="174" t="s">
        <v>339</v>
      </c>
      <c r="J761" s="177" t="s">
        <v>131</v>
      </c>
      <c r="K761" s="357" t="s">
        <v>359</v>
      </c>
      <c r="L761" s="178" t="s">
        <v>207</v>
      </c>
      <c r="M761" s="275">
        <v>0</v>
      </c>
      <c r="N761" s="41"/>
      <c r="O761" s="284"/>
      <c r="P761" s="105"/>
      <c r="Q761" s="57"/>
      <c r="R761" s="57"/>
      <c r="S761" s="57"/>
      <c r="T761" s="41"/>
      <c r="U761" s="41"/>
      <c r="V761" s="51"/>
    </row>
    <row r="762" spans="2:22" x14ac:dyDescent="0.25">
      <c r="B762" s="405"/>
      <c r="C762" s="89">
        <v>1</v>
      </c>
      <c r="D762" s="203" t="s">
        <v>128</v>
      </c>
      <c r="E762" s="259"/>
      <c r="F762" s="259"/>
      <c r="G762" s="259"/>
      <c r="H762" s="186" t="str">
        <f t="shared" si="10"/>
        <v>RAA-1-ACCHA-5 PK</v>
      </c>
      <c r="I762" s="174" t="s">
        <v>339</v>
      </c>
      <c r="J762" s="176" t="s">
        <v>132</v>
      </c>
      <c r="K762" s="357" t="s">
        <v>359</v>
      </c>
      <c r="L762" s="178" t="s">
        <v>207</v>
      </c>
      <c r="M762" s="275">
        <v>0</v>
      </c>
      <c r="N762" s="41"/>
      <c r="O762" s="284"/>
      <c r="P762" s="105"/>
      <c r="Q762" s="57"/>
      <c r="R762" s="57"/>
      <c r="S762" s="57"/>
      <c r="T762" s="41"/>
      <c r="U762" s="41"/>
      <c r="V762" s="51"/>
    </row>
    <row r="763" spans="2:22" x14ac:dyDescent="0.25">
      <c r="B763" s="405"/>
      <c r="C763" s="89">
        <v>1</v>
      </c>
      <c r="D763" s="203" t="s">
        <v>128</v>
      </c>
      <c r="E763" s="259"/>
      <c r="F763" s="259"/>
      <c r="G763" s="259"/>
      <c r="H763" s="186" t="str">
        <f t="shared" si="10"/>
        <v>RAA-1-ACGRE-1/2 PK</v>
      </c>
      <c r="I763" s="174" t="s">
        <v>135</v>
      </c>
      <c r="J763" s="178" t="s">
        <v>177</v>
      </c>
      <c r="K763" s="357" t="s">
        <v>359</v>
      </c>
      <c r="L763" s="178" t="s">
        <v>207</v>
      </c>
      <c r="M763" s="275">
        <v>0</v>
      </c>
      <c r="N763" s="41"/>
      <c r="O763" s="284"/>
      <c r="P763" s="105"/>
      <c r="Q763" s="57"/>
      <c r="R763" s="57"/>
      <c r="S763" s="57"/>
      <c r="T763" s="41"/>
      <c r="U763" s="41"/>
      <c r="V763" s="51"/>
    </row>
    <row r="764" spans="2:22" x14ac:dyDescent="0.25">
      <c r="B764" s="405"/>
      <c r="C764" s="89">
        <v>1</v>
      </c>
      <c r="D764" s="203" t="s">
        <v>128</v>
      </c>
      <c r="E764" s="259"/>
      <c r="F764" s="259"/>
      <c r="G764" s="259"/>
      <c r="H764" s="186" t="str">
        <f t="shared" si="10"/>
        <v>RAA-1-ACGRE-3/4 PK</v>
      </c>
      <c r="I764" s="174" t="s">
        <v>135</v>
      </c>
      <c r="J764" s="175" t="s">
        <v>217</v>
      </c>
      <c r="K764" s="357" t="s">
        <v>359</v>
      </c>
      <c r="L764" s="178" t="s">
        <v>207</v>
      </c>
      <c r="M764" s="275">
        <v>0</v>
      </c>
      <c r="N764" s="41"/>
      <c r="O764" s="284"/>
      <c r="P764" s="105"/>
      <c r="Q764" s="57"/>
      <c r="R764" s="57"/>
      <c r="S764" s="57"/>
      <c r="T764" s="41"/>
      <c r="U764" s="41"/>
      <c r="V764" s="51"/>
    </row>
    <row r="765" spans="2:22" x14ac:dyDescent="0.25">
      <c r="B765" s="405"/>
      <c r="C765" s="89">
        <v>1</v>
      </c>
      <c r="D765" s="203" t="s">
        <v>128</v>
      </c>
      <c r="E765" s="259"/>
      <c r="F765" s="259"/>
      <c r="G765" s="259"/>
      <c r="H765" s="186" t="str">
        <f>CONCATENATE(L765,"-",C765,"-",LEFT(D765,3),LEFT(I765,3),"-",LEFT(J765,6),"-",1)</f>
        <v>RAA-1-ACGRE-1 PK-1</v>
      </c>
      <c r="I765" s="174" t="s">
        <v>135</v>
      </c>
      <c r="J765" s="176" t="s">
        <v>129</v>
      </c>
      <c r="K765" s="183" t="s">
        <v>401</v>
      </c>
      <c r="L765" s="178" t="s">
        <v>207</v>
      </c>
      <c r="M765" s="428">
        <v>3</v>
      </c>
      <c r="N765" s="41"/>
      <c r="O765" s="284"/>
      <c r="P765" s="105"/>
      <c r="Q765" s="57"/>
      <c r="R765" s="57"/>
      <c r="S765" s="57"/>
      <c r="T765" s="41"/>
      <c r="U765" s="41"/>
      <c r="V765" s="51"/>
    </row>
    <row r="766" spans="2:22" x14ac:dyDescent="0.25">
      <c r="B766" s="405"/>
      <c r="C766" s="89">
        <v>1</v>
      </c>
      <c r="D766" s="203" t="s">
        <v>128</v>
      </c>
      <c r="E766" s="259"/>
      <c r="F766" s="259"/>
      <c r="G766" s="259"/>
      <c r="H766" s="186" t="str">
        <f>CONCATENATE(L766,"-",C766,"-",LEFT(D766,3),LEFT(I766,3),"-",LEFT(J766,6),"-",2)</f>
        <v>RAA-1-ACGRE-1 PK-2</v>
      </c>
      <c r="I766" s="174" t="s">
        <v>135</v>
      </c>
      <c r="J766" s="176" t="s">
        <v>129</v>
      </c>
      <c r="K766" s="183" t="s">
        <v>403</v>
      </c>
      <c r="L766" s="178" t="s">
        <v>207</v>
      </c>
      <c r="M766" s="429"/>
      <c r="N766" s="41"/>
      <c r="O766" s="284"/>
      <c r="P766" s="105"/>
      <c r="Q766" s="57"/>
      <c r="R766" s="57"/>
      <c r="S766" s="57"/>
      <c r="T766" s="41"/>
      <c r="U766" s="41"/>
      <c r="V766" s="51"/>
    </row>
    <row r="767" spans="2:22" x14ac:dyDescent="0.25">
      <c r="B767" s="405"/>
      <c r="C767" s="89">
        <v>1</v>
      </c>
      <c r="D767" s="203" t="s">
        <v>128</v>
      </c>
      <c r="E767" s="259"/>
      <c r="F767" s="259"/>
      <c r="G767" s="259"/>
      <c r="H767" s="186" t="str">
        <f>CONCATENATE(L767,"-",C767,"-",LEFT(D767,3),LEFT(I767,3),"-",LEFT(J767,6),"-",3)</f>
        <v>RAA-1-ACGRE-1 PK-3</v>
      </c>
      <c r="I767" s="174" t="s">
        <v>135</v>
      </c>
      <c r="J767" s="176" t="s">
        <v>129</v>
      </c>
      <c r="K767" s="183" t="s">
        <v>406</v>
      </c>
      <c r="L767" s="178" t="s">
        <v>207</v>
      </c>
      <c r="M767" s="430"/>
      <c r="N767" s="41"/>
      <c r="O767" s="284"/>
      <c r="P767" s="105"/>
      <c r="Q767" s="57"/>
      <c r="R767" s="57"/>
      <c r="S767" s="57"/>
      <c r="T767" s="41"/>
      <c r="U767" s="41"/>
      <c r="V767" s="51"/>
    </row>
    <row r="768" spans="2:22" x14ac:dyDescent="0.25">
      <c r="B768" s="405"/>
      <c r="C768" s="89">
        <v>1</v>
      </c>
      <c r="D768" s="203" t="s">
        <v>128</v>
      </c>
      <c r="E768" s="259"/>
      <c r="F768" s="259"/>
      <c r="G768" s="259"/>
      <c r="H768" s="186" t="str">
        <f t="shared" si="10"/>
        <v>RAA-1-ACGRE-1,5 PK</v>
      </c>
      <c r="I768" s="174" t="s">
        <v>135</v>
      </c>
      <c r="J768" s="176" t="s">
        <v>130</v>
      </c>
      <c r="K768" s="357" t="s">
        <v>359</v>
      </c>
      <c r="L768" s="178" t="s">
        <v>207</v>
      </c>
      <c r="M768" s="275">
        <v>0</v>
      </c>
      <c r="N768" s="41"/>
      <c r="O768" s="284"/>
      <c r="P768" s="105"/>
      <c r="Q768" s="57"/>
      <c r="R768" s="57"/>
      <c r="S768" s="57"/>
      <c r="T768" s="41"/>
      <c r="U768" s="41"/>
      <c r="V768" s="51"/>
    </row>
    <row r="769" spans="2:22" x14ac:dyDescent="0.25">
      <c r="B769" s="405"/>
      <c r="C769" s="89">
        <v>1</v>
      </c>
      <c r="D769" s="203" t="s">
        <v>128</v>
      </c>
      <c r="E769" s="259"/>
      <c r="F769" s="259"/>
      <c r="G769" s="259"/>
      <c r="H769" s="186" t="str">
        <f t="shared" si="10"/>
        <v>RAA-1-ACGRE-2 PK</v>
      </c>
      <c r="I769" s="174" t="s">
        <v>135</v>
      </c>
      <c r="J769" s="177" t="s">
        <v>131</v>
      </c>
      <c r="K769" s="357" t="s">
        <v>359</v>
      </c>
      <c r="L769" s="178" t="s">
        <v>207</v>
      </c>
      <c r="M769" s="275">
        <v>0</v>
      </c>
      <c r="N769" s="41"/>
      <c r="O769" s="284"/>
      <c r="P769" s="105"/>
      <c r="Q769" s="57"/>
      <c r="R769" s="57"/>
      <c r="S769" s="57"/>
      <c r="T769" s="41"/>
      <c r="U769" s="41"/>
      <c r="V769" s="51"/>
    </row>
    <row r="770" spans="2:22" x14ac:dyDescent="0.25">
      <c r="B770" s="405"/>
      <c r="C770" s="89">
        <v>1</v>
      </c>
      <c r="D770" s="203" t="s">
        <v>128</v>
      </c>
      <c r="E770" s="259"/>
      <c r="F770" s="259"/>
      <c r="G770" s="259"/>
      <c r="H770" s="186" t="str">
        <f t="shared" si="10"/>
        <v>RAA-1-ACGRE-5 PK</v>
      </c>
      <c r="I770" s="174" t="s">
        <v>135</v>
      </c>
      <c r="J770" s="176" t="s">
        <v>132</v>
      </c>
      <c r="K770" s="357" t="s">
        <v>359</v>
      </c>
      <c r="L770" s="178" t="s">
        <v>207</v>
      </c>
      <c r="M770" s="275">
        <v>0</v>
      </c>
      <c r="N770" s="41"/>
      <c r="O770" s="284"/>
      <c r="P770" s="105"/>
      <c r="Q770" s="57"/>
      <c r="R770" s="57"/>
      <c r="S770" s="57"/>
      <c r="T770" s="41"/>
      <c r="U770" s="41"/>
      <c r="V770" s="51"/>
    </row>
    <row r="771" spans="2:22" x14ac:dyDescent="0.25">
      <c r="B771" s="405"/>
      <c r="C771" s="89">
        <v>1</v>
      </c>
      <c r="D771" s="203" t="s">
        <v>128</v>
      </c>
      <c r="E771" s="259"/>
      <c r="F771" s="259"/>
      <c r="G771" s="259"/>
      <c r="H771" s="186" t="str">
        <f t="shared" si="10"/>
        <v>RAA-1-ACSAN-1/2 PK</v>
      </c>
      <c r="I771" s="174" t="s">
        <v>136</v>
      </c>
      <c r="J771" s="178" t="s">
        <v>177</v>
      </c>
      <c r="K771" s="357" t="s">
        <v>359</v>
      </c>
      <c r="L771" s="178" t="s">
        <v>207</v>
      </c>
      <c r="M771" s="275">
        <v>0</v>
      </c>
      <c r="N771" s="41"/>
      <c r="O771" s="284"/>
      <c r="P771" s="105"/>
      <c r="Q771" s="57"/>
      <c r="R771" s="57"/>
      <c r="S771" s="57"/>
      <c r="T771" s="41"/>
      <c r="U771" s="41"/>
      <c r="V771" s="51"/>
    </row>
    <row r="772" spans="2:22" x14ac:dyDescent="0.25">
      <c r="B772" s="405"/>
      <c r="C772" s="89">
        <v>1</v>
      </c>
      <c r="D772" s="203" t="s">
        <v>128</v>
      </c>
      <c r="E772" s="259"/>
      <c r="F772" s="259"/>
      <c r="G772" s="259"/>
      <c r="H772" s="186" t="str">
        <f t="shared" si="10"/>
        <v>RAA-1-ACSAN-3/4 PK</v>
      </c>
      <c r="I772" s="174" t="s">
        <v>136</v>
      </c>
      <c r="J772" s="175" t="s">
        <v>217</v>
      </c>
      <c r="K772" s="357" t="s">
        <v>359</v>
      </c>
      <c r="L772" s="178" t="s">
        <v>207</v>
      </c>
      <c r="M772" s="275">
        <v>0</v>
      </c>
      <c r="N772" s="41"/>
      <c r="O772" s="284"/>
      <c r="P772" s="105"/>
      <c r="Q772" s="57"/>
      <c r="R772" s="57"/>
      <c r="S772" s="57"/>
      <c r="T772" s="41"/>
      <c r="U772" s="41"/>
      <c r="V772" s="51"/>
    </row>
    <row r="773" spans="2:22" x14ac:dyDescent="0.25">
      <c r="B773" s="405"/>
      <c r="C773" s="89">
        <v>1</v>
      </c>
      <c r="D773" s="203" t="s">
        <v>128</v>
      </c>
      <c r="E773" s="259"/>
      <c r="F773" s="259"/>
      <c r="G773" s="259"/>
      <c r="H773" s="186" t="str">
        <f>CONCATENATE(L773,"-",C773,"-",LEFT(D773,3),LEFT(I773,3),"-",LEFT(J773,6),"-",1)</f>
        <v>RAA-1-ACSAN-1 PK-1</v>
      </c>
      <c r="I773" s="174" t="s">
        <v>136</v>
      </c>
      <c r="J773" s="176" t="s">
        <v>129</v>
      </c>
      <c r="K773" s="183" t="s">
        <v>405</v>
      </c>
      <c r="L773" s="178" t="s">
        <v>207</v>
      </c>
      <c r="M773" s="232">
        <v>1</v>
      </c>
      <c r="N773" s="41"/>
      <c r="O773" s="284"/>
      <c r="P773" s="105"/>
      <c r="Q773" s="57"/>
      <c r="R773" s="57"/>
      <c r="S773" s="57"/>
      <c r="T773" s="41"/>
      <c r="U773" s="41"/>
      <c r="V773" s="51"/>
    </row>
    <row r="774" spans="2:22" x14ac:dyDescent="0.25">
      <c r="B774" s="405"/>
      <c r="C774" s="89">
        <v>1</v>
      </c>
      <c r="D774" s="203" t="s">
        <v>128</v>
      </c>
      <c r="E774" s="259"/>
      <c r="F774" s="259"/>
      <c r="G774" s="259"/>
      <c r="H774" s="186" t="str">
        <f t="shared" si="10"/>
        <v>RAA-1-ACSAN-1,5 PK</v>
      </c>
      <c r="I774" s="174" t="s">
        <v>136</v>
      </c>
      <c r="J774" s="176" t="s">
        <v>130</v>
      </c>
      <c r="K774" s="357" t="s">
        <v>359</v>
      </c>
      <c r="L774" s="178" t="s">
        <v>207</v>
      </c>
      <c r="M774" s="275">
        <v>0</v>
      </c>
      <c r="N774" s="41"/>
      <c r="O774" s="284"/>
      <c r="P774" s="105"/>
      <c r="Q774" s="57"/>
      <c r="R774" s="57"/>
      <c r="S774" s="57"/>
      <c r="T774" s="41"/>
      <c r="U774" s="41"/>
      <c r="V774" s="51"/>
    </row>
    <row r="775" spans="2:22" x14ac:dyDescent="0.25">
      <c r="B775" s="405"/>
      <c r="C775" s="89">
        <v>1</v>
      </c>
      <c r="D775" s="203" t="s">
        <v>128</v>
      </c>
      <c r="E775" s="259"/>
      <c r="F775" s="259"/>
      <c r="G775" s="259"/>
      <c r="H775" s="186" t="str">
        <f t="shared" si="10"/>
        <v>RAA-1-ACSAN-2 PK</v>
      </c>
      <c r="I775" s="174" t="s">
        <v>136</v>
      </c>
      <c r="J775" s="177" t="s">
        <v>131</v>
      </c>
      <c r="K775" s="357" t="s">
        <v>359</v>
      </c>
      <c r="L775" s="178" t="s">
        <v>207</v>
      </c>
      <c r="M775" s="275">
        <v>0</v>
      </c>
      <c r="N775" s="41"/>
      <c r="O775" s="284"/>
      <c r="P775" s="105"/>
      <c r="Q775" s="57"/>
      <c r="R775" s="57"/>
      <c r="S775" s="57"/>
      <c r="T775" s="41"/>
      <c r="U775" s="41"/>
      <c r="V775" s="51"/>
    </row>
    <row r="776" spans="2:22" x14ac:dyDescent="0.25">
      <c r="B776" s="405"/>
      <c r="C776" s="89">
        <v>1</v>
      </c>
      <c r="D776" s="203" t="s">
        <v>128</v>
      </c>
      <c r="E776" s="259"/>
      <c r="F776" s="259"/>
      <c r="G776" s="259"/>
      <c r="H776" s="186" t="str">
        <f t="shared" si="10"/>
        <v>RAA-1-ACSAN-5 PK</v>
      </c>
      <c r="I776" s="174" t="s">
        <v>136</v>
      </c>
      <c r="J776" s="176" t="s">
        <v>132</v>
      </c>
      <c r="K776" s="357" t="s">
        <v>359</v>
      </c>
      <c r="L776" s="178" t="s">
        <v>207</v>
      </c>
      <c r="M776" s="275">
        <v>0</v>
      </c>
      <c r="N776" s="41"/>
      <c r="O776" s="284"/>
      <c r="P776" s="105"/>
      <c r="Q776" s="57"/>
      <c r="R776" s="57"/>
      <c r="S776" s="57"/>
      <c r="T776" s="41"/>
      <c r="U776" s="41"/>
      <c r="V776" s="51"/>
    </row>
    <row r="777" spans="2:22" x14ac:dyDescent="0.25">
      <c r="B777" s="405"/>
      <c r="C777" s="89">
        <v>1</v>
      </c>
      <c r="D777" s="203" t="s">
        <v>128</v>
      </c>
      <c r="E777" s="259"/>
      <c r="F777" s="259"/>
      <c r="G777" s="259"/>
      <c r="H777" s="186" t="str">
        <f t="shared" si="10"/>
        <v>RAA-1-ACDAI-1/2 PK</v>
      </c>
      <c r="I777" s="174" t="s">
        <v>137</v>
      </c>
      <c r="J777" s="178" t="s">
        <v>177</v>
      </c>
      <c r="K777" s="357" t="s">
        <v>359</v>
      </c>
      <c r="L777" s="178" t="s">
        <v>207</v>
      </c>
      <c r="M777" s="275">
        <v>0</v>
      </c>
      <c r="N777" s="41"/>
      <c r="O777" s="284"/>
      <c r="P777" s="105"/>
      <c r="Q777" s="57"/>
      <c r="R777" s="57"/>
      <c r="S777" s="57"/>
      <c r="T777" s="41"/>
      <c r="U777" s="41"/>
      <c r="V777" s="51"/>
    </row>
    <row r="778" spans="2:22" x14ac:dyDescent="0.25">
      <c r="B778" s="405"/>
      <c r="C778" s="89">
        <v>1</v>
      </c>
      <c r="D778" s="203" t="s">
        <v>128</v>
      </c>
      <c r="E778" s="259"/>
      <c r="F778" s="259"/>
      <c r="G778" s="259"/>
      <c r="H778" s="186" t="str">
        <f t="shared" si="10"/>
        <v>RAA-1-ACDAI-3/4 PK</v>
      </c>
      <c r="I778" s="174" t="s">
        <v>137</v>
      </c>
      <c r="J778" s="175" t="s">
        <v>217</v>
      </c>
      <c r="K778" s="357" t="s">
        <v>359</v>
      </c>
      <c r="L778" s="178" t="s">
        <v>207</v>
      </c>
      <c r="M778" s="275">
        <v>0</v>
      </c>
      <c r="N778" s="41"/>
      <c r="O778" s="284"/>
      <c r="P778" s="105"/>
      <c r="Q778" s="57"/>
      <c r="R778" s="57"/>
      <c r="S778" s="57"/>
      <c r="T778" s="41"/>
      <c r="U778" s="41"/>
      <c r="V778" s="51"/>
    </row>
    <row r="779" spans="2:22" x14ac:dyDescent="0.25">
      <c r="B779" s="405"/>
      <c r="C779" s="89">
        <v>1</v>
      </c>
      <c r="D779" s="203" t="s">
        <v>128</v>
      </c>
      <c r="E779" s="259"/>
      <c r="F779" s="259"/>
      <c r="G779" s="259"/>
      <c r="H779" s="186" t="str">
        <f t="shared" si="10"/>
        <v>RAA-1-ACDAI-1 PK</v>
      </c>
      <c r="I779" s="174" t="s">
        <v>137</v>
      </c>
      <c r="J779" s="176" t="s">
        <v>129</v>
      </c>
      <c r="K779" s="357" t="s">
        <v>359</v>
      </c>
      <c r="L779" s="178" t="s">
        <v>207</v>
      </c>
      <c r="M779" s="275">
        <v>0</v>
      </c>
      <c r="N779" s="41"/>
      <c r="O779" s="284"/>
      <c r="P779" s="105"/>
      <c r="Q779" s="57"/>
      <c r="R779" s="57"/>
      <c r="S779" s="57"/>
      <c r="T779" s="41"/>
      <c r="U779" s="41"/>
      <c r="V779" s="51"/>
    </row>
    <row r="780" spans="2:22" x14ac:dyDescent="0.25">
      <c r="B780" s="405"/>
      <c r="C780" s="89">
        <v>1</v>
      </c>
      <c r="D780" s="203" t="s">
        <v>128</v>
      </c>
      <c r="E780" s="259"/>
      <c r="F780" s="259"/>
      <c r="G780" s="259"/>
      <c r="H780" s="186" t="str">
        <f t="shared" si="10"/>
        <v>RAA-1-ACDAI-1,5 PK</v>
      </c>
      <c r="I780" s="174" t="s">
        <v>137</v>
      </c>
      <c r="J780" s="176" t="s">
        <v>130</v>
      </c>
      <c r="K780" s="357" t="s">
        <v>359</v>
      </c>
      <c r="L780" s="178" t="s">
        <v>207</v>
      </c>
      <c r="M780" s="275">
        <v>0</v>
      </c>
      <c r="N780" s="41"/>
      <c r="O780" s="284"/>
      <c r="P780" s="105"/>
      <c r="Q780" s="57"/>
      <c r="R780" s="57"/>
      <c r="S780" s="57"/>
      <c r="T780" s="41"/>
      <c r="U780" s="41"/>
      <c r="V780" s="51"/>
    </row>
    <row r="781" spans="2:22" x14ac:dyDescent="0.25">
      <c r="B781" s="405"/>
      <c r="C781" s="89">
        <v>1</v>
      </c>
      <c r="D781" s="203" t="s">
        <v>128</v>
      </c>
      <c r="E781" s="259"/>
      <c r="F781" s="259"/>
      <c r="G781" s="259"/>
      <c r="H781" s="186" t="str">
        <f t="shared" si="10"/>
        <v>RAA-1-ACDAI-2 PK</v>
      </c>
      <c r="I781" s="174" t="s">
        <v>137</v>
      </c>
      <c r="J781" s="176" t="s">
        <v>131</v>
      </c>
      <c r="K781" s="357" t="s">
        <v>359</v>
      </c>
      <c r="L781" s="178" t="s">
        <v>207</v>
      </c>
      <c r="M781" s="275">
        <v>0</v>
      </c>
      <c r="N781" s="41"/>
      <c r="O781" s="284"/>
      <c r="P781" s="105"/>
      <c r="Q781" s="57"/>
      <c r="R781" s="57"/>
      <c r="S781" s="57"/>
      <c r="T781" s="41"/>
      <c r="U781" s="41"/>
      <c r="V781" s="51"/>
    </row>
    <row r="782" spans="2:22" x14ac:dyDescent="0.25">
      <c r="B782" s="405"/>
      <c r="C782" s="89">
        <v>1</v>
      </c>
      <c r="D782" s="203" t="s">
        <v>128</v>
      </c>
      <c r="E782" s="259"/>
      <c r="F782" s="259"/>
      <c r="G782" s="259"/>
      <c r="H782" s="186" t="str">
        <f t="shared" si="10"/>
        <v>RAA-1-ACDAI-5 PK</v>
      </c>
      <c r="I782" s="174" t="s">
        <v>137</v>
      </c>
      <c r="J782" s="176" t="s">
        <v>132</v>
      </c>
      <c r="K782" s="357" t="s">
        <v>359</v>
      </c>
      <c r="L782" s="178" t="s">
        <v>207</v>
      </c>
      <c r="M782" s="275">
        <v>0</v>
      </c>
      <c r="N782" s="41"/>
      <c r="O782" s="284"/>
      <c r="P782" s="105"/>
      <c r="Q782" s="57"/>
      <c r="R782" s="57"/>
      <c r="S782" s="57"/>
      <c r="T782" s="41"/>
      <c r="U782" s="41"/>
      <c r="V782" s="51"/>
    </row>
    <row r="783" spans="2:22" x14ac:dyDescent="0.25">
      <c r="B783" s="405"/>
      <c r="C783" s="89">
        <v>1</v>
      </c>
      <c r="D783" s="203" t="s">
        <v>128</v>
      </c>
      <c r="E783" s="259"/>
      <c r="F783" s="259"/>
      <c r="G783" s="259"/>
      <c r="H783" s="186" t="str">
        <f t="shared" si="10"/>
        <v>RAA-1-ACSAM-1/2 PK</v>
      </c>
      <c r="I783" s="174" t="s">
        <v>221</v>
      </c>
      <c r="J783" s="178" t="s">
        <v>177</v>
      </c>
      <c r="K783" s="357" t="s">
        <v>359</v>
      </c>
      <c r="L783" s="178" t="s">
        <v>207</v>
      </c>
      <c r="M783" s="275">
        <v>0</v>
      </c>
      <c r="N783" s="41"/>
      <c r="O783" s="284"/>
      <c r="P783" s="105"/>
      <c r="Q783" s="57"/>
      <c r="R783" s="57"/>
      <c r="S783" s="57"/>
      <c r="T783" s="41"/>
      <c r="U783" s="41"/>
      <c r="V783" s="51"/>
    </row>
    <row r="784" spans="2:22" x14ac:dyDescent="0.25">
      <c r="B784" s="405"/>
      <c r="C784" s="89">
        <v>1</v>
      </c>
      <c r="D784" s="203" t="s">
        <v>128</v>
      </c>
      <c r="E784" s="259"/>
      <c r="F784" s="259"/>
      <c r="G784" s="259"/>
      <c r="H784" s="186" t="str">
        <f t="shared" si="10"/>
        <v>RAA-1-ACSAM-3/4 PK</v>
      </c>
      <c r="I784" s="174" t="s">
        <v>221</v>
      </c>
      <c r="J784" s="175" t="s">
        <v>217</v>
      </c>
      <c r="K784" s="357" t="s">
        <v>359</v>
      </c>
      <c r="L784" s="178" t="s">
        <v>207</v>
      </c>
      <c r="M784" s="275">
        <v>0</v>
      </c>
      <c r="N784" s="41"/>
      <c r="O784" s="284"/>
      <c r="P784" s="105"/>
      <c r="Q784" s="57"/>
      <c r="R784" s="57"/>
      <c r="S784" s="57"/>
      <c r="T784" s="41"/>
      <c r="U784" s="41"/>
      <c r="V784" s="51"/>
    </row>
    <row r="785" spans="2:22" x14ac:dyDescent="0.25">
      <c r="B785" s="405"/>
      <c r="C785" s="89">
        <v>1</v>
      </c>
      <c r="D785" s="203" t="s">
        <v>128</v>
      </c>
      <c r="E785" s="259"/>
      <c r="F785" s="259"/>
      <c r="G785" s="259"/>
      <c r="H785" s="186" t="str">
        <f t="shared" si="10"/>
        <v>RAA-1-ACSAM-1 PK</v>
      </c>
      <c r="I785" s="174" t="s">
        <v>221</v>
      </c>
      <c r="J785" s="176" t="s">
        <v>129</v>
      </c>
      <c r="K785" s="357" t="s">
        <v>359</v>
      </c>
      <c r="L785" s="178" t="s">
        <v>207</v>
      </c>
      <c r="M785" s="275">
        <v>0</v>
      </c>
      <c r="N785" s="41"/>
      <c r="O785" s="284"/>
      <c r="P785" s="105"/>
      <c r="Q785" s="57"/>
      <c r="R785" s="57"/>
      <c r="S785" s="57"/>
      <c r="T785" s="41"/>
      <c r="U785" s="41"/>
      <c r="V785" s="51"/>
    </row>
    <row r="786" spans="2:22" x14ac:dyDescent="0.25">
      <c r="B786" s="405"/>
      <c r="C786" s="89">
        <v>1</v>
      </c>
      <c r="D786" s="203" t="s">
        <v>128</v>
      </c>
      <c r="E786" s="259"/>
      <c r="F786" s="259"/>
      <c r="G786" s="259"/>
      <c r="H786" s="186" t="str">
        <f t="shared" si="10"/>
        <v>RAA-1-ACSAM-1,5 PK</v>
      </c>
      <c r="I786" s="174" t="s">
        <v>221</v>
      </c>
      <c r="J786" s="176" t="s">
        <v>130</v>
      </c>
      <c r="K786" s="357" t="s">
        <v>359</v>
      </c>
      <c r="L786" s="178" t="s">
        <v>207</v>
      </c>
      <c r="M786" s="275">
        <v>0</v>
      </c>
      <c r="N786" s="41"/>
      <c r="O786" s="284"/>
      <c r="P786" s="105"/>
      <c r="Q786" s="57"/>
      <c r="R786" s="57"/>
      <c r="S786" s="57"/>
      <c r="T786" s="41"/>
      <c r="U786" s="41"/>
      <c r="V786" s="51"/>
    </row>
    <row r="787" spans="2:22" x14ac:dyDescent="0.25">
      <c r="B787" s="405"/>
      <c r="C787" s="89">
        <v>1</v>
      </c>
      <c r="D787" s="203" t="s">
        <v>128</v>
      </c>
      <c r="E787" s="259"/>
      <c r="F787" s="259"/>
      <c r="G787" s="259"/>
      <c r="H787" s="186" t="str">
        <f t="shared" si="10"/>
        <v>RAA-1-ACSAM-2 PK</v>
      </c>
      <c r="I787" s="174" t="s">
        <v>221</v>
      </c>
      <c r="J787" s="176" t="s">
        <v>131</v>
      </c>
      <c r="K787" s="357" t="s">
        <v>359</v>
      </c>
      <c r="L787" s="178" t="s">
        <v>207</v>
      </c>
      <c r="M787" s="275">
        <v>0</v>
      </c>
      <c r="N787" s="41"/>
      <c r="O787" s="284"/>
      <c r="P787" s="105"/>
      <c r="Q787" s="57"/>
      <c r="R787" s="57"/>
      <c r="S787" s="57"/>
      <c r="T787" s="41"/>
      <c r="U787" s="41"/>
      <c r="V787" s="51"/>
    </row>
    <row r="788" spans="2:22" x14ac:dyDescent="0.25">
      <c r="B788" s="405"/>
      <c r="C788" s="89">
        <v>1</v>
      </c>
      <c r="D788" s="203" t="s">
        <v>128</v>
      </c>
      <c r="E788" s="259"/>
      <c r="F788" s="259"/>
      <c r="G788" s="259"/>
      <c r="H788" s="186" t="str">
        <f t="shared" si="10"/>
        <v>RAA-1-ACSAM-5 PK</v>
      </c>
      <c r="I788" s="174" t="s">
        <v>221</v>
      </c>
      <c r="J788" s="176" t="s">
        <v>132</v>
      </c>
      <c r="K788" s="357" t="s">
        <v>359</v>
      </c>
      <c r="L788" s="178" t="s">
        <v>207</v>
      </c>
      <c r="M788" s="275">
        <v>0</v>
      </c>
      <c r="N788" s="41"/>
      <c r="O788" s="284"/>
      <c r="P788" s="105"/>
      <c r="Q788" s="57"/>
      <c r="R788" s="57"/>
      <c r="S788" s="57"/>
      <c r="T788" s="41"/>
      <c r="U788" s="41"/>
      <c r="V788" s="51"/>
    </row>
    <row r="789" spans="2:22" x14ac:dyDescent="0.25">
      <c r="B789" s="405"/>
      <c r="C789" s="89">
        <v>1</v>
      </c>
      <c r="D789" s="203" t="s">
        <v>297</v>
      </c>
      <c r="E789" s="259"/>
      <c r="F789" s="259"/>
      <c r="G789" s="259"/>
      <c r="H789" s="186" t="str">
        <f t="shared" si="10"/>
        <v>RAA-1-VERBLI-SMALL</v>
      </c>
      <c r="I789" s="174" t="s">
        <v>224</v>
      </c>
      <c r="J789" s="176" t="s">
        <v>138</v>
      </c>
      <c r="K789" s="357" t="s">
        <v>359</v>
      </c>
      <c r="L789" s="178" t="s">
        <v>207</v>
      </c>
      <c r="M789" s="275">
        <f>'[3]TOTAL ASET APK'!$F$65</f>
        <v>0</v>
      </c>
      <c r="N789" s="41"/>
      <c r="O789" s="284"/>
      <c r="P789" s="105"/>
      <c r="Q789" s="57"/>
      <c r="R789" s="57"/>
      <c r="S789" s="57"/>
      <c r="T789" s="41"/>
      <c r="U789" s="41"/>
      <c r="V789" s="51"/>
    </row>
    <row r="790" spans="2:22" x14ac:dyDescent="0.25">
      <c r="B790" s="405"/>
      <c r="C790" s="89">
        <v>1</v>
      </c>
      <c r="D790" s="203" t="s">
        <v>297</v>
      </c>
      <c r="E790" s="259"/>
      <c r="F790" s="259"/>
      <c r="G790" s="259"/>
      <c r="H790" s="186" t="str">
        <f>CONCATENATE(L790,"-",C790,"-",LEFT(D790,3),LEFT(I790,3),"-",LEFT(J790,3),"-",1)</f>
        <v>RAA-1-VERBLI-LAR-1</v>
      </c>
      <c r="I790" s="174" t="s">
        <v>224</v>
      </c>
      <c r="J790" s="176" t="s">
        <v>139</v>
      </c>
      <c r="K790" s="183" t="s">
        <v>402</v>
      </c>
      <c r="L790" s="178" t="s">
        <v>207</v>
      </c>
      <c r="M790" s="428">
        <f>'[3]TOTAL ASET APK'!$F$64</f>
        <v>3</v>
      </c>
      <c r="N790" s="41"/>
      <c r="O790" s="284"/>
      <c r="P790" s="105"/>
      <c r="Q790" s="57"/>
      <c r="R790" s="57"/>
      <c r="S790" s="57"/>
      <c r="T790" s="41"/>
      <c r="U790" s="41"/>
      <c r="V790" s="51"/>
    </row>
    <row r="791" spans="2:22" x14ac:dyDescent="0.25">
      <c r="B791" s="405"/>
      <c r="C791" s="89">
        <v>1</v>
      </c>
      <c r="D791" s="203" t="s">
        <v>297</v>
      </c>
      <c r="E791" s="259"/>
      <c r="F791" s="259"/>
      <c r="G791" s="259"/>
      <c r="H791" s="186" t="str">
        <f>CONCATENATE(L791,"-",C791,"-",LEFT(D791,3),LEFT(I791,3),"-",LEFT(J791,3),"-",2)</f>
        <v>RAA-1-VERBLI-LAR-2</v>
      </c>
      <c r="I791" s="174" t="s">
        <v>224</v>
      </c>
      <c r="J791" s="176" t="s">
        <v>139</v>
      </c>
      <c r="K791" s="183" t="s">
        <v>402</v>
      </c>
      <c r="L791" s="178" t="s">
        <v>207</v>
      </c>
      <c r="M791" s="429"/>
      <c r="N791" s="41"/>
      <c r="O791" s="284"/>
      <c r="P791" s="105"/>
      <c r="Q791" s="57"/>
      <c r="R791" s="57"/>
      <c r="S791" s="57"/>
      <c r="T791" s="41"/>
      <c r="U791" s="41"/>
      <c r="V791" s="51"/>
    </row>
    <row r="792" spans="2:22" x14ac:dyDescent="0.25">
      <c r="B792" s="405"/>
      <c r="C792" s="89">
        <v>1</v>
      </c>
      <c r="D792" s="203" t="s">
        <v>297</v>
      </c>
      <c r="E792" s="259"/>
      <c r="F792" s="259"/>
      <c r="G792" s="259"/>
      <c r="H792" s="186" t="str">
        <f>CONCATENATE(L792,"-",C792,"-",LEFT(D792,3),LEFT(I792,3),"-",LEFT(J792,3),"-",3)</f>
        <v>RAA-1-VERBLI-LAR-3</v>
      </c>
      <c r="I792" s="174" t="s">
        <v>224</v>
      </c>
      <c r="J792" s="176" t="s">
        <v>139</v>
      </c>
      <c r="K792" s="183" t="s">
        <v>402</v>
      </c>
      <c r="L792" s="178" t="s">
        <v>207</v>
      </c>
      <c r="M792" s="430"/>
      <c r="N792" s="41"/>
      <c r="O792" s="284"/>
      <c r="P792" s="105"/>
      <c r="Q792" s="57"/>
      <c r="R792" s="57"/>
      <c r="S792" s="57"/>
      <c r="T792" s="41"/>
      <c r="U792" s="41"/>
      <c r="V792" s="51"/>
    </row>
    <row r="793" spans="2:22" s="222" customFormat="1" x14ac:dyDescent="0.25">
      <c r="B793" s="405"/>
      <c r="C793" s="299">
        <v>1</v>
      </c>
      <c r="D793" s="208" t="s">
        <v>225</v>
      </c>
      <c r="E793" s="300"/>
      <c r="F793" s="300"/>
      <c r="G793" s="300"/>
      <c r="H793" s="307" t="str">
        <f t="shared" si="10"/>
        <v>RAA-1-LAMPHI-NEON</v>
      </c>
      <c r="I793" s="214" t="s">
        <v>226</v>
      </c>
      <c r="J793" s="215" t="s">
        <v>140</v>
      </c>
      <c r="K793" s="357" t="s">
        <v>359</v>
      </c>
      <c r="L793" s="308" t="s">
        <v>207</v>
      </c>
      <c r="M793" s="309">
        <f>'[3]TOTAL ASET APK'!$F$21</f>
        <v>20</v>
      </c>
      <c r="N793" s="220"/>
      <c r="O793" s="310"/>
      <c r="P793" s="311"/>
      <c r="Q793" s="312"/>
      <c r="R793" s="312"/>
      <c r="S793" s="312"/>
      <c r="T793" s="220"/>
      <c r="U793" s="220"/>
      <c r="V793" s="221"/>
    </row>
    <row r="794" spans="2:22" s="222" customFormat="1" x14ac:dyDescent="0.25">
      <c r="B794" s="405"/>
      <c r="C794" s="299">
        <v>1</v>
      </c>
      <c r="D794" s="208" t="s">
        <v>225</v>
      </c>
      <c r="E794" s="300"/>
      <c r="F794" s="300"/>
      <c r="G794" s="300"/>
      <c r="H794" s="307" t="str">
        <f t="shared" si="10"/>
        <v>RAA-1-LAMPHI-BULB</v>
      </c>
      <c r="I794" s="214" t="s">
        <v>226</v>
      </c>
      <c r="J794" s="215" t="s">
        <v>141</v>
      </c>
      <c r="K794" s="357" t="s">
        <v>359</v>
      </c>
      <c r="L794" s="308" t="s">
        <v>207</v>
      </c>
      <c r="M794" s="309">
        <f>'[3]TOTAL ASET APK'!$F$22</f>
        <v>0</v>
      </c>
      <c r="N794" s="220"/>
      <c r="O794" s="310"/>
      <c r="P794" s="311"/>
      <c r="Q794" s="312"/>
      <c r="R794" s="312"/>
      <c r="S794" s="312"/>
      <c r="T794" s="220"/>
      <c r="U794" s="220"/>
      <c r="V794" s="221"/>
    </row>
    <row r="795" spans="2:22" s="222" customFormat="1" x14ac:dyDescent="0.25">
      <c r="B795" s="405"/>
      <c r="C795" s="299">
        <v>1</v>
      </c>
      <c r="D795" s="208" t="s">
        <v>228</v>
      </c>
      <c r="E795" s="300"/>
      <c r="F795" s="300"/>
      <c r="G795" s="300"/>
      <c r="H795" s="307" t="str">
        <f t="shared" si="10"/>
        <v>RAA-1-ELE-SOCKET</v>
      </c>
      <c r="I795" s="313"/>
      <c r="J795" s="314" t="s">
        <v>229</v>
      </c>
      <c r="K795" s="357" t="s">
        <v>359</v>
      </c>
      <c r="L795" s="308" t="s">
        <v>207</v>
      </c>
      <c r="M795" s="309">
        <f>'[3]TOTAL ASET APK'!$F$18</f>
        <v>32</v>
      </c>
      <c r="N795" s="220"/>
      <c r="O795" s="310"/>
      <c r="P795" s="311"/>
      <c r="Q795" s="312"/>
      <c r="R795" s="312"/>
      <c r="S795" s="312"/>
      <c r="T795" s="220"/>
      <c r="U795" s="220"/>
      <c r="V795" s="221"/>
    </row>
    <row r="796" spans="2:22" s="222" customFormat="1" x14ac:dyDescent="0.25">
      <c r="B796" s="405"/>
      <c r="C796" s="299">
        <v>1</v>
      </c>
      <c r="D796" s="305" t="s">
        <v>230</v>
      </c>
      <c r="E796" s="300"/>
      <c r="F796" s="300"/>
      <c r="G796" s="300"/>
      <c r="H796" s="307" t="str">
        <f t="shared" si="10"/>
        <v>RAA-1-SWI-SINGLE</v>
      </c>
      <c r="I796" s="214"/>
      <c r="J796" s="215" t="s">
        <v>142</v>
      </c>
      <c r="K796" s="357" t="s">
        <v>359</v>
      </c>
      <c r="L796" s="308" t="s">
        <v>207</v>
      </c>
      <c r="M796" s="309">
        <f>'[3]TOTAL ASET APK'!$F$19</f>
        <v>7</v>
      </c>
      <c r="N796" s="220"/>
      <c r="O796" s="310"/>
      <c r="P796" s="311"/>
      <c r="Q796" s="312"/>
      <c r="R796" s="312"/>
      <c r="S796" s="312"/>
      <c r="T796" s="220"/>
      <c r="U796" s="220"/>
      <c r="V796" s="221"/>
    </row>
    <row r="797" spans="2:22" s="222" customFormat="1" x14ac:dyDescent="0.25">
      <c r="B797" s="405"/>
      <c r="C797" s="299">
        <v>1</v>
      </c>
      <c r="D797" s="305" t="s">
        <v>230</v>
      </c>
      <c r="E797" s="300"/>
      <c r="F797" s="300"/>
      <c r="G797" s="300"/>
      <c r="H797" s="307" t="str">
        <f t="shared" si="10"/>
        <v>RAA-1-SWI-DOUBLE</v>
      </c>
      <c r="I797" s="214"/>
      <c r="J797" s="215" t="s">
        <v>143</v>
      </c>
      <c r="K797" s="357" t="s">
        <v>359</v>
      </c>
      <c r="L797" s="308" t="s">
        <v>207</v>
      </c>
      <c r="M797" s="309">
        <f>'[3]TOTAL ASET APK'!$F$20</f>
        <v>5</v>
      </c>
      <c r="N797" s="220"/>
      <c r="O797" s="310"/>
      <c r="P797" s="311"/>
      <c r="Q797" s="312"/>
      <c r="R797" s="312"/>
      <c r="S797" s="312"/>
      <c r="T797" s="220"/>
      <c r="U797" s="220"/>
      <c r="V797" s="221"/>
    </row>
    <row r="798" spans="2:22" x14ac:dyDescent="0.25">
      <c r="B798" s="405"/>
      <c r="C798" s="89">
        <v>1</v>
      </c>
      <c r="D798" s="203" t="s">
        <v>198</v>
      </c>
      <c r="E798" s="259"/>
      <c r="F798" s="259"/>
      <c r="G798" s="259"/>
      <c r="H798" s="186" t="str">
        <f>CONCATENATE(L798,"-",C798,"-",LEFT(D798,3),LEFT(I798,3),"-",LEFT(J798,3))</f>
        <v>RAA-1-RAKWAL-TRI</v>
      </c>
      <c r="I798" s="174" t="s">
        <v>199</v>
      </c>
      <c r="J798" s="176" t="s">
        <v>231</v>
      </c>
      <c r="K798" s="183" t="s">
        <v>403</v>
      </c>
      <c r="L798" s="178" t="s">
        <v>207</v>
      </c>
      <c r="M798" s="275">
        <f>'[3]TOTAL ASET APK'!$F$61</f>
        <v>1</v>
      </c>
      <c r="N798" s="41"/>
      <c r="O798" s="284"/>
      <c r="P798" s="105"/>
      <c r="Q798" s="57"/>
      <c r="R798" s="57"/>
      <c r="S798" s="57"/>
      <c r="T798" s="41"/>
      <c r="U798" s="41"/>
      <c r="V798" s="51"/>
    </row>
    <row r="799" spans="2:22" x14ac:dyDescent="0.25">
      <c r="B799" s="405"/>
      <c r="C799" s="89">
        <v>1</v>
      </c>
      <c r="D799" s="203" t="s">
        <v>198</v>
      </c>
      <c r="E799" s="259"/>
      <c r="F799" s="259"/>
      <c r="G799" s="259"/>
      <c r="H799" s="186" t="str">
        <f>CONCATENATE(L799,"-",C799,"-",LEFT(D799,3),LEFT(I799,3),"-",LEFT(J799,3))</f>
        <v>RAA-1-RAKWAL-HEX</v>
      </c>
      <c r="I799" s="174" t="s">
        <v>199</v>
      </c>
      <c r="J799" s="176" t="s">
        <v>232</v>
      </c>
      <c r="K799" s="183" t="s">
        <v>403</v>
      </c>
      <c r="L799" s="178" t="s">
        <v>207</v>
      </c>
      <c r="M799" s="275">
        <f>'[3]TOTAL ASET APK'!$F$60</f>
        <v>1</v>
      </c>
      <c r="N799" s="41"/>
      <c r="O799" s="284"/>
      <c r="P799" s="105"/>
      <c r="Q799" s="57"/>
      <c r="R799" s="57"/>
      <c r="S799" s="57"/>
      <c r="T799" s="41"/>
      <c r="U799" s="41"/>
      <c r="V799" s="51"/>
    </row>
    <row r="800" spans="2:22" x14ac:dyDescent="0.25">
      <c r="B800" s="405"/>
      <c r="C800" s="89">
        <v>1</v>
      </c>
      <c r="D800" s="203" t="s">
        <v>198</v>
      </c>
      <c r="E800" s="259"/>
      <c r="F800" s="259"/>
      <c r="G800" s="259"/>
      <c r="H800" s="186" t="str">
        <f>CONCATENATE(L800,"-",C800,"-",LEFT(D800,3),LEFT(I800,3),"-",LEFT(J800,3))</f>
        <v>RAA-1-RAKWAL-REC</v>
      </c>
      <c r="I800" s="174" t="s">
        <v>199</v>
      </c>
      <c r="J800" s="176" t="s">
        <v>233</v>
      </c>
      <c r="K800" s="357" t="s">
        <v>359</v>
      </c>
      <c r="L800" s="178" t="s">
        <v>207</v>
      </c>
      <c r="M800" s="275">
        <f>'[3]TOTAL ASET APK'!$F$59</f>
        <v>0</v>
      </c>
      <c r="N800" s="41"/>
      <c r="O800" s="284"/>
      <c r="P800" s="105"/>
      <c r="Q800" s="57"/>
      <c r="R800" s="57"/>
      <c r="S800" s="57"/>
      <c r="T800" s="41"/>
      <c r="U800" s="41"/>
      <c r="V800" s="51"/>
    </row>
    <row r="801" spans="2:22" x14ac:dyDescent="0.25">
      <c r="B801" s="405"/>
      <c r="C801" s="89">
        <v>1</v>
      </c>
      <c r="D801" s="204" t="s">
        <v>145</v>
      </c>
      <c r="E801" s="260"/>
      <c r="F801" s="260"/>
      <c r="G801" s="260"/>
      <c r="H801" s="186" t="str">
        <f>CONCATENATE(L801,"-",C801,"-",LEFT(D801,3),LEFT(I801,3),"-",LEFT(J801,3),"-",1)</f>
        <v>RAA-1-JAM-DIN-1</v>
      </c>
      <c r="I801" s="181"/>
      <c r="J801" s="182" t="s">
        <v>197</v>
      </c>
      <c r="K801" s="182" t="s">
        <v>407</v>
      </c>
      <c r="L801" s="178" t="s">
        <v>207</v>
      </c>
      <c r="M801" s="428">
        <f>'[3]TOTAL ASET APK'!$F$81</f>
        <v>2</v>
      </c>
      <c r="N801" s="41"/>
      <c r="O801" s="284"/>
      <c r="P801" s="105"/>
      <c r="Q801" s="57"/>
      <c r="R801" s="57"/>
      <c r="S801" s="57"/>
      <c r="T801" s="41"/>
      <c r="U801" s="41"/>
      <c r="V801" s="51"/>
    </row>
    <row r="802" spans="2:22" x14ac:dyDescent="0.25">
      <c r="B802" s="406"/>
      <c r="C802" s="89">
        <v>1</v>
      </c>
      <c r="D802" s="204" t="s">
        <v>145</v>
      </c>
      <c r="E802" s="260"/>
      <c r="F802" s="260"/>
      <c r="G802" s="260"/>
      <c r="H802" s="186" t="str">
        <f>CONCATENATE(L802,"-",C802,"-",LEFT(D802,3),LEFT(I802,3),"-",LEFT(J802,3),"-",2)</f>
        <v>RAA-1-JAM-DIN-2</v>
      </c>
      <c r="I802" s="181"/>
      <c r="J802" s="182" t="s">
        <v>197</v>
      </c>
      <c r="K802" s="182" t="s">
        <v>402</v>
      </c>
      <c r="L802" s="178" t="s">
        <v>207</v>
      </c>
      <c r="M802" s="430"/>
      <c r="N802" s="41"/>
      <c r="O802" s="284"/>
      <c r="P802" s="105"/>
      <c r="Q802" s="57"/>
      <c r="R802" s="57"/>
      <c r="S802" s="57"/>
      <c r="T802" s="41"/>
      <c r="U802" s="41"/>
      <c r="V802" s="51"/>
    </row>
    <row r="803" spans="2:22" x14ac:dyDescent="0.25">
      <c r="B803" s="427">
        <v>2</v>
      </c>
      <c r="C803" s="89">
        <v>2</v>
      </c>
      <c r="D803" s="204" t="s">
        <v>146</v>
      </c>
      <c r="H803" s="186" t="str">
        <f>CONCATENATE(L803,"-",C803,"-",LEFT(D803,3),LEFT(I803,3),"-",LEFT(J803,5),"-",1)</f>
        <v>RAA-2-MEJKER-1 BIR-1</v>
      </c>
      <c r="I803" s="184" t="s">
        <v>147</v>
      </c>
      <c r="J803" s="183" t="s">
        <v>175</v>
      </c>
      <c r="K803" s="183" t="s">
        <v>403</v>
      </c>
      <c r="L803" s="178" t="s">
        <v>207</v>
      </c>
      <c r="M803" s="428">
        <f>'[3]TOTAL ASET APK'!$F$25</f>
        <v>9</v>
      </c>
      <c r="N803" s="41"/>
      <c r="O803" s="284"/>
      <c r="P803" s="105"/>
      <c r="Q803" s="57"/>
      <c r="R803" s="57"/>
      <c r="S803" s="57"/>
      <c r="T803" s="41"/>
      <c r="U803" s="41"/>
      <c r="V803" s="51"/>
    </row>
    <row r="804" spans="2:22" x14ac:dyDescent="0.25">
      <c r="B804" s="405"/>
      <c r="C804" s="89">
        <v>2</v>
      </c>
      <c r="D804" s="204" t="s">
        <v>146</v>
      </c>
      <c r="H804" s="186" t="str">
        <f>CONCATENATE(L804,"-",C804,"-",LEFT(D804,3),LEFT(I804,3),"-",LEFT(J804,5),"-",2)</f>
        <v>RAA-2-MEJKER-1 BIR-2</v>
      </c>
      <c r="I804" s="184" t="s">
        <v>147</v>
      </c>
      <c r="J804" s="183" t="s">
        <v>175</v>
      </c>
      <c r="K804" s="183" t="s">
        <v>404</v>
      </c>
      <c r="L804" s="178" t="s">
        <v>207</v>
      </c>
      <c r="M804" s="429"/>
      <c r="N804" s="41"/>
      <c r="O804" s="284"/>
      <c r="P804" s="105"/>
      <c r="Q804" s="57"/>
      <c r="R804" s="57"/>
      <c r="S804" s="57"/>
      <c r="T804" s="41"/>
      <c r="U804" s="41"/>
      <c r="V804" s="51"/>
    </row>
    <row r="805" spans="2:22" x14ac:dyDescent="0.25">
      <c r="B805" s="405"/>
      <c r="C805" s="89">
        <v>2</v>
      </c>
      <c r="D805" s="204" t="s">
        <v>146</v>
      </c>
      <c r="H805" s="186" t="str">
        <f>CONCATENATE(L805,"-",C805,"-",LEFT(D805,3),LEFT(I805,3),"-",LEFT(J805,5),"-",3)</f>
        <v>RAA-2-MEJKER-1 BIR-3</v>
      </c>
      <c r="I805" s="184" t="s">
        <v>147</v>
      </c>
      <c r="J805" s="183" t="s">
        <v>175</v>
      </c>
      <c r="K805" s="183" t="s">
        <v>404</v>
      </c>
      <c r="L805" s="178" t="s">
        <v>207</v>
      </c>
      <c r="M805" s="429"/>
      <c r="N805" s="41"/>
      <c r="O805" s="284"/>
      <c r="P805" s="105"/>
      <c r="Q805" s="57"/>
      <c r="R805" s="57"/>
      <c r="S805" s="57"/>
      <c r="T805" s="41"/>
      <c r="U805" s="41"/>
      <c r="V805" s="51"/>
    </row>
    <row r="806" spans="2:22" x14ac:dyDescent="0.25">
      <c r="B806" s="405"/>
      <c r="C806" s="89">
        <v>2</v>
      </c>
      <c r="D806" s="204" t="s">
        <v>146</v>
      </c>
      <c r="H806" s="186" t="str">
        <f>CONCATENATE(L806,"-",C806,"-",LEFT(D806,3),LEFT(I806,3),"-",LEFT(J806,5),"-",4)</f>
        <v>RAA-2-MEJKER-1 BIR-4</v>
      </c>
      <c r="I806" s="184" t="s">
        <v>147</v>
      </c>
      <c r="J806" s="183" t="s">
        <v>175</v>
      </c>
      <c r="K806" s="183" t="s">
        <v>404</v>
      </c>
      <c r="L806" s="178" t="s">
        <v>207</v>
      </c>
      <c r="M806" s="429"/>
      <c r="N806" s="41"/>
      <c r="O806" s="284"/>
      <c r="P806" s="105"/>
      <c r="Q806" s="57"/>
      <c r="R806" s="57"/>
      <c r="S806" s="57"/>
      <c r="T806" s="41"/>
      <c r="U806" s="41"/>
      <c r="V806" s="51"/>
    </row>
    <row r="807" spans="2:22" x14ac:dyDescent="0.25">
      <c r="B807" s="405"/>
      <c r="C807" s="89">
        <v>2</v>
      </c>
      <c r="D807" s="204" t="s">
        <v>146</v>
      </c>
      <c r="H807" s="186" t="str">
        <f>CONCATENATE(L807,"-",C807,"-",LEFT(D807,3),LEFT(I807,3),"-",LEFT(J807,5),"-",5)</f>
        <v>RAA-2-MEJKER-1 BIR-5</v>
      </c>
      <c r="I807" s="184" t="s">
        <v>147</v>
      </c>
      <c r="J807" s="183" t="s">
        <v>175</v>
      </c>
      <c r="K807" s="183" t="s">
        <v>396</v>
      </c>
      <c r="L807" s="178" t="s">
        <v>207</v>
      </c>
      <c r="M807" s="429"/>
      <c r="N807" s="41"/>
      <c r="O807" s="284"/>
      <c r="P807" s="105"/>
      <c r="Q807" s="57"/>
      <c r="R807" s="57"/>
      <c r="S807" s="57"/>
      <c r="T807" s="41"/>
      <c r="U807" s="41"/>
      <c r="V807" s="51"/>
    </row>
    <row r="808" spans="2:22" x14ac:dyDescent="0.25">
      <c r="B808" s="405"/>
      <c r="C808" s="89">
        <v>2</v>
      </c>
      <c r="D808" s="204" t="s">
        <v>146</v>
      </c>
      <c r="H808" s="186" t="str">
        <f>CONCATENATE(L808,"-",C808,"-",LEFT(D808,3),LEFT(I808,3),"-",LEFT(J808,5),"-",6)</f>
        <v>RAA-2-MEJKER-1 BIR-6</v>
      </c>
      <c r="I808" s="184" t="s">
        <v>147</v>
      </c>
      <c r="J808" s="183" t="s">
        <v>175</v>
      </c>
      <c r="K808" s="183" t="s">
        <v>396</v>
      </c>
      <c r="L808" s="178" t="s">
        <v>207</v>
      </c>
      <c r="M808" s="429"/>
      <c r="N808" s="41"/>
      <c r="O808" s="284"/>
      <c r="P808" s="105"/>
      <c r="Q808" s="57"/>
      <c r="R808" s="57"/>
      <c r="S808" s="57"/>
      <c r="T808" s="41"/>
      <c r="U808" s="41"/>
      <c r="V808" s="51"/>
    </row>
    <row r="809" spans="2:22" x14ac:dyDescent="0.25">
      <c r="B809" s="405"/>
      <c r="C809" s="89">
        <v>2</v>
      </c>
      <c r="D809" s="204" t="s">
        <v>146</v>
      </c>
      <c r="H809" s="186" t="str">
        <f>CONCATENATE(L809,"-",C809,"-",LEFT(D809,3),LEFT(I809,3),"-",LEFT(J809,5),"-",7)</f>
        <v>RAA-2-MEJKER-1 BIR-7</v>
      </c>
      <c r="I809" s="184" t="s">
        <v>147</v>
      </c>
      <c r="J809" s="183" t="s">
        <v>175</v>
      </c>
      <c r="K809" s="183" t="s">
        <v>405</v>
      </c>
      <c r="L809" s="178" t="s">
        <v>207</v>
      </c>
      <c r="M809" s="429"/>
      <c r="N809" s="41"/>
      <c r="O809" s="284"/>
      <c r="P809" s="105"/>
      <c r="Q809" s="57"/>
      <c r="R809" s="57"/>
      <c r="S809" s="57"/>
      <c r="T809" s="41"/>
      <c r="U809" s="41"/>
      <c r="V809" s="51"/>
    </row>
    <row r="810" spans="2:22" x14ac:dyDescent="0.25">
      <c r="B810" s="405"/>
      <c r="C810" s="89">
        <v>2</v>
      </c>
      <c r="D810" s="204" t="s">
        <v>146</v>
      </c>
      <c r="H810" s="186" t="str">
        <f>CONCATENATE(L810,"-",C810,"-",LEFT(D810,3),LEFT(I810,3),"-",LEFT(J810,5),"-",8)</f>
        <v>RAA-2-MEJKER-1 BIR-8</v>
      </c>
      <c r="I810" s="184" t="s">
        <v>147</v>
      </c>
      <c r="J810" s="183" t="s">
        <v>175</v>
      </c>
      <c r="K810" s="183" t="s">
        <v>406</v>
      </c>
      <c r="L810" s="178" t="s">
        <v>207</v>
      </c>
      <c r="M810" s="429"/>
      <c r="N810" s="41"/>
      <c r="O810" s="284"/>
      <c r="P810" s="105"/>
      <c r="Q810" s="57"/>
      <c r="R810" s="57"/>
      <c r="S810" s="57"/>
      <c r="T810" s="41"/>
      <c r="U810" s="41"/>
      <c r="V810" s="51"/>
    </row>
    <row r="811" spans="2:22" x14ac:dyDescent="0.25">
      <c r="B811" s="405"/>
      <c r="C811" s="89">
        <v>2</v>
      </c>
      <c r="D811" s="204" t="s">
        <v>146</v>
      </c>
      <c r="H811" s="186" t="str">
        <f>CONCATENATE(L811,"-",C811,"-",LEFT(D811,3),LEFT(I811,3),"-",LEFT(J811,5),"-",9)</f>
        <v>RAA-2-MEJKER-1 BIR-9</v>
      </c>
      <c r="I811" s="184" t="s">
        <v>147</v>
      </c>
      <c r="J811" s="183" t="s">
        <v>175</v>
      </c>
      <c r="K811" s="183" t="s">
        <v>407</v>
      </c>
      <c r="L811" s="178" t="s">
        <v>207</v>
      </c>
      <c r="M811" s="430"/>
      <c r="N811" s="41"/>
      <c r="O811" s="284"/>
      <c r="P811" s="105"/>
      <c r="Q811" s="57"/>
      <c r="R811" s="57"/>
      <c r="S811" s="57"/>
      <c r="T811" s="41"/>
      <c r="U811" s="41"/>
      <c r="V811" s="51"/>
    </row>
    <row r="812" spans="2:22" x14ac:dyDescent="0.25">
      <c r="B812" s="405"/>
      <c r="C812" s="90">
        <v>2</v>
      </c>
      <c r="D812" s="204" t="s">
        <v>146</v>
      </c>
      <c r="H812" s="186" t="str">
        <f>CONCATENATE(L812,"-",C812,"-",LEFT(D812,3),LEFT(I812,3),"-",LEFT(J812,7),"-",1)</f>
        <v>RAA-2-MEJKER-1/2 BIR-1</v>
      </c>
      <c r="I812" s="184" t="s">
        <v>147</v>
      </c>
      <c r="J812" s="183" t="s">
        <v>176</v>
      </c>
      <c r="K812" s="183" t="s">
        <v>358</v>
      </c>
      <c r="L812" s="178" t="s">
        <v>207</v>
      </c>
      <c r="M812" s="428">
        <f>'[3]TOTAL ASET APK'!$F$26</f>
        <v>11</v>
      </c>
      <c r="N812" s="41"/>
      <c r="O812" s="284"/>
      <c r="P812" s="105"/>
      <c r="Q812" s="57"/>
      <c r="R812" s="57"/>
      <c r="S812" s="57"/>
      <c r="T812" s="41"/>
      <c r="U812" s="41"/>
      <c r="V812" s="51"/>
    </row>
    <row r="813" spans="2:22" x14ac:dyDescent="0.25">
      <c r="B813" s="405"/>
      <c r="C813" s="90">
        <v>2</v>
      </c>
      <c r="D813" s="204" t="s">
        <v>146</v>
      </c>
      <c r="H813" s="186" t="str">
        <f>CONCATENATE(L813,"-",C813,"-",LEFT(D813,3),LEFT(I813,3),"-",LEFT(J813,7),"-",2)</f>
        <v>RAA-2-MEJKER-1/2 BIR-2</v>
      </c>
      <c r="I813" s="184" t="s">
        <v>147</v>
      </c>
      <c r="J813" s="183" t="s">
        <v>176</v>
      </c>
      <c r="K813" s="183" t="s">
        <v>358</v>
      </c>
      <c r="L813" s="178" t="s">
        <v>207</v>
      </c>
      <c r="M813" s="429"/>
      <c r="N813" s="41"/>
      <c r="O813" s="284"/>
      <c r="P813" s="105"/>
      <c r="Q813" s="57"/>
      <c r="R813" s="57"/>
      <c r="S813" s="57"/>
      <c r="T813" s="41"/>
      <c r="U813" s="41"/>
      <c r="V813" s="51"/>
    </row>
    <row r="814" spans="2:22" x14ac:dyDescent="0.25">
      <c r="B814" s="405"/>
      <c r="C814" s="90">
        <v>2</v>
      </c>
      <c r="D814" s="204" t="s">
        <v>146</v>
      </c>
      <c r="H814" s="186" t="str">
        <f>CONCATENATE(L814,"-",C814,"-",LEFT(D814,3),LEFT(I814,3),"-",LEFT(J814,7),"-",3)</f>
        <v>RAA-2-MEJKER-1/2 BIR-3</v>
      </c>
      <c r="I814" s="184" t="s">
        <v>147</v>
      </c>
      <c r="J814" s="183" t="s">
        <v>176</v>
      </c>
      <c r="K814" s="183" t="s">
        <v>358</v>
      </c>
      <c r="L814" s="178" t="s">
        <v>207</v>
      </c>
      <c r="M814" s="429"/>
      <c r="N814" s="41"/>
      <c r="O814" s="284"/>
      <c r="P814" s="105"/>
      <c r="Q814" s="57"/>
      <c r="R814" s="57"/>
      <c r="S814" s="57"/>
      <c r="T814" s="41"/>
      <c r="U814" s="41"/>
      <c r="V814" s="51"/>
    </row>
    <row r="815" spans="2:22" x14ac:dyDescent="0.25">
      <c r="B815" s="405"/>
      <c r="C815" s="90">
        <v>2</v>
      </c>
      <c r="D815" s="204" t="s">
        <v>146</v>
      </c>
      <c r="H815" s="186" t="str">
        <f>CONCATENATE(L815,"-",C815,"-",LEFT(D815,3),LEFT(I815,3),"-",LEFT(J815,7),"-",4)</f>
        <v>RAA-2-MEJKER-1/2 BIR-4</v>
      </c>
      <c r="I815" s="184" t="s">
        <v>147</v>
      </c>
      <c r="J815" s="183" t="s">
        <v>176</v>
      </c>
      <c r="K815" s="183" t="s">
        <v>358</v>
      </c>
      <c r="L815" s="178" t="s">
        <v>207</v>
      </c>
      <c r="M815" s="429"/>
      <c r="N815" s="41"/>
      <c r="O815" s="284"/>
      <c r="P815" s="105"/>
      <c r="Q815" s="57"/>
      <c r="R815" s="57"/>
      <c r="S815" s="57"/>
      <c r="T815" s="41"/>
      <c r="U815" s="41"/>
      <c r="V815" s="51"/>
    </row>
    <row r="816" spans="2:22" x14ac:dyDescent="0.25">
      <c r="B816" s="405"/>
      <c r="C816" s="90">
        <v>2</v>
      </c>
      <c r="D816" s="204" t="s">
        <v>146</v>
      </c>
      <c r="H816" s="186" t="str">
        <f>CONCATENATE(L816,"-",C816,"-",LEFT(D816,3),LEFT(I816,3),"-",LEFT(J816,7),"-",5)</f>
        <v>RAA-2-MEJKER-1/2 BIR-5</v>
      </c>
      <c r="I816" s="184" t="s">
        <v>147</v>
      </c>
      <c r="J816" s="183" t="s">
        <v>176</v>
      </c>
      <c r="K816" s="183" t="s">
        <v>358</v>
      </c>
      <c r="L816" s="178" t="s">
        <v>207</v>
      </c>
      <c r="M816" s="429"/>
      <c r="N816" s="41"/>
      <c r="O816" s="284"/>
      <c r="P816" s="105"/>
      <c r="Q816" s="57"/>
      <c r="R816" s="57"/>
      <c r="S816" s="57"/>
      <c r="T816" s="41"/>
      <c r="U816" s="41"/>
      <c r="V816" s="51"/>
    </row>
    <row r="817" spans="2:22" x14ac:dyDescent="0.25">
      <c r="B817" s="405"/>
      <c r="C817" s="90">
        <v>2</v>
      </c>
      <c r="D817" s="204" t="s">
        <v>146</v>
      </c>
      <c r="H817" s="186" t="str">
        <f>CONCATENATE(L817,"-",C817,"-",LEFT(D817,3),LEFT(I817,3),"-",LEFT(J817,7),"-",6)</f>
        <v>RAA-2-MEJKER-1/2 BIR-6</v>
      </c>
      <c r="I817" s="184" t="s">
        <v>147</v>
      </c>
      <c r="J817" s="183" t="s">
        <v>176</v>
      </c>
      <c r="K817" s="183" t="s">
        <v>358</v>
      </c>
      <c r="L817" s="178" t="s">
        <v>207</v>
      </c>
      <c r="M817" s="429"/>
      <c r="N817" s="41"/>
      <c r="O817" s="284"/>
      <c r="P817" s="105"/>
      <c r="Q817" s="57"/>
      <c r="R817" s="57"/>
      <c r="S817" s="57"/>
      <c r="T817" s="41"/>
      <c r="U817" s="41"/>
      <c r="V817" s="51"/>
    </row>
    <row r="818" spans="2:22" x14ac:dyDescent="0.25">
      <c r="B818" s="405"/>
      <c r="C818" s="90">
        <v>2</v>
      </c>
      <c r="D818" s="204" t="s">
        <v>146</v>
      </c>
      <c r="H818" s="186" t="str">
        <f>CONCATENATE(L818,"-",C818,"-",LEFT(D818,3),LEFT(I818,3),"-",LEFT(J818,7),"-",7)</f>
        <v>RAA-2-MEJKER-1/2 BIR-7</v>
      </c>
      <c r="I818" s="184" t="s">
        <v>147</v>
      </c>
      <c r="J818" s="183" t="s">
        <v>176</v>
      </c>
      <c r="K818" s="183" t="s">
        <v>358</v>
      </c>
      <c r="L818" s="178" t="s">
        <v>207</v>
      </c>
      <c r="M818" s="429"/>
      <c r="N818" s="41"/>
      <c r="O818" s="284"/>
      <c r="P818" s="105"/>
      <c r="Q818" s="57"/>
      <c r="R818" s="57"/>
      <c r="S818" s="57"/>
      <c r="T818" s="41"/>
      <c r="U818" s="41"/>
      <c r="V818" s="51"/>
    </row>
    <row r="819" spans="2:22" x14ac:dyDescent="0.25">
      <c r="B819" s="405"/>
      <c r="C819" s="90">
        <v>2</v>
      </c>
      <c r="D819" s="204" t="s">
        <v>146</v>
      </c>
      <c r="H819" s="186" t="str">
        <f>CONCATENATE(L819,"-",C819,"-",LEFT(D819,3),LEFT(I819,3),"-",LEFT(J819,7),"-",8)</f>
        <v>RAA-2-MEJKER-1/2 BIR-8</v>
      </c>
      <c r="I819" s="184" t="s">
        <v>147</v>
      </c>
      <c r="J819" s="183" t="s">
        <v>176</v>
      </c>
      <c r="K819" s="183" t="s">
        <v>401</v>
      </c>
      <c r="L819" s="178" t="s">
        <v>207</v>
      </c>
      <c r="M819" s="429"/>
      <c r="N819" s="41"/>
      <c r="O819" s="284"/>
      <c r="P819" s="105"/>
      <c r="Q819" s="57"/>
      <c r="R819" s="57"/>
      <c r="S819" s="57"/>
      <c r="T819" s="41"/>
      <c r="U819" s="41"/>
      <c r="V819" s="51"/>
    </row>
    <row r="820" spans="2:22" x14ac:dyDescent="0.25">
      <c r="B820" s="405"/>
      <c r="C820" s="90">
        <v>2</v>
      </c>
      <c r="D820" s="204" t="s">
        <v>146</v>
      </c>
      <c r="H820" s="186" t="str">
        <f>CONCATENATE(L820,"-",C820,"-",LEFT(D820,3),LEFT(I820,3),"-",LEFT(J820,7),"-",9)</f>
        <v>RAA-2-MEJKER-1/2 BIR-9</v>
      </c>
      <c r="I820" s="184" t="s">
        <v>147</v>
      </c>
      <c r="J820" s="183" t="s">
        <v>176</v>
      </c>
      <c r="K820" s="183" t="s">
        <v>408</v>
      </c>
      <c r="L820" s="178" t="s">
        <v>207</v>
      </c>
      <c r="M820" s="429"/>
      <c r="N820" s="41"/>
      <c r="O820" s="284"/>
      <c r="P820" s="105"/>
      <c r="Q820" s="57"/>
      <c r="R820" s="57"/>
      <c r="S820" s="57"/>
      <c r="T820" s="41"/>
      <c r="U820" s="41"/>
      <c r="V820" s="51"/>
    </row>
    <row r="821" spans="2:22" x14ac:dyDescent="0.25">
      <c r="B821" s="405"/>
      <c r="C821" s="90">
        <v>2</v>
      </c>
      <c r="D821" s="204" t="s">
        <v>146</v>
      </c>
      <c r="H821" s="186" t="str">
        <f>CONCATENATE(L821,"-",C821,"-",LEFT(D821,3),LEFT(I821,3),"-",LEFT(J821,7),"-",10)</f>
        <v>RAA-2-MEJKER-1/2 BIR-10</v>
      </c>
      <c r="I821" s="184" t="s">
        <v>147</v>
      </c>
      <c r="J821" s="183" t="s">
        <v>176</v>
      </c>
      <c r="K821" s="183" t="s">
        <v>406</v>
      </c>
      <c r="L821" s="178" t="s">
        <v>207</v>
      </c>
      <c r="M821" s="429"/>
      <c r="N821" s="41"/>
      <c r="O821" s="284"/>
      <c r="P821" s="105"/>
      <c r="Q821" s="57"/>
      <c r="R821" s="57"/>
      <c r="S821" s="57"/>
      <c r="T821" s="41"/>
      <c r="U821" s="41"/>
      <c r="V821" s="51"/>
    </row>
    <row r="822" spans="2:22" x14ac:dyDescent="0.25">
      <c r="B822" s="405"/>
      <c r="C822" s="90">
        <v>2</v>
      </c>
      <c r="D822" s="204" t="s">
        <v>146</v>
      </c>
      <c r="H822" s="186" t="str">
        <f>CONCATENATE(L822,"-",C822,"-",LEFT(D822,3),LEFT(I822,3),"-",LEFT(J822,7),"-",11)</f>
        <v>RAA-2-MEJKER-1/2 BIR-11</v>
      </c>
      <c r="I822" s="184" t="s">
        <v>147</v>
      </c>
      <c r="J822" s="183" t="s">
        <v>176</v>
      </c>
      <c r="K822" s="183" t="s">
        <v>407</v>
      </c>
      <c r="L822" s="178" t="s">
        <v>207</v>
      </c>
      <c r="M822" s="430"/>
      <c r="N822" s="41"/>
      <c r="O822" s="284"/>
      <c r="P822" s="105"/>
      <c r="Q822" s="57"/>
      <c r="R822" s="57"/>
      <c r="S822" s="57"/>
      <c r="T822" s="41"/>
      <c r="U822" s="41"/>
      <c r="V822" s="51"/>
    </row>
    <row r="823" spans="2:22" x14ac:dyDescent="0.25">
      <c r="B823" s="405"/>
      <c r="C823" s="90">
        <v>2</v>
      </c>
      <c r="D823" s="204" t="s">
        <v>146</v>
      </c>
      <c r="H823" s="186" t="str">
        <f>CONCATENATE(L823,"-",C823,"-",LEFT(D823,3),LEFT(I823,3),"-",LEFT(J823,3))</f>
        <v>RAA-2-MEJKER-CRE</v>
      </c>
      <c r="I823" s="184" t="s">
        <v>147</v>
      </c>
      <c r="J823" s="183" t="s">
        <v>149</v>
      </c>
      <c r="K823" s="183"/>
      <c r="L823" s="178" t="s">
        <v>207</v>
      </c>
      <c r="M823" s="275">
        <f>'[3]TOTAL ASET APK'!$F$27</f>
        <v>0</v>
      </c>
      <c r="N823" s="41"/>
      <c r="O823" s="284"/>
      <c r="P823" s="105"/>
      <c r="Q823" s="57"/>
      <c r="R823" s="57"/>
      <c r="S823" s="57"/>
      <c r="T823" s="41"/>
      <c r="U823" s="41"/>
      <c r="V823" s="51"/>
    </row>
    <row r="824" spans="2:22" x14ac:dyDescent="0.25">
      <c r="B824" s="405"/>
      <c r="C824" s="90">
        <v>2</v>
      </c>
      <c r="D824" s="203" t="s">
        <v>146</v>
      </c>
      <c r="H824" s="186" t="str">
        <f>CONCATENATE(L824,"-",C824,"-",LEFT(D824,3),LEFT(I824,3),"-",LEFT(J824,3))</f>
        <v>RAA-2-MEJRAP-BIG</v>
      </c>
      <c r="I824" s="174" t="s">
        <v>174</v>
      </c>
      <c r="J824" s="176" t="s">
        <v>218</v>
      </c>
      <c r="K824" s="183" t="s">
        <v>402</v>
      </c>
      <c r="L824" s="178" t="s">
        <v>207</v>
      </c>
      <c r="M824" s="275">
        <f>'[3]TOTAL ASET APK'!$F$28</f>
        <v>1</v>
      </c>
      <c r="N824" s="41"/>
      <c r="O824" s="284"/>
      <c r="P824" s="105"/>
      <c r="Q824" s="57"/>
      <c r="R824" s="57"/>
      <c r="S824" s="57"/>
      <c r="T824" s="41"/>
      <c r="U824" s="41"/>
      <c r="V824" s="51"/>
    </row>
    <row r="825" spans="2:22" x14ac:dyDescent="0.25">
      <c r="B825" s="405"/>
      <c r="C825" s="90">
        <v>2</v>
      </c>
      <c r="D825" s="203" t="s">
        <v>146</v>
      </c>
      <c r="H825" s="186" t="str">
        <f>CONCATENATE(L825,"-",C825,"-",LEFT(D825,3),LEFT(I825,3),"-",LEFT(J825,3))</f>
        <v>RAA-2-MEJRAP-SMA</v>
      </c>
      <c r="I825" s="174" t="s">
        <v>174</v>
      </c>
      <c r="J825" s="176" t="s">
        <v>138</v>
      </c>
      <c r="K825" s="183"/>
      <c r="L825" s="178" t="s">
        <v>207</v>
      </c>
      <c r="M825" s="275">
        <f>'[3]TOTAL ASET APK'!$F$29</f>
        <v>0</v>
      </c>
      <c r="N825" s="41"/>
      <c r="O825" s="284"/>
      <c r="P825" s="105"/>
      <c r="Q825" s="57"/>
      <c r="R825" s="57"/>
      <c r="S825" s="57"/>
      <c r="T825" s="41"/>
      <c r="U825" s="41"/>
      <c r="V825" s="51"/>
    </row>
    <row r="826" spans="2:22" x14ac:dyDescent="0.25">
      <c r="B826" s="405"/>
      <c r="C826" s="90">
        <v>2</v>
      </c>
      <c r="D826" s="203" t="s">
        <v>146</v>
      </c>
      <c r="H826" s="186" t="str">
        <f>CONCATENATE(L826,"-",C826,"-",LEFT(D826,3),LEFT(I826,3),"-",LEFT(J826,3))</f>
        <v>RAA-2-MEJBUL-MED</v>
      </c>
      <c r="I826" s="174" t="s">
        <v>148</v>
      </c>
      <c r="J826" s="176" t="s">
        <v>219</v>
      </c>
      <c r="K826" s="183"/>
      <c r="L826" s="178" t="s">
        <v>207</v>
      </c>
      <c r="M826" s="275">
        <v>0</v>
      </c>
      <c r="N826" s="41"/>
      <c r="O826" s="284"/>
      <c r="P826" s="105"/>
      <c r="Q826" s="57"/>
      <c r="R826" s="57"/>
      <c r="S826" s="57"/>
      <c r="T826" s="41"/>
      <c r="U826" s="41"/>
      <c r="V826" s="51"/>
    </row>
    <row r="827" spans="2:22" x14ac:dyDescent="0.25">
      <c r="B827" s="405"/>
      <c r="C827" s="90">
        <v>2</v>
      </c>
      <c r="D827" s="203" t="s">
        <v>146</v>
      </c>
      <c r="H827" s="186" t="str">
        <f t="shared" si="10"/>
        <v>RAA-2-MEJTRI-SMALL</v>
      </c>
      <c r="I827" s="174" t="s">
        <v>231</v>
      </c>
      <c r="J827" s="176" t="s">
        <v>138</v>
      </c>
      <c r="K827" s="183"/>
      <c r="L827" s="178" t="s">
        <v>207</v>
      </c>
      <c r="M827" s="275">
        <v>0</v>
      </c>
      <c r="N827" s="41"/>
      <c r="O827" s="284"/>
      <c r="P827" s="105"/>
      <c r="Q827" s="57"/>
      <c r="R827" s="57"/>
      <c r="S827" s="57"/>
      <c r="T827" s="41"/>
      <c r="U827" s="41"/>
      <c r="V827" s="51"/>
    </row>
    <row r="828" spans="2:22" x14ac:dyDescent="0.25">
      <c r="B828" s="405"/>
      <c r="C828" s="90">
        <v>2</v>
      </c>
      <c r="D828" s="203" t="s">
        <v>150</v>
      </c>
      <c r="H828" s="186" t="str">
        <f>CONCATENATE(L828,"-",C828,"-",LEFT(D828,3),LEFT(I828,3),"-",LEFT(J828,3))</f>
        <v>RAA-2-KUR-DIR</v>
      </c>
      <c r="I828" s="174"/>
      <c r="J828" s="176" t="s">
        <v>151</v>
      </c>
      <c r="K828" s="183" t="s">
        <v>403</v>
      </c>
      <c r="L828" s="178" t="s">
        <v>207</v>
      </c>
      <c r="M828" s="428">
        <f>'[3]TOTAL ASET APK'!$F$32</f>
        <v>2</v>
      </c>
      <c r="N828" s="41"/>
      <c r="O828" s="284"/>
      <c r="P828" s="105"/>
      <c r="Q828" s="57"/>
      <c r="R828" s="57"/>
      <c r="S828" s="57"/>
      <c r="T828" s="41"/>
      <c r="U828" s="41"/>
      <c r="V828" s="51"/>
    </row>
    <row r="829" spans="2:22" x14ac:dyDescent="0.25">
      <c r="B829" s="405"/>
      <c r="C829" s="90">
        <v>2</v>
      </c>
      <c r="D829" s="203" t="s">
        <v>150</v>
      </c>
      <c r="H829" s="186" t="str">
        <f>CONCATENATE(L829,"-",C829,"-",LEFT(D829,3),LEFT(I829,3),"-",LEFT(J829,3))</f>
        <v>RAA-2-KUR-DIR</v>
      </c>
      <c r="I829" s="174"/>
      <c r="J829" s="176" t="s">
        <v>151</v>
      </c>
      <c r="K829" s="183" t="s">
        <v>358</v>
      </c>
      <c r="L829" s="178" t="s">
        <v>207</v>
      </c>
      <c r="M829" s="430"/>
      <c r="N829" s="41"/>
      <c r="O829" s="284"/>
      <c r="P829" s="105"/>
      <c r="Q829" s="57"/>
      <c r="R829" s="57"/>
      <c r="S829" s="57"/>
      <c r="T829" s="41"/>
      <c r="U829" s="41"/>
      <c r="V829" s="51"/>
    </row>
    <row r="830" spans="2:22" x14ac:dyDescent="0.25">
      <c r="B830" s="405"/>
      <c r="C830" s="90">
        <v>2</v>
      </c>
      <c r="D830" s="203" t="s">
        <v>150</v>
      </c>
      <c r="H830" s="186" t="str">
        <f>CONCATENATE(L830,"-",C830,"-",LEFT(D830,3),LEFT(I830,3),"-",LEFT(J830,3),"-",1)</f>
        <v>RAA-2-KUR-STA-1</v>
      </c>
      <c r="I830" s="174"/>
      <c r="J830" s="176" t="s">
        <v>152</v>
      </c>
      <c r="K830" s="183" t="s">
        <v>358</v>
      </c>
      <c r="L830" s="178" t="s">
        <v>207</v>
      </c>
      <c r="M830" s="428">
        <f>'[3]TOTAL ASET APK'!$F$33</f>
        <v>12</v>
      </c>
      <c r="N830" s="41"/>
      <c r="O830" s="284"/>
      <c r="P830" s="105"/>
      <c r="Q830" s="57"/>
      <c r="R830" s="57"/>
      <c r="S830" s="57"/>
      <c r="T830" s="41"/>
      <c r="U830" s="41"/>
      <c r="V830" s="51"/>
    </row>
    <row r="831" spans="2:22" x14ac:dyDescent="0.25">
      <c r="B831" s="405"/>
      <c r="C831" s="90">
        <v>2</v>
      </c>
      <c r="D831" s="203" t="s">
        <v>150</v>
      </c>
      <c r="H831" s="186" t="str">
        <f>CONCATENATE(L831,"-",C831,"-",LEFT(D831,3),LEFT(I831,3),"-",LEFT(J831,3),"-",2)</f>
        <v>RAA-2-KUR-STA-2</v>
      </c>
      <c r="I831" s="174"/>
      <c r="J831" s="176" t="s">
        <v>152</v>
      </c>
      <c r="K831" s="183" t="s">
        <v>358</v>
      </c>
      <c r="L831" s="178" t="s">
        <v>207</v>
      </c>
      <c r="M831" s="429"/>
      <c r="N831" s="41"/>
      <c r="O831" s="284"/>
      <c r="P831" s="105"/>
      <c r="Q831" s="57"/>
      <c r="R831" s="57"/>
      <c r="S831" s="57"/>
      <c r="T831" s="41"/>
      <c r="U831" s="41"/>
      <c r="V831" s="51"/>
    </row>
    <row r="832" spans="2:22" x14ac:dyDescent="0.25">
      <c r="B832" s="405"/>
      <c r="C832" s="90">
        <v>2</v>
      </c>
      <c r="D832" s="203" t="s">
        <v>150</v>
      </c>
      <c r="H832" s="186" t="str">
        <f>CONCATENATE(L832,"-",C832,"-",LEFT(D832,3),LEFT(I832,3),"-",LEFT(J832,3),"-",3)</f>
        <v>RAA-2-KUR-STA-3</v>
      </c>
      <c r="I832" s="174"/>
      <c r="J832" s="176" t="s">
        <v>152</v>
      </c>
      <c r="K832" s="183" t="s">
        <v>358</v>
      </c>
      <c r="L832" s="178" t="s">
        <v>207</v>
      </c>
      <c r="M832" s="429"/>
      <c r="N832" s="41"/>
      <c r="O832" s="284"/>
      <c r="P832" s="105"/>
      <c r="Q832" s="57"/>
      <c r="R832" s="57"/>
      <c r="S832" s="57"/>
      <c r="T832" s="41"/>
      <c r="U832" s="41"/>
      <c r="V832" s="51"/>
    </row>
    <row r="833" spans="2:22" x14ac:dyDescent="0.25">
      <c r="B833" s="405"/>
      <c r="C833" s="90">
        <v>2</v>
      </c>
      <c r="D833" s="203" t="s">
        <v>150</v>
      </c>
      <c r="H833" s="186" t="str">
        <f>CONCATENATE(L833,"-",C833,"-",LEFT(D833,3),LEFT(I833,3),"-",LEFT(J833,3),"-",4)</f>
        <v>RAA-2-KUR-STA-4</v>
      </c>
      <c r="I833" s="174"/>
      <c r="J833" s="176" t="s">
        <v>152</v>
      </c>
      <c r="K833" s="183" t="s">
        <v>358</v>
      </c>
      <c r="L833" s="178" t="s">
        <v>207</v>
      </c>
      <c r="M833" s="429"/>
      <c r="N833" s="41"/>
      <c r="O833" s="284"/>
      <c r="P833" s="105"/>
      <c r="Q833" s="57"/>
      <c r="R833" s="57"/>
      <c r="S833" s="57"/>
      <c r="T833" s="41"/>
      <c r="U833" s="41"/>
      <c r="V833" s="51"/>
    </row>
    <row r="834" spans="2:22" x14ac:dyDescent="0.25">
      <c r="B834" s="405"/>
      <c r="C834" s="90">
        <v>2</v>
      </c>
      <c r="D834" s="203" t="s">
        <v>150</v>
      </c>
      <c r="H834" s="186" t="str">
        <f>CONCATENATE(L834,"-",C834,"-",LEFT(D834,3),LEFT(I834,3),"-",LEFT(J834,3),"-",5)</f>
        <v>RAA-2-KUR-STA-5</v>
      </c>
      <c r="I834" s="174"/>
      <c r="J834" s="176" t="s">
        <v>152</v>
      </c>
      <c r="K834" s="183" t="s">
        <v>401</v>
      </c>
      <c r="L834" s="178" t="s">
        <v>207</v>
      </c>
      <c r="M834" s="429"/>
      <c r="N834" s="41"/>
      <c r="O834" s="284"/>
      <c r="P834" s="105"/>
      <c r="Q834" s="57"/>
      <c r="R834" s="57"/>
      <c r="S834" s="57"/>
      <c r="T834" s="41"/>
      <c r="U834" s="41"/>
      <c r="V834" s="51"/>
    </row>
    <row r="835" spans="2:22" x14ac:dyDescent="0.25">
      <c r="B835" s="405"/>
      <c r="C835" s="90">
        <v>2</v>
      </c>
      <c r="D835" s="203" t="s">
        <v>150</v>
      </c>
      <c r="H835" s="186" t="str">
        <f>CONCATENATE(L835,"-",C835,"-",LEFT(D835,3),LEFT(I835,3),"-",LEFT(J835,3),"-",6)</f>
        <v>RAA-2-KUR-STA-6</v>
      </c>
      <c r="I835" s="174"/>
      <c r="J835" s="176" t="s">
        <v>152</v>
      </c>
      <c r="K835" s="183" t="s">
        <v>402</v>
      </c>
      <c r="L835" s="178" t="s">
        <v>207</v>
      </c>
      <c r="M835" s="429"/>
      <c r="N835" s="41"/>
      <c r="O835" s="284"/>
      <c r="P835" s="105"/>
      <c r="Q835" s="57"/>
      <c r="R835" s="57"/>
      <c r="S835" s="57"/>
      <c r="T835" s="41"/>
      <c r="U835" s="41"/>
      <c r="V835" s="51"/>
    </row>
    <row r="836" spans="2:22" x14ac:dyDescent="0.25">
      <c r="B836" s="405"/>
      <c r="C836" s="90">
        <v>2</v>
      </c>
      <c r="D836" s="203" t="s">
        <v>150</v>
      </c>
      <c r="H836" s="186" t="str">
        <f>CONCATENATE(L836,"-",C836,"-",LEFT(D836,3),LEFT(I836,3),"-",LEFT(J836,3),"-",7)</f>
        <v>RAA-2-KUR-STA-7</v>
      </c>
      <c r="I836" s="174"/>
      <c r="J836" s="176" t="s">
        <v>152</v>
      </c>
      <c r="K836" s="183" t="s">
        <v>402</v>
      </c>
      <c r="L836" s="178" t="s">
        <v>207</v>
      </c>
      <c r="M836" s="429"/>
      <c r="N836" s="41"/>
      <c r="O836" s="284"/>
      <c r="P836" s="105"/>
      <c r="Q836" s="57"/>
      <c r="R836" s="57"/>
      <c r="S836" s="57"/>
      <c r="T836" s="41"/>
      <c r="U836" s="41"/>
      <c r="V836" s="51"/>
    </row>
    <row r="837" spans="2:22" x14ac:dyDescent="0.25">
      <c r="B837" s="405"/>
      <c r="C837" s="90">
        <v>2</v>
      </c>
      <c r="D837" s="203" t="s">
        <v>150</v>
      </c>
      <c r="H837" s="186" t="str">
        <f>CONCATENATE(L837,"-",C837,"-",LEFT(D837,3),LEFT(I837,3),"-",LEFT(J837,3),"-",8)</f>
        <v>RAA-2-KUR-STA-8</v>
      </c>
      <c r="I837" s="174"/>
      <c r="J837" s="176" t="s">
        <v>152</v>
      </c>
      <c r="K837" s="183" t="s">
        <v>402</v>
      </c>
      <c r="L837" s="178" t="s">
        <v>207</v>
      </c>
      <c r="M837" s="429"/>
      <c r="N837" s="41"/>
      <c r="O837" s="284"/>
      <c r="P837" s="105"/>
      <c r="Q837" s="57"/>
      <c r="R837" s="57"/>
      <c r="S837" s="57"/>
      <c r="T837" s="41"/>
      <c r="U837" s="41"/>
      <c r="V837" s="51"/>
    </row>
    <row r="838" spans="2:22" x14ac:dyDescent="0.25">
      <c r="B838" s="405"/>
      <c r="C838" s="90">
        <v>2</v>
      </c>
      <c r="D838" s="203" t="s">
        <v>150</v>
      </c>
      <c r="H838" s="186" t="str">
        <f>CONCATENATE(L838,"-",C838,"-",LEFT(D838,3),LEFT(I838,3),"-",LEFT(J838,3),"-",9)</f>
        <v>RAA-2-KUR-STA-9</v>
      </c>
      <c r="I838" s="174"/>
      <c r="J838" s="176" t="s">
        <v>152</v>
      </c>
      <c r="K838" s="183" t="s">
        <v>402</v>
      </c>
      <c r="L838" s="178" t="s">
        <v>207</v>
      </c>
      <c r="M838" s="429"/>
      <c r="N838" s="41"/>
      <c r="O838" s="284"/>
      <c r="P838" s="105"/>
      <c r="Q838" s="57"/>
      <c r="R838" s="57"/>
      <c r="S838" s="57"/>
      <c r="T838" s="41"/>
      <c r="U838" s="41"/>
      <c r="V838" s="51"/>
    </row>
    <row r="839" spans="2:22" x14ac:dyDescent="0.25">
      <c r="B839" s="405"/>
      <c r="C839" s="90">
        <v>2</v>
      </c>
      <c r="D839" s="203" t="s">
        <v>150</v>
      </c>
      <c r="H839" s="186" t="str">
        <f>CONCATENATE(L839,"-",C839,"-",LEFT(D839,3),LEFT(I839,3),"-",LEFT(J839,3),"-",10)</f>
        <v>RAA-2-KUR-STA-10</v>
      </c>
      <c r="I839" s="174"/>
      <c r="J839" s="176" t="s">
        <v>152</v>
      </c>
      <c r="K839" s="183" t="s">
        <v>408</v>
      </c>
      <c r="L839" s="178" t="s">
        <v>207</v>
      </c>
      <c r="M839" s="429"/>
      <c r="N839" s="41"/>
      <c r="O839" s="284"/>
      <c r="P839" s="105"/>
      <c r="Q839" s="57"/>
      <c r="R839" s="57"/>
      <c r="S839" s="57"/>
      <c r="T839" s="41"/>
      <c r="U839" s="41"/>
      <c r="V839" s="51"/>
    </row>
    <row r="840" spans="2:22" x14ac:dyDescent="0.25">
      <c r="B840" s="405"/>
      <c r="C840" s="90">
        <v>2</v>
      </c>
      <c r="D840" s="203" t="s">
        <v>150</v>
      </c>
      <c r="H840" s="186" t="str">
        <f>CONCATENATE(L840,"-",C840,"-",LEFT(D840,3),LEFT(I840,3),"-",LEFT(J840,3),"-",11)</f>
        <v>RAA-2-KUR-STA-11</v>
      </c>
      <c r="I840" s="174"/>
      <c r="J840" s="176" t="s">
        <v>152</v>
      </c>
      <c r="K840" s="183" t="s">
        <v>405</v>
      </c>
      <c r="L840" s="178" t="s">
        <v>207</v>
      </c>
      <c r="M840" s="429"/>
      <c r="N840" s="41"/>
      <c r="O840" s="284"/>
      <c r="P840" s="105"/>
      <c r="Q840" s="57"/>
      <c r="R840" s="57"/>
      <c r="S840" s="57"/>
      <c r="T840" s="41"/>
      <c r="U840" s="41"/>
      <c r="V840" s="51"/>
    </row>
    <row r="841" spans="2:22" x14ac:dyDescent="0.25">
      <c r="B841" s="405"/>
      <c r="C841" s="90">
        <v>2</v>
      </c>
      <c r="D841" s="203" t="s">
        <v>150</v>
      </c>
      <c r="H841" s="186" t="str">
        <f>CONCATENATE(L841,"-",C841,"-",LEFT(D841,3),LEFT(I841,3),"-",LEFT(J841,3),"-",12)</f>
        <v>RAA-2-KUR-STA-12</v>
      </c>
      <c r="I841" s="174"/>
      <c r="J841" s="176" t="s">
        <v>152</v>
      </c>
      <c r="K841" s="183" t="s">
        <v>407</v>
      </c>
      <c r="L841" s="178" t="s">
        <v>207</v>
      </c>
      <c r="M841" s="430"/>
      <c r="N841" s="41"/>
      <c r="O841" s="284"/>
      <c r="P841" s="105"/>
      <c r="Q841" s="57"/>
      <c r="R841" s="57"/>
      <c r="S841" s="57"/>
      <c r="T841" s="41"/>
      <c r="U841" s="41"/>
      <c r="V841" s="51"/>
    </row>
    <row r="842" spans="2:22" x14ac:dyDescent="0.25">
      <c r="B842" s="405"/>
      <c r="C842" s="90">
        <v>2</v>
      </c>
      <c r="D842" s="203" t="s">
        <v>150</v>
      </c>
      <c r="H842" s="186" t="str">
        <f>CONCATENATE(L842,"-",C842,"-",LEFT(D842,3),LEFT(I842,3),"-",LEFT(J842,3))</f>
        <v>RAA-2-KUR-HAD</v>
      </c>
      <c r="I842" s="174"/>
      <c r="J842" s="176" t="s">
        <v>153</v>
      </c>
      <c r="K842" s="183"/>
      <c r="L842" s="178" t="s">
        <v>207</v>
      </c>
      <c r="M842" s="275">
        <f>'[3]TOTAL ASET APK'!$F$34</f>
        <v>0</v>
      </c>
      <c r="N842" s="41"/>
      <c r="O842" s="284"/>
      <c r="P842" s="105"/>
      <c r="Q842" s="57"/>
      <c r="R842" s="57"/>
      <c r="S842" s="57"/>
      <c r="T842" s="41"/>
      <c r="U842" s="41"/>
      <c r="V842" s="51"/>
    </row>
    <row r="843" spans="2:22" x14ac:dyDescent="0.25">
      <c r="B843" s="405"/>
      <c r="C843" s="90">
        <v>2</v>
      </c>
      <c r="D843" s="203" t="s">
        <v>150</v>
      </c>
      <c r="H843" s="186" t="str">
        <f>CONCATENATE(L843,"-",C843,"-",LEFT(D843,3),LEFT(I843,3),"-",LEFT(J843,3),"-",1)</f>
        <v>RAA-2-KURNON-PLA-1</v>
      </c>
      <c r="I843" s="174" t="s">
        <v>154</v>
      </c>
      <c r="J843" s="176" t="s">
        <v>155</v>
      </c>
      <c r="K843" s="183"/>
      <c r="L843" s="178" t="s">
        <v>207</v>
      </c>
      <c r="M843" s="428">
        <f>'[3]TOTAL ASET APK'!$F$38</f>
        <v>3</v>
      </c>
      <c r="N843" s="41"/>
      <c r="O843" s="284"/>
      <c r="P843" s="105"/>
      <c r="Q843" s="57"/>
      <c r="R843" s="57"/>
      <c r="S843" s="57"/>
      <c r="T843" s="41"/>
      <c r="U843" s="41"/>
      <c r="V843" s="51"/>
    </row>
    <row r="844" spans="2:22" x14ac:dyDescent="0.25">
      <c r="B844" s="405"/>
      <c r="C844" s="90">
        <v>2</v>
      </c>
      <c r="D844" s="203" t="s">
        <v>150</v>
      </c>
      <c r="H844" s="186" t="str">
        <f>CONCATENATE(L844,"-",C844,"-",LEFT(D844,3),LEFT(I844,3),"-",LEFT(J844,3),"-",2)</f>
        <v>RAA-2-KURNON-PLA-2</v>
      </c>
      <c r="I844" s="174" t="s">
        <v>154</v>
      </c>
      <c r="J844" s="176" t="s">
        <v>155</v>
      </c>
      <c r="K844" s="183"/>
      <c r="L844" s="178" t="s">
        <v>207</v>
      </c>
      <c r="M844" s="429"/>
      <c r="N844" s="41"/>
      <c r="O844" s="284"/>
      <c r="P844" s="105"/>
      <c r="Q844" s="57"/>
      <c r="R844" s="57"/>
      <c r="S844" s="57"/>
      <c r="T844" s="41"/>
      <c r="U844" s="41"/>
      <c r="V844" s="51"/>
    </row>
    <row r="845" spans="2:22" x14ac:dyDescent="0.25">
      <c r="B845" s="405"/>
      <c r="C845" s="90">
        <v>2</v>
      </c>
      <c r="D845" s="203" t="s">
        <v>150</v>
      </c>
      <c r="H845" s="186" t="str">
        <f>CONCATENATE(L845,"-",C845,"-",LEFT(D845,3),LEFT(I845,3),"-",LEFT(J845,3),"-",3)</f>
        <v>RAA-2-KURNON-PLA-3</v>
      </c>
      <c r="I845" s="174" t="s">
        <v>154</v>
      </c>
      <c r="J845" s="176" t="s">
        <v>155</v>
      </c>
      <c r="K845" s="183"/>
      <c r="L845" s="178" t="s">
        <v>207</v>
      </c>
      <c r="M845" s="430"/>
      <c r="N845" s="41"/>
      <c r="O845" s="284"/>
      <c r="P845" s="105"/>
      <c r="Q845" s="57"/>
      <c r="R845" s="57"/>
      <c r="S845" s="57"/>
      <c r="T845" s="41"/>
      <c r="U845" s="41"/>
      <c r="V845" s="51"/>
    </row>
    <row r="846" spans="2:22" x14ac:dyDescent="0.25">
      <c r="B846" s="405"/>
      <c r="C846" s="90">
        <v>2</v>
      </c>
      <c r="D846" s="203" t="s">
        <v>150</v>
      </c>
      <c r="H846" s="186" t="str">
        <f>CONCATENATE(L846,"-",C846,"-",LEFT(D846,3),LEFT(I846,3),"-",LEFT(J846,3),"-",1)</f>
        <v>RAA-2-KURNON-LIP-1</v>
      </c>
      <c r="I846" s="174" t="s">
        <v>154</v>
      </c>
      <c r="J846" s="176" t="s">
        <v>156</v>
      </c>
      <c r="K846" s="183" t="s">
        <v>403</v>
      </c>
      <c r="L846" s="178" t="s">
        <v>207</v>
      </c>
      <c r="M846" s="428">
        <f>'[3]TOTAL ASET APK'!$F$37</f>
        <v>4</v>
      </c>
      <c r="N846" s="41"/>
      <c r="O846" s="284"/>
      <c r="P846" s="105"/>
      <c r="Q846" s="57"/>
      <c r="R846" s="57"/>
      <c r="S846" s="57"/>
      <c r="T846" s="41"/>
      <c r="U846" s="41"/>
      <c r="V846" s="51"/>
    </row>
    <row r="847" spans="2:22" x14ac:dyDescent="0.25">
      <c r="B847" s="405"/>
      <c r="C847" s="90">
        <v>2</v>
      </c>
      <c r="D847" s="203" t="s">
        <v>150</v>
      </c>
      <c r="H847" s="186" t="str">
        <f>CONCATENATE(L847,"-",C847,"-",LEFT(D847,3),LEFT(I847,3),"-",LEFT(J847,3),"-",2)</f>
        <v>RAA-2-KURNON-LIP-2</v>
      </c>
      <c r="I847" s="174" t="s">
        <v>154</v>
      </c>
      <c r="J847" s="176" t="s">
        <v>156</v>
      </c>
      <c r="K847" s="183" t="s">
        <v>402</v>
      </c>
      <c r="L847" s="178" t="s">
        <v>207</v>
      </c>
      <c r="M847" s="429"/>
      <c r="N847" s="41"/>
      <c r="O847" s="284"/>
      <c r="P847" s="105"/>
      <c r="Q847" s="57"/>
      <c r="R847" s="57"/>
      <c r="S847" s="57"/>
      <c r="T847" s="41"/>
      <c r="U847" s="41"/>
      <c r="V847" s="51"/>
    </row>
    <row r="848" spans="2:22" x14ac:dyDescent="0.25">
      <c r="B848" s="405"/>
      <c r="C848" s="90">
        <v>2</v>
      </c>
      <c r="D848" s="203" t="s">
        <v>150</v>
      </c>
      <c r="H848" s="186" t="str">
        <f>CONCATENATE(L848,"-",C848,"-",LEFT(D848,3),LEFT(I848,3),"-",LEFT(J848,3),"-",3)</f>
        <v>RAA-2-KURNON-LIP-3</v>
      </c>
      <c r="I848" s="174" t="s">
        <v>154</v>
      </c>
      <c r="J848" s="176" t="s">
        <v>156</v>
      </c>
      <c r="K848" s="183" t="s">
        <v>402</v>
      </c>
      <c r="L848" s="178" t="s">
        <v>207</v>
      </c>
      <c r="M848" s="429"/>
      <c r="N848" s="41"/>
      <c r="O848" s="284"/>
      <c r="P848" s="105"/>
      <c r="Q848" s="57"/>
      <c r="R848" s="57"/>
      <c r="S848" s="57"/>
      <c r="T848" s="41"/>
      <c r="U848" s="41"/>
      <c r="V848" s="51"/>
    </row>
    <row r="849" spans="2:22" x14ac:dyDescent="0.25">
      <c r="B849" s="405"/>
      <c r="C849" s="90">
        <v>2</v>
      </c>
      <c r="D849" s="203" t="s">
        <v>150</v>
      </c>
      <c r="H849" s="186" t="str">
        <f>CONCATENATE(L849,"-",C849,"-",LEFT(D849,3),LEFT(I849,3),"-",LEFT(J849,3),"-",4)</f>
        <v>RAA-2-KURNON-LIP-4</v>
      </c>
      <c r="I849" s="174" t="s">
        <v>154</v>
      </c>
      <c r="J849" s="176" t="s">
        <v>156</v>
      </c>
      <c r="K849" s="183" t="s">
        <v>402</v>
      </c>
      <c r="L849" s="178" t="s">
        <v>207</v>
      </c>
      <c r="M849" s="430"/>
      <c r="N849" s="41"/>
      <c r="O849" s="284"/>
      <c r="P849" s="105"/>
      <c r="Q849" s="57"/>
      <c r="R849" s="57"/>
      <c r="S849" s="57"/>
      <c r="T849" s="41"/>
      <c r="U849" s="41"/>
      <c r="V849" s="51"/>
    </row>
    <row r="850" spans="2:22" x14ac:dyDescent="0.25">
      <c r="B850" s="405"/>
      <c r="C850" s="90">
        <v>2</v>
      </c>
      <c r="D850" s="203" t="s">
        <v>150</v>
      </c>
      <c r="H850" s="186" t="str">
        <f>CONCATENATE(L850,"-",C850,"-",LEFT(D850,3),LEFT(I850,3),"-",LEFT(J850,5),"-",1)</f>
        <v>RAA-2-KURNON-STACK-1</v>
      </c>
      <c r="I850" s="174" t="s">
        <v>154</v>
      </c>
      <c r="J850" s="176" t="s">
        <v>157</v>
      </c>
      <c r="K850" s="183" t="s">
        <v>407</v>
      </c>
      <c r="L850" s="178" t="s">
        <v>207</v>
      </c>
      <c r="M850" s="428">
        <f>'[3]TOTAL ASET APK'!$F$35</f>
        <v>13</v>
      </c>
      <c r="N850" s="41"/>
      <c r="O850" s="284"/>
      <c r="P850" s="105"/>
      <c r="Q850" s="57"/>
      <c r="R850" s="57"/>
      <c r="S850" s="57"/>
      <c r="T850" s="41"/>
      <c r="U850" s="41"/>
      <c r="V850" s="51"/>
    </row>
    <row r="851" spans="2:22" x14ac:dyDescent="0.25">
      <c r="B851" s="405"/>
      <c r="C851" s="90">
        <v>2</v>
      </c>
      <c r="D851" s="203" t="s">
        <v>150</v>
      </c>
      <c r="H851" s="186" t="str">
        <f>CONCATENATE(L851,"-",C851,"-",LEFT(D851,3),LEFT(I851,3),"-",LEFT(J851,5),"-",2)</f>
        <v>RAA-2-KURNON-STACK-2</v>
      </c>
      <c r="I851" s="174" t="s">
        <v>154</v>
      </c>
      <c r="J851" s="176" t="s">
        <v>157</v>
      </c>
      <c r="K851" s="183" t="s">
        <v>406</v>
      </c>
      <c r="L851" s="178" t="s">
        <v>207</v>
      </c>
      <c r="M851" s="429"/>
      <c r="N851" s="41"/>
      <c r="O851" s="284"/>
      <c r="P851" s="105"/>
      <c r="Q851" s="57"/>
      <c r="R851" s="57"/>
      <c r="S851" s="57"/>
      <c r="T851" s="41"/>
      <c r="U851" s="41"/>
      <c r="V851" s="51"/>
    </row>
    <row r="852" spans="2:22" x14ac:dyDescent="0.25">
      <c r="B852" s="405"/>
      <c r="C852" s="90">
        <v>2</v>
      </c>
      <c r="D852" s="203" t="s">
        <v>150</v>
      </c>
      <c r="H852" s="186" t="str">
        <f>CONCATENATE(L852,"-",C852,"-",LEFT(D852,3),LEFT(I852,3),"-",LEFT(J852,5),"-",3)</f>
        <v>RAA-2-KURNON-STACK-3</v>
      </c>
      <c r="I852" s="174" t="s">
        <v>154</v>
      </c>
      <c r="J852" s="176" t="s">
        <v>157</v>
      </c>
      <c r="K852" s="183" t="s">
        <v>406</v>
      </c>
      <c r="L852" s="178" t="s">
        <v>207</v>
      </c>
      <c r="M852" s="429"/>
      <c r="N852" s="41"/>
      <c r="O852" s="284"/>
      <c r="P852" s="105"/>
      <c r="Q852" s="57"/>
      <c r="R852" s="57"/>
      <c r="S852" s="57"/>
      <c r="T852" s="41"/>
      <c r="U852" s="41"/>
      <c r="V852" s="51"/>
    </row>
    <row r="853" spans="2:22" x14ac:dyDescent="0.25">
      <c r="B853" s="405"/>
      <c r="C853" s="90">
        <v>2</v>
      </c>
      <c r="D853" s="203" t="s">
        <v>150</v>
      </c>
      <c r="H853" s="186" t="str">
        <f>CONCATENATE(L853,"-",C853,"-",LEFT(D853,3),LEFT(I853,3),"-",LEFT(J853,5),"-",4)</f>
        <v>RAA-2-KURNON-STACK-4</v>
      </c>
      <c r="I853" s="174" t="s">
        <v>154</v>
      </c>
      <c r="J853" s="176" t="s">
        <v>157</v>
      </c>
      <c r="K853" s="183" t="s">
        <v>406</v>
      </c>
      <c r="L853" s="178" t="s">
        <v>207</v>
      </c>
      <c r="M853" s="429"/>
      <c r="N853" s="41"/>
      <c r="O853" s="284"/>
      <c r="P853" s="105"/>
      <c r="Q853" s="57"/>
      <c r="R853" s="57"/>
      <c r="S853" s="57"/>
      <c r="T853" s="41"/>
      <c r="U853" s="41"/>
      <c r="V853" s="51"/>
    </row>
    <row r="854" spans="2:22" x14ac:dyDescent="0.25">
      <c r="B854" s="405"/>
      <c r="C854" s="90">
        <v>2</v>
      </c>
      <c r="D854" s="203" t="s">
        <v>150</v>
      </c>
      <c r="H854" s="186" t="str">
        <f>CONCATENATE(L854,"-",C854,"-",LEFT(D854,3),LEFT(I854,3),"-",LEFT(J854,5),"-",5)</f>
        <v>RAA-2-KURNON-STACK-5</v>
      </c>
      <c r="I854" s="174" t="s">
        <v>154</v>
      </c>
      <c r="J854" s="176" t="s">
        <v>157</v>
      </c>
      <c r="K854" s="183" t="s">
        <v>396</v>
      </c>
      <c r="L854" s="178" t="s">
        <v>207</v>
      </c>
      <c r="M854" s="429"/>
      <c r="N854" s="41"/>
      <c r="O854" s="284"/>
      <c r="P854" s="105"/>
      <c r="Q854" s="57"/>
      <c r="R854" s="57"/>
      <c r="S854" s="57"/>
      <c r="T854" s="41"/>
      <c r="U854" s="41"/>
      <c r="V854" s="51"/>
    </row>
    <row r="855" spans="2:22" x14ac:dyDescent="0.25">
      <c r="B855" s="405"/>
      <c r="C855" s="90">
        <v>2</v>
      </c>
      <c r="D855" s="203" t="s">
        <v>150</v>
      </c>
      <c r="H855" s="186" t="str">
        <f>CONCATENATE(L855,"-",C855,"-",LEFT(D855,3),LEFT(I855,3),"-",LEFT(J855,5),"-",6)</f>
        <v>RAA-2-KURNON-STACK-6</v>
      </c>
      <c r="I855" s="174" t="s">
        <v>154</v>
      </c>
      <c r="J855" s="176" t="s">
        <v>157</v>
      </c>
      <c r="K855" s="183" t="s">
        <v>396</v>
      </c>
      <c r="L855" s="178" t="s">
        <v>207</v>
      </c>
      <c r="M855" s="429"/>
      <c r="N855" s="41"/>
      <c r="O855" s="284"/>
      <c r="P855" s="105"/>
      <c r="Q855" s="57"/>
      <c r="R855" s="57"/>
      <c r="S855" s="57"/>
      <c r="T855" s="41"/>
      <c r="U855" s="41"/>
      <c r="V855" s="51"/>
    </row>
    <row r="856" spans="2:22" x14ac:dyDescent="0.25">
      <c r="B856" s="405"/>
      <c r="C856" s="90">
        <v>2</v>
      </c>
      <c r="D856" s="203" t="s">
        <v>150</v>
      </c>
      <c r="H856" s="186" t="str">
        <f>CONCATENATE(L856,"-",C856,"-",LEFT(D856,3),LEFT(I856,3),"-",LEFT(J856,5),"-",7)</f>
        <v>RAA-2-KURNON-STACK-7</v>
      </c>
      <c r="I856" s="174" t="s">
        <v>154</v>
      </c>
      <c r="J856" s="176" t="s">
        <v>157</v>
      </c>
      <c r="K856" s="183" t="s">
        <v>396</v>
      </c>
      <c r="L856" s="178" t="s">
        <v>207</v>
      </c>
      <c r="M856" s="429"/>
      <c r="N856" s="41"/>
      <c r="O856" s="284"/>
      <c r="P856" s="105"/>
      <c r="Q856" s="57"/>
      <c r="R856" s="57"/>
      <c r="S856" s="57"/>
      <c r="T856" s="41"/>
      <c r="U856" s="41"/>
      <c r="V856" s="51"/>
    </row>
    <row r="857" spans="2:22" x14ac:dyDescent="0.25">
      <c r="B857" s="405"/>
      <c r="C857" s="90">
        <v>2</v>
      </c>
      <c r="D857" s="203" t="s">
        <v>150</v>
      </c>
      <c r="H857" s="186" t="str">
        <f>CONCATENATE(L857,"-",C857,"-",LEFT(D857,3),LEFT(I857,3),"-",LEFT(J857,5),"-",8)</f>
        <v>RAA-2-KURNON-STACK-8</v>
      </c>
      <c r="I857" s="174" t="s">
        <v>154</v>
      </c>
      <c r="J857" s="176" t="s">
        <v>157</v>
      </c>
      <c r="K857" s="183" t="s">
        <v>396</v>
      </c>
      <c r="L857" s="178" t="s">
        <v>207</v>
      </c>
      <c r="M857" s="429"/>
      <c r="N857" s="41"/>
      <c r="O857" s="284"/>
      <c r="P857" s="105"/>
      <c r="Q857" s="57"/>
      <c r="R857" s="57"/>
      <c r="S857" s="57"/>
      <c r="T857" s="41"/>
      <c r="U857" s="41"/>
      <c r="V857" s="51"/>
    </row>
    <row r="858" spans="2:22" x14ac:dyDescent="0.25">
      <c r="B858" s="405"/>
      <c r="C858" s="90">
        <v>2</v>
      </c>
      <c r="D858" s="203" t="s">
        <v>150</v>
      </c>
      <c r="H858" s="186" t="str">
        <f>CONCATENATE(L858,"-",C858,"-",LEFT(D858,3),LEFT(I858,3),"-",LEFT(J858,5),"-",9)</f>
        <v>RAA-2-KURNON-STACK-9</v>
      </c>
      <c r="I858" s="174" t="s">
        <v>154</v>
      </c>
      <c r="J858" s="176" t="s">
        <v>157</v>
      </c>
      <c r="K858" s="183" t="s">
        <v>408</v>
      </c>
      <c r="L858" s="178" t="s">
        <v>207</v>
      </c>
      <c r="M858" s="429"/>
      <c r="N858" s="41"/>
      <c r="O858" s="284"/>
      <c r="P858" s="105"/>
      <c r="Q858" s="57"/>
      <c r="R858" s="57"/>
      <c r="S858" s="57"/>
      <c r="T858" s="41"/>
      <c r="U858" s="41"/>
      <c r="V858" s="51"/>
    </row>
    <row r="859" spans="2:22" x14ac:dyDescent="0.25">
      <c r="B859" s="405"/>
      <c r="C859" s="90">
        <v>2</v>
      </c>
      <c r="D859" s="203" t="s">
        <v>150</v>
      </c>
      <c r="H859" s="186" t="str">
        <f>CONCATENATE(L859,"-",C859,"-",LEFT(D859,3),LEFT(I859,3),"-",LEFT(J859,5),"-",10)</f>
        <v>RAA-2-KURNON-STACK-10</v>
      </c>
      <c r="I859" s="174" t="s">
        <v>154</v>
      </c>
      <c r="J859" s="176" t="s">
        <v>157</v>
      </c>
      <c r="K859" s="183" t="s">
        <v>404</v>
      </c>
      <c r="L859" s="178" t="s">
        <v>207</v>
      </c>
      <c r="M859" s="429"/>
      <c r="N859" s="41"/>
      <c r="O859" s="284"/>
      <c r="P859" s="105"/>
      <c r="Q859" s="57"/>
      <c r="R859" s="57"/>
      <c r="S859" s="57"/>
      <c r="T859" s="41"/>
      <c r="U859" s="41"/>
      <c r="V859" s="51"/>
    </row>
    <row r="860" spans="2:22" x14ac:dyDescent="0.25">
      <c r="B860" s="405"/>
      <c r="C860" s="90">
        <v>2</v>
      </c>
      <c r="D860" s="203" t="s">
        <v>150</v>
      </c>
      <c r="H860" s="186" t="str">
        <f>CONCATENATE(L860,"-",C860,"-",LEFT(D860,3),LEFT(I860,3),"-",LEFT(J860,5),"-",11)</f>
        <v>RAA-2-KURNON-STACK-11</v>
      </c>
      <c r="I860" s="174" t="s">
        <v>154</v>
      </c>
      <c r="J860" s="176" t="s">
        <v>157</v>
      </c>
      <c r="K860" s="183" t="s">
        <v>404</v>
      </c>
      <c r="L860" s="178" t="s">
        <v>207</v>
      </c>
      <c r="M860" s="429"/>
      <c r="N860" s="41"/>
      <c r="O860" s="284"/>
      <c r="P860" s="105"/>
      <c r="Q860" s="57"/>
      <c r="R860" s="57"/>
      <c r="S860" s="57"/>
      <c r="T860" s="41"/>
      <c r="U860" s="41"/>
      <c r="V860" s="51"/>
    </row>
    <row r="861" spans="2:22" x14ac:dyDescent="0.25">
      <c r="B861" s="405"/>
      <c r="C861" s="90">
        <v>2</v>
      </c>
      <c r="D861" s="203" t="s">
        <v>150</v>
      </c>
      <c r="H861" s="186" t="str">
        <f>CONCATENATE(L861,"-",C861,"-",LEFT(D861,3),LEFT(I861,3),"-",LEFT(J861,5),"-",12)</f>
        <v>RAA-2-KURNON-STACK-12</v>
      </c>
      <c r="I861" s="174" t="s">
        <v>154</v>
      </c>
      <c r="J861" s="176" t="s">
        <v>157</v>
      </c>
      <c r="K861" s="183" t="s">
        <v>404</v>
      </c>
      <c r="L861" s="178" t="s">
        <v>207</v>
      </c>
      <c r="M861" s="429"/>
      <c r="N861" s="41"/>
      <c r="O861" s="284"/>
      <c r="P861" s="105"/>
      <c r="Q861" s="57"/>
      <c r="R861" s="57"/>
      <c r="S861" s="57"/>
      <c r="T861" s="41"/>
      <c r="U861" s="41"/>
      <c r="V861" s="51"/>
    </row>
    <row r="862" spans="2:22" x14ac:dyDescent="0.25">
      <c r="B862" s="405"/>
      <c r="C862" s="90">
        <v>2</v>
      </c>
      <c r="D862" s="203" t="s">
        <v>150</v>
      </c>
      <c r="H862" s="186" t="str">
        <f>CONCATENATE(L862,"-",C862,"-",LEFT(D862,3),LEFT(I862,3),"-",LEFT(J862,5),"-",13)</f>
        <v>RAA-2-KURNON-STACK-13</v>
      </c>
      <c r="I862" s="174" t="s">
        <v>154</v>
      </c>
      <c r="J862" s="176" t="s">
        <v>157</v>
      </c>
      <c r="K862" s="183" t="s">
        <v>404</v>
      </c>
      <c r="L862" s="178" t="s">
        <v>207</v>
      </c>
      <c r="M862" s="430"/>
      <c r="N862" s="41"/>
      <c r="O862" s="284"/>
      <c r="P862" s="105"/>
      <c r="Q862" s="57"/>
      <c r="R862" s="57"/>
      <c r="S862" s="57"/>
      <c r="T862" s="41"/>
      <c r="U862" s="41"/>
      <c r="V862" s="51"/>
    </row>
    <row r="863" spans="2:22" x14ac:dyDescent="0.25">
      <c r="B863" s="405"/>
      <c r="C863" s="90">
        <v>2</v>
      </c>
      <c r="D863" s="203" t="s">
        <v>150</v>
      </c>
      <c r="H863" s="186" t="str">
        <f t="shared" ref="H863:H918" si="11">CONCATENATE(L863,"-",C863,"-",LEFT(D863,3),LEFT(I863,3),"-",LEFT(J863,6))</f>
        <v>RAA-2-KURNON-RELAX</v>
      </c>
      <c r="I863" s="174" t="s">
        <v>154</v>
      </c>
      <c r="J863" s="176" t="s">
        <v>289</v>
      </c>
      <c r="K863" s="183"/>
      <c r="L863" s="178" t="s">
        <v>207</v>
      </c>
      <c r="M863" s="275">
        <v>0</v>
      </c>
      <c r="N863" s="41"/>
      <c r="O863" s="284"/>
      <c r="P863" s="105"/>
      <c r="Q863" s="57"/>
      <c r="R863" s="57"/>
      <c r="S863" s="57"/>
      <c r="T863" s="41"/>
      <c r="U863" s="41"/>
      <c r="V863" s="51"/>
    </row>
    <row r="864" spans="2:22" x14ac:dyDescent="0.25">
      <c r="B864" s="405"/>
      <c r="C864" s="90">
        <v>2</v>
      </c>
      <c r="D864" s="203" t="s">
        <v>150</v>
      </c>
      <c r="H864" s="186" t="str">
        <f t="shared" si="11"/>
        <v>RAA-2-KURNON-WOOD</v>
      </c>
      <c r="I864" s="174" t="s">
        <v>154</v>
      </c>
      <c r="J864" s="176" t="s">
        <v>290</v>
      </c>
      <c r="K864" s="183" t="s">
        <v>358</v>
      </c>
      <c r="L864" s="178" t="s">
        <v>207</v>
      </c>
      <c r="M864" s="275">
        <f>'[3]TOTAL ASET APK'!$F$36</f>
        <v>1</v>
      </c>
      <c r="N864" s="41"/>
      <c r="O864" s="284"/>
      <c r="P864" s="105"/>
      <c r="Q864" s="57"/>
      <c r="R864" s="57"/>
      <c r="S864" s="57"/>
      <c r="T864" s="41"/>
      <c r="U864" s="41"/>
      <c r="V864" s="51"/>
    </row>
    <row r="865" spans="2:22" x14ac:dyDescent="0.25">
      <c r="B865" s="405"/>
      <c r="C865" s="90">
        <v>2</v>
      </c>
      <c r="D865" s="203" t="s">
        <v>158</v>
      </c>
      <c r="H865" s="186" t="str">
        <f t="shared" si="11"/>
        <v>RAA-2-SOFSIN-1</v>
      </c>
      <c r="I865" s="174" t="s">
        <v>142</v>
      </c>
      <c r="J865" s="176">
        <v>1</v>
      </c>
      <c r="K865" s="183"/>
      <c r="L865" s="178" t="s">
        <v>207</v>
      </c>
      <c r="M865" s="275">
        <f>'[3]TOTAL ASET APK'!$F$39</f>
        <v>0</v>
      </c>
      <c r="N865" s="41"/>
      <c r="O865" s="284"/>
      <c r="P865" s="105"/>
      <c r="Q865" s="57"/>
      <c r="R865" s="57"/>
      <c r="S865" s="57"/>
      <c r="T865" s="41"/>
      <c r="U865" s="41"/>
      <c r="V865" s="51"/>
    </row>
    <row r="866" spans="2:22" x14ac:dyDescent="0.25">
      <c r="B866" s="405"/>
      <c r="C866" s="90">
        <v>2</v>
      </c>
      <c r="D866" s="203" t="s">
        <v>158</v>
      </c>
      <c r="H866" s="186" t="str">
        <f t="shared" si="11"/>
        <v>RAA-2-SOFLOV-2</v>
      </c>
      <c r="I866" s="174" t="s">
        <v>159</v>
      </c>
      <c r="J866" s="176">
        <v>2</v>
      </c>
      <c r="K866" s="183"/>
      <c r="L866" s="178" t="s">
        <v>207</v>
      </c>
      <c r="M866" s="275">
        <f>'[3]TOTAL ASET APK'!$F$40</f>
        <v>0</v>
      </c>
      <c r="N866" s="41"/>
      <c r="O866" s="284"/>
      <c r="P866" s="105"/>
      <c r="Q866" s="57"/>
      <c r="R866" s="57"/>
      <c r="S866" s="57"/>
      <c r="T866" s="41"/>
      <c r="U866" s="41"/>
      <c r="V866" s="51"/>
    </row>
    <row r="867" spans="2:22" x14ac:dyDescent="0.25">
      <c r="B867" s="405"/>
      <c r="C867" s="90">
        <v>2</v>
      </c>
      <c r="D867" s="203" t="s">
        <v>158</v>
      </c>
      <c r="H867" s="186" t="str">
        <f t="shared" si="11"/>
        <v>RAA-2-SOFTHR-3</v>
      </c>
      <c r="I867" s="174" t="s">
        <v>346</v>
      </c>
      <c r="J867" s="176">
        <v>3</v>
      </c>
      <c r="K867" s="183"/>
      <c r="L867" s="178" t="s">
        <v>207</v>
      </c>
      <c r="M867" s="275">
        <f>'[3]TOTAL ASET APK'!$F$41</f>
        <v>0</v>
      </c>
      <c r="N867" s="41"/>
      <c r="O867" s="284"/>
      <c r="P867" s="105"/>
      <c r="Q867" s="57"/>
      <c r="R867" s="57"/>
      <c r="S867" s="57"/>
      <c r="T867" s="41"/>
      <c r="U867" s="41"/>
      <c r="V867" s="51"/>
    </row>
    <row r="868" spans="2:22" x14ac:dyDescent="0.25">
      <c r="B868" s="405"/>
      <c r="C868" s="90">
        <v>2</v>
      </c>
      <c r="D868" s="203" t="s">
        <v>158</v>
      </c>
      <c r="H868" s="186" t="str">
        <f t="shared" si="11"/>
        <v>RAA-2-SOF-BED</v>
      </c>
      <c r="I868" s="185"/>
      <c r="J868" s="177" t="s">
        <v>178</v>
      </c>
      <c r="K868" s="176"/>
      <c r="L868" s="178" t="s">
        <v>207</v>
      </c>
      <c r="M868" s="275">
        <f>'[3]TOTAL ASET APK'!$F$42</f>
        <v>0</v>
      </c>
      <c r="N868" s="41"/>
      <c r="O868" s="284"/>
      <c r="P868" s="105"/>
      <c r="Q868" s="57"/>
      <c r="R868" s="57"/>
      <c r="S868" s="57"/>
      <c r="T868" s="41"/>
      <c r="U868" s="41"/>
      <c r="V868" s="51"/>
    </row>
    <row r="869" spans="2:22" x14ac:dyDescent="0.25">
      <c r="B869" s="405"/>
      <c r="C869" s="90">
        <v>2</v>
      </c>
      <c r="D869" s="206" t="s">
        <v>163</v>
      </c>
      <c r="H869" s="186" t="str">
        <f t="shared" si="11"/>
        <v>RAA-2-FILBES-2 DRAW</v>
      </c>
      <c r="I869" s="185" t="s">
        <v>162</v>
      </c>
      <c r="J869" s="177" t="s">
        <v>161</v>
      </c>
      <c r="K869" s="176"/>
      <c r="L869" s="178" t="s">
        <v>207</v>
      </c>
      <c r="M869" s="275">
        <f>'[3]TOTAL ASET APK'!$F$44</f>
        <v>0</v>
      </c>
      <c r="N869" s="41"/>
      <c r="O869" s="284"/>
      <c r="P869" s="105"/>
      <c r="Q869" s="57"/>
      <c r="R869" s="57"/>
      <c r="S869" s="57"/>
      <c r="T869" s="41"/>
      <c r="U869" s="41"/>
      <c r="V869" s="51"/>
    </row>
    <row r="870" spans="2:22" x14ac:dyDescent="0.25">
      <c r="B870" s="405"/>
      <c r="C870" s="90">
        <v>2</v>
      </c>
      <c r="D870" s="206" t="s">
        <v>163</v>
      </c>
      <c r="H870" s="186" t="str">
        <f t="shared" si="11"/>
        <v>RAA-2-FILBES-3 DRAW</v>
      </c>
      <c r="I870" s="185" t="s">
        <v>162</v>
      </c>
      <c r="J870" s="177" t="s">
        <v>164</v>
      </c>
      <c r="K870" s="176"/>
      <c r="L870" s="178" t="s">
        <v>207</v>
      </c>
      <c r="M870" s="275">
        <f>'[3]TOTAL ASET APK'!$F$45</f>
        <v>0</v>
      </c>
      <c r="N870" s="41"/>
      <c r="O870" s="284"/>
      <c r="P870" s="105"/>
      <c r="Q870" s="57"/>
      <c r="R870" s="57"/>
      <c r="S870" s="57"/>
      <c r="T870" s="41"/>
      <c r="U870" s="41"/>
      <c r="V870" s="51"/>
    </row>
    <row r="871" spans="2:22" x14ac:dyDescent="0.25">
      <c r="B871" s="405"/>
      <c r="C871" s="90">
        <v>2</v>
      </c>
      <c r="D871" s="206" t="s">
        <v>163</v>
      </c>
      <c r="H871" s="186" t="str">
        <f>CONCATENATE(L871,"-",C871,"-",LEFT(D871,3),LEFT(I871,3),"-",LEFT(J871,6),"-",1)</f>
        <v>RAA-2-FILBES-4 DRAW-1</v>
      </c>
      <c r="I871" s="185" t="s">
        <v>162</v>
      </c>
      <c r="J871" s="177" t="s">
        <v>165</v>
      </c>
      <c r="K871" s="176" t="s">
        <v>403</v>
      </c>
      <c r="L871" s="178" t="s">
        <v>207</v>
      </c>
      <c r="M871" s="428">
        <f>'[3]TOTAL ASET APK'!$F$46</f>
        <v>2</v>
      </c>
      <c r="N871" s="41"/>
      <c r="O871" s="284"/>
      <c r="P871" s="105"/>
      <c r="Q871" s="57"/>
      <c r="R871" s="57"/>
      <c r="S871" s="57"/>
      <c r="T871" s="41"/>
      <c r="U871" s="41"/>
      <c r="V871" s="51"/>
    </row>
    <row r="872" spans="2:22" x14ac:dyDescent="0.25">
      <c r="B872" s="405"/>
      <c r="C872" s="90">
        <v>2</v>
      </c>
      <c r="D872" s="206" t="s">
        <v>163</v>
      </c>
      <c r="H872" s="186" t="str">
        <f>CONCATENATE(L872,"-",C872,"-",LEFT(D872,3),LEFT(I872,3),"-",LEFT(J872,6),"-",2)</f>
        <v>RAA-2-FILBES-4 DRAW-2</v>
      </c>
      <c r="I872" s="185" t="s">
        <v>162</v>
      </c>
      <c r="J872" s="177" t="s">
        <v>165</v>
      </c>
      <c r="K872" s="176" t="s">
        <v>407</v>
      </c>
      <c r="L872" s="178" t="s">
        <v>207</v>
      </c>
      <c r="M872" s="430"/>
      <c r="N872" s="41"/>
      <c r="O872" s="284"/>
      <c r="P872" s="105"/>
      <c r="Q872" s="57"/>
      <c r="R872" s="57"/>
      <c r="S872" s="57"/>
      <c r="T872" s="41"/>
      <c r="U872" s="41"/>
      <c r="V872" s="51"/>
    </row>
    <row r="873" spans="2:22" x14ac:dyDescent="0.25">
      <c r="B873" s="405"/>
      <c r="C873" s="90">
        <v>2</v>
      </c>
      <c r="D873" s="206" t="s">
        <v>163</v>
      </c>
      <c r="H873" s="186" t="str">
        <f t="shared" si="11"/>
        <v>RAA-2-FILKAY-2 DRAW</v>
      </c>
      <c r="I873" s="185" t="s">
        <v>166</v>
      </c>
      <c r="J873" s="177" t="s">
        <v>161</v>
      </c>
      <c r="K873" s="176"/>
      <c r="L873" s="178" t="s">
        <v>207</v>
      </c>
      <c r="M873" s="275">
        <v>0</v>
      </c>
      <c r="N873" s="41"/>
      <c r="O873" s="284"/>
      <c r="P873" s="105"/>
      <c r="Q873" s="57"/>
      <c r="R873" s="57"/>
      <c r="S873" s="57"/>
      <c r="T873" s="41"/>
      <c r="U873" s="41"/>
      <c r="V873" s="51"/>
    </row>
    <row r="874" spans="2:22" x14ac:dyDescent="0.25">
      <c r="B874" s="405"/>
      <c r="C874" s="90">
        <v>2</v>
      </c>
      <c r="D874" s="206" t="s">
        <v>163</v>
      </c>
      <c r="H874" s="186" t="str">
        <f t="shared" si="11"/>
        <v>RAA-2-FILKAY-3 DRAW</v>
      </c>
      <c r="I874" s="185" t="s">
        <v>166</v>
      </c>
      <c r="J874" s="177" t="s">
        <v>164</v>
      </c>
      <c r="K874" s="176"/>
      <c r="L874" s="178" t="s">
        <v>207</v>
      </c>
      <c r="M874" s="275">
        <f>'[3]TOTAL ASET APK'!$F$47</f>
        <v>0</v>
      </c>
      <c r="N874" s="41"/>
      <c r="O874" s="284"/>
      <c r="P874" s="105"/>
      <c r="Q874" s="57"/>
      <c r="R874" s="57"/>
      <c r="S874" s="57"/>
      <c r="T874" s="41"/>
      <c r="U874" s="41"/>
      <c r="V874" s="51"/>
    </row>
    <row r="875" spans="2:22" x14ac:dyDescent="0.25">
      <c r="B875" s="405"/>
      <c r="C875" s="90">
        <v>2</v>
      </c>
      <c r="D875" s="206" t="s">
        <v>167</v>
      </c>
      <c r="H875" s="186" t="str">
        <f>CONCATENATE(L875,"-",C875,"-",LEFT(D875,3),LEFT(I875,3),"-",LEFT(J875,6),"-",2)</f>
        <v>RAA-2-FILKAY-4 DRAW-2</v>
      </c>
      <c r="I875" s="185" t="s">
        <v>166</v>
      </c>
      <c r="J875" s="177" t="s">
        <v>165</v>
      </c>
      <c r="K875" s="176"/>
      <c r="L875" s="178" t="s">
        <v>207</v>
      </c>
      <c r="M875" s="306"/>
      <c r="N875" s="41"/>
      <c r="O875" s="284"/>
      <c r="P875" s="105"/>
      <c r="Q875" s="57"/>
      <c r="R875" s="57"/>
      <c r="S875" s="57"/>
      <c r="T875" s="41"/>
      <c r="U875" s="41"/>
      <c r="V875" s="51"/>
    </row>
    <row r="876" spans="2:22" x14ac:dyDescent="0.25">
      <c r="B876" s="405"/>
      <c r="C876" s="90">
        <v>2</v>
      </c>
      <c r="D876" s="203" t="s">
        <v>168</v>
      </c>
      <c r="H876" s="186" t="str">
        <f t="shared" si="11"/>
        <v>RAA-2-LEMBES-KACA</v>
      </c>
      <c r="I876" s="174" t="s">
        <v>162</v>
      </c>
      <c r="J876" s="176" t="s">
        <v>169</v>
      </c>
      <c r="K876" s="176" t="s">
        <v>406</v>
      </c>
      <c r="L876" s="178" t="s">
        <v>207</v>
      </c>
      <c r="M876" s="275">
        <f>'[3]TOTAL ASET APK'!$F$50</f>
        <v>1</v>
      </c>
      <c r="N876" s="41"/>
      <c r="O876" s="284"/>
      <c r="P876" s="105"/>
      <c r="Q876" s="57"/>
      <c r="R876" s="57"/>
      <c r="S876" s="57"/>
      <c r="T876" s="41"/>
      <c r="U876" s="41"/>
      <c r="V876" s="51"/>
    </row>
    <row r="877" spans="2:22" x14ac:dyDescent="0.25">
      <c r="B877" s="405"/>
      <c r="C877" s="90">
        <v>2</v>
      </c>
      <c r="D877" s="203" t="s">
        <v>168</v>
      </c>
      <c r="H877" s="186" t="str">
        <f t="shared" si="11"/>
        <v>RAA-2-LEMBES-BESI</v>
      </c>
      <c r="I877" s="174" t="s">
        <v>162</v>
      </c>
      <c r="J877" s="176" t="s">
        <v>162</v>
      </c>
      <c r="K877" s="176" t="s">
        <v>358</v>
      </c>
      <c r="L877" s="178" t="s">
        <v>207</v>
      </c>
      <c r="M877" s="275">
        <f>'[3]TOTAL ASET APK'!$F$51</f>
        <v>1</v>
      </c>
      <c r="N877" s="41"/>
      <c r="O877" s="284"/>
      <c r="P877" s="105"/>
      <c r="Q877" s="57"/>
      <c r="R877" s="57"/>
      <c r="S877" s="57"/>
      <c r="T877" s="41"/>
      <c r="U877" s="41"/>
      <c r="V877" s="51"/>
    </row>
    <row r="878" spans="2:22" x14ac:dyDescent="0.25">
      <c r="B878" s="405"/>
      <c r="C878" s="90">
        <v>2</v>
      </c>
      <c r="D878" s="203" t="s">
        <v>168</v>
      </c>
      <c r="H878" s="186" t="str">
        <f t="shared" si="11"/>
        <v>RAA-2-LEM-SUSUN</v>
      </c>
      <c r="I878" s="174"/>
      <c r="J878" s="176" t="s">
        <v>291</v>
      </c>
      <c r="K878" s="183"/>
      <c r="L878" s="178" t="s">
        <v>207</v>
      </c>
      <c r="M878" s="275">
        <v>0</v>
      </c>
      <c r="N878" s="41"/>
      <c r="O878" s="284"/>
      <c r="P878" s="105"/>
      <c r="Q878" s="57"/>
      <c r="R878" s="57"/>
      <c r="S878" s="57"/>
      <c r="T878" s="41"/>
      <c r="U878" s="41"/>
      <c r="V878" s="51"/>
    </row>
    <row r="879" spans="2:22" x14ac:dyDescent="0.25">
      <c r="B879" s="405"/>
      <c r="C879" s="90">
        <v>2</v>
      </c>
      <c r="D879" s="203" t="s">
        <v>168</v>
      </c>
      <c r="H879" s="186" t="str">
        <f t="shared" si="11"/>
        <v>RAA-2-LEM-PANTRY</v>
      </c>
      <c r="I879" s="174"/>
      <c r="J879" s="176" t="s">
        <v>292</v>
      </c>
      <c r="K879" s="183"/>
      <c r="L879" s="178" t="s">
        <v>207</v>
      </c>
      <c r="M879" s="275">
        <v>0</v>
      </c>
      <c r="N879" s="41"/>
      <c r="O879" s="284"/>
      <c r="P879" s="105"/>
      <c r="Q879" s="57"/>
      <c r="R879" s="57"/>
      <c r="S879" s="57"/>
      <c r="T879" s="41"/>
      <c r="U879" s="41"/>
      <c r="V879" s="51"/>
    </row>
    <row r="880" spans="2:22" x14ac:dyDescent="0.25">
      <c r="B880" s="405"/>
      <c r="C880" s="90">
        <v>2</v>
      </c>
      <c r="D880" s="203" t="s">
        <v>168</v>
      </c>
      <c r="H880" s="186" t="str">
        <f t="shared" si="11"/>
        <v>RAA-2-LEM-LACI</v>
      </c>
      <c r="I880" s="174"/>
      <c r="J880" s="176" t="s">
        <v>293</v>
      </c>
      <c r="K880" s="183"/>
      <c r="L880" s="178" t="s">
        <v>207</v>
      </c>
      <c r="M880" s="275">
        <v>0</v>
      </c>
      <c r="N880" s="41"/>
      <c r="O880" s="284"/>
      <c r="P880" s="105"/>
      <c r="Q880" s="57"/>
      <c r="R880" s="57"/>
      <c r="S880" s="57"/>
      <c r="T880" s="41"/>
      <c r="U880" s="41"/>
      <c r="V880" s="51"/>
    </row>
    <row r="881" spans="2:22" x14ac:dyDescent="0.25">
      <c r="B881" s="405"/>
      <c r="C881" s="90">
        <v>2</v>
      </c>
      <c r="D881" s="203" t="s">
        <v>170</v>
      </c>
      <c r="H881" s="186" t="str">
        <f t="shared" si="11"/>
        <v>RAA-2-RAKAMB-5 STAC</v>
      </c>
      <c r="I881" s="179" t="s">
        <v>171</v>
      </c>
      <c r="J881" s="180" t="s">
        <v>222</v>
      </c>
      <c r="K881" s="182"/>
      <c r="L881" s="178" t="s">
        <v>207</v>
      </c>
      <c r="M881" s="275">
        <f>'[3]TOTAL ASET APK'!$F$49</f>
        <v>0</v>
      </c>
      <c r="N881" s="41"/>
      <c r="O881" s="284"/>
      <c r="P881" s="105"/>
      <c r="Q881" s="57"/>
      <c r="R881" s="57"/>
      <c r="S881" s="57"/>
      <c r="T881" s="41"/>
      <c r="U881" s="41"/>
      <c r="V881" s="51"/>
    </row>
    <row r="882" spans="2:22" x14ac:dyDescent="0.25">
      <c r="B882" s="405"/>
      <c r="C882" s="90">
        <v>2</v>
      </c>
      <c r="D882" s="203" t="s">
        <v>170</v>
      </c>
      <c r="H882" s="186" t="str">
        <f t="shared" si="11"/>
        <v>RAA-2-RAKMIK-6 STAC</v>
      </c>
      <c r="I882" s="179" t="s">
        <v>172</v>
      </c>
      <c r="J882" s="180" t="s">
        <v>223</v>
      </c>
      <c r="K882" s="182"/>
      <c r="L882" s="178" t="s">
        <v>207</v>
      </c>
      <c r="M882" s="275">
        <v>0</v>
      </c>
      <c r="N882" s="41"/>
      <c r="O882" s="284"/>
      <c r="P882" s="105"/>
      <c r="Q882" s="57"/>
      <c r="R882" s="57"/>
      <c r="S882" s="57"/>
      <c r="T882" s="41"/>
      <c r="U882" s="41"/>
      <c r="V882" s="51"/>
    </row>
    <row r="883" spans="2:22" x14ac:dyDescent="0.25">
      <c r="B883" s="405"/>
      <c r="C883" s="90">
        <v>2</v>
      </c>
      <c r="D883" s="203" t="s">
        <v>170</v>
      </c>
      <c r="H883" s="186" t="str">
        <f>CONCATENATE(L883,"-",C883,"-",LEFT(D883,3),LEFT(I883,3),"-",LEFT(J883,3))</f>
        <v>RAA-2-RAKRAK-DOK</v>
      </c>
      <c r="I883" s="179" t="s">
        <v>170</v>
      </c>
      <c r="J883" s="180" t="s">
        <v>311</v>
      </c>
      <c r="K883" s="182"/>
      <c r="L883" s="178" t="s">
        <v>207</v>
      </c>
      <c r="M883" s="275">
        <v>0</v>
      </c>
      <c r="N883" s="41"/>
      <c r="O883" s="284"/>
      <c r="P883" s="105"/>
      <c r="Q883" s="57"/>
      <c r="R883" s="57"/>
      <c r="S883" s="57"/>
      <c r="T883" s="41"/>
      <c r="U883" s="41"/>
      <c r="V883" s="51"/>
    </row>
    <row r="884" spans="2:22" x14ac:dyDescent="0.25">
      <c r="B884" s="405"/>
      <c r="C884" s="90">
        <v>2</v>
      </c>
      <c r="D884" s="203" t="s">
        <v>170</v>
      </c>
      <c r="H884" s="186" t="str">
        <f>CONCATENATE(L884,"-",C884,"-",LEFT(D884,3),LEFT(I884,3),"-",LEFT(J884,3),"-",1)</f>
        <v>RAA-2-RAKLOC-9 L-1</v>
      </c>
      <c r="I884" s="179" t="s">
        <v>409</v>
      </c>
      <c r="J884" s="180" t="s">
        <v>410</v>
      </c>
      <c r="K884" s="182" t="s">
        <v>396</v>
      </c>
      <c r="L884" s="178" t="s">
        <v>207</v>
      </c>
      <c r="M884" s="275">
        <v>0</v>
      </c>
      <c r="N884" s="41"/>
      <c r="O884" s="284"/>
      <c r="P884" s="105"/>
      <c r="Q884" s="57"/>
      <c r="R884" s="57"/>
      <c r="S884" s="57"/>
      <c r="T884" s="41"/>
      <c r="U884" s="41"/>
      <c r="V884" s="51"/>
    </row>
    <row r="885" spans="2:22" x14ac:dyDescent="0.25">
      <c r="B885" s="405"/>
      <c r="C885" s="90">
        <v>2</v>
      </c>
      <c r="D885" s="203" t="s">
        <v>170</v>
      </c>
      <c r="H885" s="186" t="str">
        <f>CONCATENATE(L885,"-",C885,"-",LEFT(D885,3),LEFT(I885,3),"-",LEFT(J885,3),"-",2)</f>
        <v>RAA-2-RAKLOC-9 L-2</v>
      </c>
      <c r="I885" s="179" t="s">
        <v>409</v>
      </c>
      <c r="J885" s="180" t="s">
        <v>410</v>
      </c>
      <c r="K885" s="182" t="s">
        <v>407</v>
      </c>
      <c r="L885" s="178" t="s">
        <v>207</v>
      </c>
      <c r="M885" s="275"/>
      <c r="N885" s="41"/>
      <c r="O885" s="284"/>
      <c r="P885" s="105"/>
      <c r="Q885" s="57"/>
      <c r="R885" s="57"/>
      <c r="S885" s="57"/>
      <c r="T885" s="41"/>
      <c r="U885" s="41"/>
      <c r="V885" s="51"/>
    </row>
    <row r="886" spans="2:22" x14ac:dyDescent="0.25">
      <c r="B886" s="405"/>
      <c r="C886" s="90">
        <v>2</v>
      </c>
      <c r="D886" s="203" t="s">
        <v>170</v>
      </c>
      <c r="H886" s="186" t="str">
        <f t="shared" ref="H886" si="12">CONCATENATE(L886,"-",C886,"-",LEFT(D886,3),LEFT(I886,3),"-",LEFT(J886,3))</f>
        <v xml:space="preserve">RAA-2-RAKLOC-12 </v>
      </c>
      <c r="I886" s="179" t="s">
        <v>409</v>
      </c>
      <c r="J886" s="180" t="s">
        <v>411</v>
      </c>
      <c r="K886" s="182" t="s">
        <v>407</v>
      </c>
      <c r="L886" s="178" t="s">
        <v>207</v>
      </c>
      <c r="M886" s="275"/>
      <c r="N886" s="41"/>
      <c r="O886" s="284"/>
      <c r="P886" s="105"/>
      <c r="Q886" s="57"/>
      <c r="R886" s="57"/>
      <c r="S886" s="57"/>
      <c r="T886" s="41"/>
      <c r="U886" s="41"/>
      <c r="V886" s="51"/>
    </row>
    <row r="887" spans="2:22" x14ac:dyDescent="0.25">
      <c r="B887" s="405"/>
      <c r="C887" s="90">
        <v>2</v>
      </c>
      <c r="D887" s="203" t="s">
        <v>309</v>
      </c>
      <c r="H887" s="186" t="str">
        <f t="shared" si="11"/>
        <v>RAA-2-BRAKRI-BLACK</v>
      </c>
      <c r="I887" s="179" t="s">
        <v>144</v>
      </c>
      <c r="J887" s="180" t="s">
        <v>310</v>
      </c>
      <c r="K887" s="182" t="s">
        <v>402</v>
      </c>
      <c r="L887" s="178" t="s">
        <v>207</v>
      </c>
      <c r="M887" s="275">
        <f>'[3]TOTAL ASET APK'!$F$69</f>
        <v>1</v>
      </c>
      <c r="N887" s="41"/>
      <c r="O887" s="284"/>
      <c r="P887" s="105"/>
      <c r="Q887" s="57"/>
      <c r="R887" s="57"/>
      <c r="S887" s="57"/>
      <c r="T887" s="41"/>
      <c r="U887" s="41"/>
      <c r="V887" s="51"/>
    </row>
    <row r="888" spans="2:22" x14ac:dyDescent="0.25">
      <c r="B888" s="405"/>
      <c r="C888" s="262">
        <v>2</v>
      </c>
      <c r="D888" s="206" t="s">
        <v>294</v>
      </c>
      <c r="H888" s="186" t="str">
        <f t="shared" si="11"/>
        <v>RAA-2-BUFTV -KAYU</v>
      </c>
      <c r="I888" s="263" t="s">
        <v>173</v>
      </c>
      <c r="J888" s="264" t="s">
        <v>166</v>
      </c>
      <c r="K888" s="182"/>
      <c r="L888" s="178" t="s">
        <v>207</v>
      </c>
      <c r="M888" s="275">
        <v>0</v>
      </c>
      <c r="N888" s="41"/>
      <c r="O888" s="284"/>
      <c r="P888" s="105"/>
      <c r="Q888" s="57"/>
      <c r="R888" s="57"/>
      <c r="S888" s="57"/>
      <c r="T888" s="41"/>
      <c r="U888" s="41"/>
      <c r="V888" s="51"/>
    </row>
    <row r="889" spans="2:22" x14ac:dyDescent="0.25">
      <c r="B889" s="426">
        <v>3</v>
      </c>
      <c r="C889" s="89">
        <v>3</v>
      </c>
      <c r="D889" s="203" t="s">
        <v>179</v>
      </c>
      <c r="E889" s="265"/>
      <c r="F889" s="265"/>
      <c r="G889" s="265"/>
      <c r="H889" s="186" t="str">
        <f t="shared" si="11"/>
        <v>RAA-3-CONKRI-3 DRAW</v>
      </c>
      <c r="I889" s="179" t="s">
        <v>187</v>
      </c>
      <c r="J889" s="180" t="s">
        <v>164</v>
      </c>
      <c r="K889" s="182"/>
      <c r="L889" s="178" t="s">
        <v>207</v>
      </c>
      <c r="M889" s="275">
        <f>'[3]TOTAL ASET APK'!$F$52</f>
        <v>0</v>
      </c>
      <c r="N889" s="41"/>
      <c r="O889" s="284"/>
      <c r="P889" s="105"/>
      <c r="Q889" s="57"/>
      <c r="R889" s="57"/>
      <c r="S889" s="57"/>
      <c r="T889" s="41"/>
      <c r="U889" s="41"/>
      <c r="V889" s="51"/>
    </row>
    <row r="890" spans="2:22" x14ac:dyDescent="0.25">
      <c r="B890" s="426"/>
      <c r="C890" s="89">
        <v>3</v>
      </c>
      <c r="D890" s="203" t="s">
        <v>180</v>
      </c>
      <c r="E890" s="265"/>
      <c r="F890" s="265"/>
      <c r="G890" s="265"/>
      <c r="H890" s="186" t="str">
        <f t="shared" si="11"/>
        <v>RAA-3-WHISTA-BIG</v>
      </c>
      <c r="I890" s="179" t="s">
        <v>194</v>
      </c>
      <c r="J890" s="180" t="s">
        <v>218</v>
      </c>
      <c r="K890" s="182" t="s">
        <v>402</v>
      </c>
      <c r="L890" s="178" t="s">
        <v>207</v>
      </c>
      <c r="M890" s="275">
        <f>'[3]TOTAL ASET APK'!$F$82</f>
        <v>1</v>
      </c>
      <c r="N890" s="41"/>
      <c r="O890" s="284"/>
      <c r="P890" s="105"/>
      <c r="Q890" s="57"/>
      <c r="R890" s="57"/>
      <c r="S890" s="57"/>
      <c r="T890" s="41"/>
      <c r="U890" s="41"/>
      <c r="V890" s="51"/>
    </row>
    <row r="891" spans="2:22" x14ac:dyDescent="0.25">
      <c r="B891" s="426"/>
      <c r="C891" s="89">
        <v>3</v>
      </c>
      <c r="D891" s="203" t="s">
        <v>180</v>
      </c>
      <c r="E891" s="265"/>
      <c r="F891" s="265"/>
      <c r="G891" s="265"/>
      <c r="H891" s="186" t="str">
        <f t="shared" si="11"/>
        <v>RAA-3-WHIWAL-SMALL</v>
      </c>
      <c r="I891" s="179" t="s">
        <v>199</v>
      </c>
      <c r="J891" s="180" t="s">
        <v>138</v>
      </c>
      <c r="K891" s="182"/>
      <c r="L891" s="178" t="s">
        <v>207</v>
      </c>
      <c r="M891" s="275">
        <v>0</v>
      </c>
      <c r="N891" s="41"/>
      <c r="O891" s="284"/>
      <c r="P891" s="105"/>
      <c r="Q891" s="57"/>
      <c r="R891" s="57"/>
      <c r="S891" s="57"/>
      <c r="T891" s="41"/>
      <c r="U891" s="41"/>
      <c r="V891" s="51"/>
    </row>
    <row r="892" spans="2:22" x14ac:dyDescent="0.25">
      <c r="B892" s="426"/>
      <c r="C892" s="89">
        <v>3</v>
      </c>
      <c r="D892" s="203" t="s">
        <v>181</v>
      </c>
      <c r="E892" s="265"/>
      <c r="F892" s="265"/>
      <c r="G892" s="265"/>
      <c r="H892" s="186" t="str">
        <f t="shared" si="11"/>
        <v>RAA-3-POTMEJ-SMALL</v>
      </c>
      <c r="I892" s="179" t="s">
        <v>146</v>
      </c>
      <c r="J892" s="180" t="s">
        <v>138</v>
      </c>
      <c r="K892" s="182"/>
      <c r="L892" s="178" t="s">
        <v>207</v>
      </c>
      <c r="M892" s="275">
        <v>0</v>
      </c>
      <c r="N892" s="41"/>
      <c r="O892" s="284"/>
      <c r="P892" s="105"/>
      <c r="Q892" s="57"/>
      <c r="R892" s="57"/>
      <c r="S892" s="57"/>
      <c r="T892" s="41"/>
      <c r="U892" s="41"/>
      <c r="V892" s="51"/>
    </row>
    <row r="893" spans="2:22" x14ac:dyDescent="0.25">
      <c r="B893" s="426"/>
      <c r="C893" s="89">
        <v>3</v>
      </c>
      <c r="D893" s="203" t="s">
        <v>181</v>
      </c>
      <c r="E893" s="265"/>
      <c r="F893" s="265"/>
      <c r="G893" s="265"/>
      <c r="H893" s="186" t="str">
        <f t="shared" si="11"/>
        <v>RAA-3-POT-BIG</v>
      </c>
      <c r="I893" s="179"/>
      <c r="J893" s="180" t="s">
        <v>218</v>
      </c>
      <c r="K893" s="182"/>
      <c r="L893" s="178" t="s">
        <v>207</v>
      </c>
      <c r="M893" s="275">
        <v>0</v>
      </c>
      <c r="N893" s="41"/>
      <c r="O893" s="284"/>
      <c r="P893" s="105"/>
      <c r="Q893" s="57"/>
      <c r="R893" s="57"/>
      <c r="S893" s="57"/>
      <c r="T893" s="41"/>
      <c r="U893" s="41"/>
      <c r="V893" s="51"/>
    </row>
    <row r="894" spans="2:22" x14ac:dyDescent="0.25">
      <c r="B894" s="426"/>
      <c r="C894" s="89">
        <v>3</v>
      </c>
      <c r="D894" s="203" t="s">
        <v>295</v>
      </c>
      <c r="E894" s="265"/>
      <c r="F894" s="265"/>
      <c r="G894" s="265"/>
      <c r="H894" s="186" t="str">
        <f t="shared" si="11"/>
        <v>RAA-3-PAIFRA-BIG</v>
      </c>
      <c r="I894" s="179" t="s">
        <v>296</v>
      </c>
      <c r="J894" s="180" t="s">
        <v>218</v>
      </c>
      <c r="K894" s="182"/>
      <c r="L894" s="178" t="s">
        <v>207</v>
      </c>
      <c r="M894" s="275">
        <f>'[3]TOTAL ASET APK'!$F$57</f>
        <v>0</v>
      </c>
      <c r="N894" s="41"/>
      <c r="O894" s="284"/>
      <c r="P894" s="105"/>
      <c r="Q894" s="57"/>
      <c r="R894" s="57"/>
      <c r="S894" s="57"/>
      <c r="T894" s="41"/>
      <c r="U894" s="41"/>
      <c r="V894" s="51"/>
    </row>
    <row r="895" spans="2:22" x14ac:dyDescent="0.25">
      <c r="B895" s="426"/>
      <c r="C895" s="89">
        <v>3</v>
      </c>
      <c r="D895" s="203" t="s">
        <v>295</v>
      </c>
      <c r="E895" s="265"/>
      <c r="F895" s="265"/>
      <c r="G895" s="265"/>
      <c r="H895" s="186" t="str">
        <f t="shared" si="11"/>
        <v>RAA-3-PAIFRA-BIG</v>
      </c>
      <c r="I895" s="179" t="s">
        <v>296</v>
      </c>
      <c r="J895" s="180" t="s">
        <v>218</v>
      </c>
      <c r="K895" s="182"/>
      <c r="L895" s="178" t="s">
        <v>207</v>
      </c>
      <c r="M895" s="275">
        <f>'[3]TOTAL ASET APK'!$F$57</f>
        <v>0</v>
      </c>
      <c r="N895" s="41"/>
      <c r="O895" s="284"/>
      <c r="P895" s="105"/>
      <c r="Q895" s="57"/>
      <c r="R895" s="57"/>
      <c r="S895" s="57"/>
      <c r="T895" s="41"/>
      <c r="U895" s="41"/>
      <c r="V895" s="51"/>
    </row>
    <row r="896" spans="2:22" x14ac:dyDescent="0.25">
      <c r="B896" s="426"/>
      <c r="C896" s="89">
        <v>3</v>
      </c>
      <c r="D896" s="203" t="s">
        <v>295</v>
      </c>
      <c r="E896" s="265"/>
      <c r="F896" s="265"/>
      <c r="G896" s="265"/>
      <c r="H896" s="186" t="str">
        <f t="shared" si="11"/>
        <v>RAA-3-PAIFRA-SMALL</v>
      </c>
      <c r="I896" s="179" t="s">
        <v>296</v>
      </c>
      <c r="J896" s="180" t="s">
        <v>138</v>
      </c>
      <c r="K896" s="182" t="s">
        <v>403</v>
      </c>
      <c r="L896" s="178" t="s">
        <v>207</v>
      </c>
      <c r="M896" s="275">
        <f>'[3]TOTAL ASET APK'!$F$58</f>
        <v>1</v>
      </c>
      <c r="N896" s="41"/>
      <c r="O896" s="284"/>
      <c r="P896" s="105"/>
      <c r="Q896" s="57"/>
      <c r="R896" s="57"/>
      <c r="S896" s="57"/>
      <c r="T896" s="41"/>
      <c r="U896" s="41"/>
      <c r="V896" s="51"/>
    </row>
    <row r="897" spans="2:22" x14ac:dyDescent="0.25">
      <c r="B897" s="426"/>
      <c r="C897" s="89">
        <v>3</v>
      </c>
      <c r="D897" s="203" t="s">
        <v>182</v>
      </c>
      <c r="E897" s="265"/>
      <c r="F897" s="265"/>
      <c r="G897" s="265"/>
      <c r="H897" s="186" t="str">
        <f t="shared" si="11"/>
        <v>RAA-3-TEL-RED</v>
      </c>
      <c r="I897" s="179"/>
      <c r="J897" s="180" t="s">
        <v>220</v>
      </c>
      <c r="K897" s="182"/>
      <c r="L897" s="178" t="s">
        <v>207</v>
      </c>
      <c r="M897" s="275">
        <v>0</v>
      </c>
      <c r="N897" s="41"/>
      <c r="O897" s="284"/>
      <c r="P897" s="105"/>
      <c r="Q897" s="57"/>
      <c r="R897" s="57"/>
      <c r="S897" s="57"/>
      <c r="T897" s="41"/>
      <c r="U897" s="41"/>
      <c r="V897" s="51"/>
    </row>
    <row r="898" spans="2:22" x14ac:dyDescent="0.25">
      <c r="B898" s="426"/>
      <c r="C898" s="89">
        <v>3</v>
      </c>
      <c r="D898" s="203" t="s">
        <v>183</v>
      </c>
      <c r="E898" s="265"/>
      <c r="F898" s="265"/>
      <c r="G898" s="265"/>
      <c r="H898" s="186" t="str">
        <f>CONCATENATE(L898,"-",C898,"-",LEFT(D898,3),LEFT(I898,3),"-",LEFT(J898,3),"-",1)</f>
        <v>RAA-3-REMAC -SHA-1</v>
      </c>
      <c r="I898" s="179" t="s">
        <v>23</v>
      </c>
      <c r="J898" s="180" t="s">
        <v>133</v>
      </c>
      <c r="K898" s="182" t="s">
        <v>358</v>
      </c>
      <c r="L898" s="178" t="s">
        <v>207</v>
      </c>
      <c r="M898" s="428">
        <v>3</v>
      </c>
      <c r="N898" s="41"/>
      <c r="O898" s="284"/>
      <c r="P898" s="105"/>
      <c r="Q898" s="57"/>
      <c r="R898" s="57"/>
      <c r="S898" s="57"/>
      <c r="T898" s="41"/>
      <c r="U898" s="41"/>
      <c r="V898" s="51"/>
    </row>
    <row r="899" spans="2:22" x14ac:dyDescent="0.25">
      <c r="B899" s="426"/>
      <c r="C899" s="89">
        <v>3</v>
      </c>
      <c r="D899" s="203" t="s">
        <v>183</v>
      </c>
      <c r="E899" s="265"/>
      <c r="F899" s="265"/>
      <c r="G899" s="265"/>
      <c r="H899" s="186" t="str">
        <f>CONCATENATE(L899,"-",C899,"-",LEFT(D899,3),LEFT(I899,3),"-",LEFT(J899,3),"-",2)</f>
        <v>RAA-3-REMAC -SHA-2</v>
      </c>
      <c r="I899" s="179" t="s">
        <v>23</v>
      </c>
      <c r="J899" s="180" t="s">
        <v>133</v>
      </c>
      <c r="K899" s="182" t="s">
        <v>402</v>
      </c>
      <c r="L899" s="178" t="s">
        <v>207</v>
      </c>
      <c r="M899" s="429"/>
      <c r="N899" s="41"/>
      <c r="O899" s="284"/>
      <c r="P899" s="105"/>
      <c r="Q899" s="57"/>
      <c r="R899" s="57"/>
      <c r="S899" s="57"/>
      <c r="T899" s="41"/>
      <c r="U899" s="41"/>
      <c r="V899" s="51"/>
    </row>
    <row r="900" spans="2:22" x14ac:dyDescent="0.25">
      <c r="B900" s="426"/>
      <c r="C900" s="89">
        <v>3</v>
      </c>
      <c r="D900" s="203" t="s">
        <v>183</v>
      </c>
      <c r="E900" s="265"/>
      <c r="F900" s="265"/>
      <c r="G900" s="265"/>
      <c r="H900" s="186" t="str">
        <f>CONCATENATE(L900,"-",C900,"-",LEFT(D900,3),LEFT(I900,3),"-",LEFT(J900,3),"-",3)</f>
        <v>RAA-3-REMAC -SHA-3</v>
      </c>
      <c r="I900" s="179" t="s">
        <v>23</v>
      </c>
      <c r="J900" s="180" t="s">
        <v>133</v>
      </c>
      <c r="K900" s="182" t="s">
        <v>404</v>
      </c>
      <c r="L900" s="178" t="s">
        <v>207</v>
      </c>
      <c r="M900" s="430"/>
      <c r="N900" s="41"/>
      <c r="O900" s="284"/>
      <c r="P900" s="105"/>
      <c r="Q900" s="57"/>
      <c r="R900" s="57"/>
      <c r="S900" s="57"/>
      <c r="T900" s="41"/>
      <c r="U900" s="41"/>
      <c r="V900" s="51"/>
    </row>
    <row r="901" spans="2:22" x14ac:dyDescent="0.25">
      <c r="B901" s="426"/>
      <c r="C901" s="89">
        <v>3</v>
      </c>
      <c r="D901" s="203" t="s">
        <v>183</v>
      </c>
      <c r="E901" s="265"/>
      <c r="F901" s="265"/>
      <c r="G901" s="265"/>
      <c r="H901" s="186" t="str">
        <f>CONCATENATE(L901,"-",C901,"-",LEFT(D901,3),LEFT(I901,3),"-",LEFT(J901,3),"-",1)</f>
        <v>RAA-3-REMAC -GRE-1</v>
      </c>
      <c r="I901" s="179" t="s">
        <v>23</v>
      </c>
      <c r="J901" s="180" t="s">
        <v>135</v>
      </c>
      <c r="K901" s="182" t="s">
        <v>401</v>
      </c>
      <c r="L901" s="178" t="s">
        <v>207</v>
      </c>
      <c r="M901" s="428">
        <v>3</v>
      </c>
      <c r="N901" s="41"/>
      <c r="O901" s="284"/>
      <c r="P901" s="105"/>
      <c r="Q901" s="57"/>
      <c r="R901" s="57"/>
      <c r="S901" s="57"/>
      <c r="T901" s="41"/>
      <c r="U901" s="41"/>
      <c r="V901" s="51"/>
    </row>
    <row r="902" spans="2:22" x14ac:dyDescent="0.25">
      <c r="B902" s="426"/>
      <c r="C902" s="89">
        <v>3</v>
      </c>
      <c r="D902" s="203" t="s">
        <v>183</v>
      </c>
      <c r="E902" s="265"/>
      <c r="F902" s="265"/>
      <c r="G902" s="265"/>
      <c r="H902" s="186" t="str">
        <f>CONCATENATE(L902,"-",C902,"-",LEFT(D902,3),LEFT(I902,3),"-",LEFT(J902,3),"-",2)</f>
        <v>RAA-3-REMAC -GRE-2</v>
      </c>
      <c r="I902" s="179" t="s">
        <v>23</v>
      </c>
      <c r="J902" s="180" t="s">
        <v>135</v>
      </c>
      <c r="K902" s="182" t="s">
        <v>403</v>
      </c>
      <c r="L902" s="178" t="s">
        <v>207</v>
      </c>
      <c r="M902" s="429"/>
      <c r="N902" s="41"/>
      <c r="O902" s="284"/>
      <c r="P902" s="105"/>
      <c r="Q902" s="57"/>
      <c r="R902" s="57"/>
      <c r="S902" s="57"/>
      <c r="T902" s="41"/>
      <c r="U902" s="41"/>
      <c r="V902" s="51"/>
    </row>
    <row r="903" spans="2:22" x14ac:dyDescent="0.25">
      <c r="B903" s="426"/>
      <c r="C903" s="89">
        <v>3</v>
      </c>
      <c r="D903" s="203" t="s">
        <v>183</v>
      </c>
      <c r="E903" s="265"/>
      <c r="F903" s="265"/>
      <c r="G903" s="265"/>
      <c r="H903" s="186" t="str">
        <f>CONCATENATE(L903,"-",C903,"-",LEFT(D903,3),LEFT(I903,3),"-",LEFT(J903,3),"-",3)</f>
        <v>RAA-3-REMAC -GRE-3</v>
      </c>
      <c r="I903" s="179" t="s">
        <v>23</v>
      </c>
      <c r="J903" s="180" t="s">
        <v>135</v>
      </c>
      <c r="K903" s="182" t="s">
        <v>406</v>
      </c>
      <c r="L903" s="178" t="s">
        <v>207</v>
      </c>
      <c r="M903" s="430"/>
      <c r="N903" s="41"/>
      <c r="O903" s="284"/>
      <c r="P903" s="105"/>
      <c r="Q903" s="57"/>
      <c r="R903" s="57"/>
      <c r="S903" s="57"/>
      <c r="T903" s="41"/>
      <c r="U903" s="41"/>
      <c r="V903" s="51"/>
    </row>
    <row r="904" spans="2:22" x14ac:dyDescent="0.25">
      <c r="B904" s="426"/>
      <c r="C904" s="89">
        <v>3</v>
      </c>
      <c r="D904" s="203" t="s">
        <v>183</v>
      </c>
      <c r="E904" s="265"/>
      <c r="F904" s="265"/>
      <c r="G904" s="265"/>
      <c r="H904" s="186" t="str">
        <f>CONCATENATE(L904,"-",C904,"-",LEFT(D904,3),LEFT(I904,3),"-",LEFT(J904,3))</f>
        <v>RAA-3-REMAC -PAN</v>
      </c>
      <c r="I904" s="179" t="s">
        <v>23</v>
      </c>
      <c r="J904" s="180" t="s">
        <v>134</v>
      </c>
      <c r="K904" s="182"/>
      <c r="L904" s="178" t="s">
        <v>207</v>
      </c>
      <c r="M904" s="275">
        <v>0</v>
      </c>
      <c r="N904" s="41"/>
      <c r="O904" s="284"/>
      <c r="P904" s="105"/>
      <c r="Q904" s="57"/>
      <c r="R904" s="57"/>
      <c r="S904" s="57"/>
      <c r="T904" s="41"/>
      <c r="U904" s="41"/>
      <c r="V904" s="51"/>
    </row>
    <row r="905" spans="2:22" x14ac:dyDescent="0.25">
      <c r="B905" s="426"/>
      <c r="C905" s="89">
        <v>3</v>
      </c>
      <c r="D905" s="203" t="s">
        <v>183</v>
      </c>
      <c r="E905" s="265"/>
      <c r="F905" s="265"/>
      <c r="G905" s="265"/>
      <c r="H905" s="186" t="str">
        <f>CONCATENATE(L905,"-",C905,"-",LEFT(D905,3),LEFT(I905,3),"-",LEFT(J905,3))</f>
        <v>RAA-3-REMAC -SAN</v>
      </c>
      <c r="I905" s="179" t="s">
        <v>23</v>
      </c>
      <c r="J905" s="180" t="s">
        <v>136</v>
      </c>
      <c r="K905" s="182" t="s">
        <v>405</v>
      </c>
      <c r="L905" s="178" t="s">
        <v>207</v>
      </c>
      <c r="M905" s="275">
        <v>1</v>
      </c>
      <c r="N905" s="41"/>
      <c r="O905" s="284"/>
      <c r="P905" s="105"/>
      <c r="Q905" s="57"/>
      <c r="R905" s="57"/>
      <c r="S905" s="57"/>
      <c r="T905" s="41"/>
      <c r="U905" s="41"/>
      <c r="V905" s="51"/>
    </row>
    <row r="906" spans="2:22" x14ac:dyDescent="0.25">
      <c r="B906" s="426"/>
      <c r="C906" s="89">
        <v>3</v>
      </c>
      <c r="D906" s="203" t="s">
        <v>183</v>
      </c>
      <c r="E906" s="265"/>
      <c r="F906" s="265"/>
      <c r="G906" s="265"/>
      <c r="H906" s="186" t="str">
        <f>CONCATENATE(L906,"-",C906,"-",LEFT(D906,3),LEFT(I906,3),"-",LEFT(J906,3))</f>
        <v>RAA-3-REMAC -DAI</v>
      </c>
      <c r="I906" s="179" t="s">
        <v>23</v>
      </c>
      <c r="J906" s="180" t="s">
        <v>137</v>
      </c>
      <c r="K906" s="182"/>
      <c r="L906" s="178" t="s">
        <v>207</v>
      </c>
      <c r="M906" s="275">
        <v>0</v>
      </c>
      <c r="N906" s="41"/>
      <c r="O906" s="284"/>
      <c r="P906" s="105"/>
      <c r="Q906" s="57"/>
      <c r="R906" s="57"/>
      <c r="S906" s="57"/>
      <c r="T906" s="41"/>
      <c r="U906" s="41"/>
      <c r="V906" s="51"/>
    </row>
    <row r="907" spans="2:22" x14ac:dyDescent="0.25">
      <c r="B907" s="426"/>
      <c r="C907" s="89">
        <v>3</v>
      </c>
      <c r="D907" s="203" t="s">
        <v>183</v>
      </c>
      <c r="E907" s="265"/>
      <c r="F907" s="265"/>
      <c r="G907" s="265"/>
      <c r="H907" s="186" t="str">
        <f>CONCATENATE(L907,"-",C907,"-",LEFT(D907,3),LEFT(I907,3),"-",LEFT(J907,3))</f>
        <v>RAA-3-REMAC -SAM</v>
      </c>
      <c r="I907" s="179" t="s">
        <v>23</v>
      </c>
      <c r="J907" s="180" t="s">
        <v>221</v>
      </c>
      <c r="K907" s="182"/>
      <c r="L907" s="178" t="s">
        <v>207</v>
      </c>
      <c r="M907" s="275">
        <v>0</v>
      </c>
      <c r="N907" s="41"/>
      <c r="O907" s="284"/>
      <c r="P907" s="105"/>
      <c r="Q907" s="57"/>
      <c r="R907" s="57"/>
      <c r="S907" s="57"/>
      <c r="T907" s="41"/>
      <c r="U907" s="41"/>
      <c r="V907" s="51"/>
    </row>
    <row r="908" spans="2:22" x14ac:dyDescent="0.25">
      <c r="B908" s="426"/>
      <c r="C908" s="89">
        <v>3</v>
      </c>
      <c r="D908" s="203" t="s">
        <v>183</v>
      </c>
      <c r="E908" s="265"/>
      <c r="F908" s="265"/>
      <c r="G908" s="265"/>
      <c r="H908" s="186" t="str">
        <f>CONCATENATE(L908,"-",C908,"-",LEFT(D908,3),LEFT(I908,3),"-",LEFT(J908,3))</f>
        <v>RAA-3-REMAC -CHA</v>
      </c>
      <c r="I908" s="179" t="s">
        <v>23</v>
      </c>
      <c r="J908" s="180" t="s">
        <v>339</v>
      </c>
      <c r="K908" s="182"/>
      <c r="L908" s="178" t="s">
        <v>207</v>
      </c>
      <c r="M908" s="275">
        <v>0</v>
      </c>
      <c r="N908" s="41"/>
      <c r="O908" s="284"/>
      <c r="P908" s="105"/>
      <c r="Q908" s="57"/>
      <c r="R908" s="57"/>
      <c r="S908" s="57"/>
      <c r="T908" s="41"/>
      <c r="U908" s="41"/>
      <c r="V908" s="51"/>
    </row>
    <row r="909" spans="2:22" x14ac:dyDescent="0.25">
      <c r="B909" s="426"/>
      <c r="C909" s="89">
        <v>3</v>
      </c>
      <c r="D909" s="203" t="s">
        <v>57</v>
      </c>
      <c r="E909" s="265"/>
      <c r="F909" s="265"/>
      <c r="G909" s="265"/>
      <c r="H909" s="186" t="str">
        <f t="shared" si="11"/>
        <v>RAA-3-TVSHA-50 INC</v>
      </c>
      <c r="I909" s="179" t="s">
        <v>133</v>
      </c>
      <c r="J909" s="180" t="s">
        <v>184</v>
      </c>
      <c r="K909" s="182"/>
      <c r="L909" s="178" t="s">
        <v>207</v>
      </c>
      <c r="M909" s="275">
        <v>0</v>
      </c>
      <c r="N909" s="41"/>
      <c r="O909" s="284"/>
      <c r="P909" s="105"/>
      <c r="Q909" s="57"/>
      <c r="R909" s="57"/>
      <c r="S909" s="57"/>
      <c r="T909" s="41"/>
      <c r="U909" s="41"/>
      <c r="V909" s="51"/>
    </row>
    <row r="910" spans="2:22" x14ac:dyDescent="0.25">
      <c r="B910" s="426"/>
      <c r="C910" s="89">
        <v>3</v>
      </c>
      <c r="D910" s="203" t="s">
        <v>57</v>
      </c>
      <c r="E910" s="265"/>
      <c r="F910" s="265"/>
      <c r="G910" s="265"/>
      <c r="H910" s="186" t="str">
        <f t="shared" si="11"/>
        <v>RAA-3-TVPOL-32 INC</v>
      </c>
      <c r="I910" s="179" t="s">
        <v>305</v>
      </c>
      <c r="J910" s="180" t="s">
        <v>307</v>
      </c>
      <c r="K910" s="182"/>
      <c r="L910" s="178" t="s">
        <v>207</v>
      </c>
      <c r="M910" s="275">
        <v>0</v>
      </c>
      <c r="N910" s="41"/>
      <c r="O910" s="284"/>
      <c r="P910" s="105"/>
      <c r="Q910" s="57"/>
      <c r="R910" s="57"/>
      <c r="S910" s="57"/>
      <c r="T910" s="41"/>
      <c r="U910" s="41"/>
      <c r="V910" s="51"/>
    </row>
    <row r="911" spans="2:22" x14ac:dyDescent="0.25">
      <c r="B911" s="426"/>
      <c r="C911" s="89">
        <v>3</v>
      </c>
      <c r="D911" s="203" t="s">
        <v>57</v>
      </c>
      <c r="E911" s="265"/>
      <c r="F911" s="265"/>
      <c r="G911" s="265"/>
      <c r="H911" s="186" t="str">
        <f t="shared" si="11"/>
        <v>RAA-3-TVHIS-58 INC</v>
      </c>
      <c r="I911" s="179" t="s">
        <v>306</v>
      </c>
      <c r="J911" s="180" t="s">
        <v>308</v>
      </c>
      <c r="K911" s="182"/>
      <c r="L911" s="178" t="s">
        <v>207</v>
      </c>
      <c r="M911" s="275">
        <v>0</v>
      </c>
      <c r="N911" s="41"/>
      <c r="O911" s="284"/>
      <c r="P911" s="105"/>
      <c r="Q911" s="57"/>
      <c r="R911" s="57"/>
      <c r="S911" s="57"/>
      <c r="T911" s="41"/>
      <c r="U911" s="41"/>
      <c r="V911" s="51"/>
    </row>
    <row r="912" spans="2:22" x14ac:dyDescent="0.25">
      <c r="B912" s="426"/>
      <c r="C912" s="89">
        <v>3</v>
      </c>
      <c r="D912" s="203" t="s">
        <v>57</v>
      </c>
      <c r="E912" s="265"/>
      <c r="F912" s="265"/>
      <c r="G912" s="265"/>
      <c r="H912" s="186" t="str">
        <f t="shared" si="11"/>
        <v>RAA-3-TVPAN-32 INC</v>
      </c>
      <c r="I912" s="179" t="s">
        <v>134</v>
      </c>
      <c r="J912" s="180" t="s">
        <v>307</v>
      </c>
      <c r="K912" s="182" t="s">
        <v>402</v>
      </c>
      <c r="L912" s="178" t="s">
        <v>207</v>
      </c>
      <c r="M912" s="275">
        <f>'[3]TOTAL ASET APK'!$F$68</f>
        <v>1</v>
      </c>
      <c r="N912" s="41"/>
      <c r="O912" s="284"/>
      <c r="P912" s="105"/>
      <c r="Q912" s="57"/>
      <c r="R912" s="57"/>
      <c r="S912" s="57"/>
      <c r="T912" s="41"/>
      <c r="U912" s="41"/>
      <c r="V912" s="51"/>
    </row>
    <row r="913" spans="2:22" x14ac:dyDescent="0.25">
      <c r="B913" s="426"/>
      <c r="C913" s="89">
        <v>3</v>
      </c>
      <c r="D913" s="203" t="s">
        <v>57</v>
      </c>
      <c r="E913" s="265"/>
      <c r="F913" s="265"/>
      <c r="G913" s="265"/>
      <c r="H913" s="186" t="str">
        <f t="shared" si="11"/>
        <v>RAA-3-TVAKA-50 INC</v>
      </c>
      <c r="I913" s="179" t="s">
        <v>338</v>
      </c>
      <c r="J913" s="180" t="s">
        <v>184</v>
      </c>
      <c r="K913" s="182"/>
      <c r="L913" s="178" t="s">
        <v>207</v>
      </c>
      <c r="M913" s="275">
        <v>0</v>
      </c>
      <c r="N913" s="41"/>
      <c r="O913" s="284"/>
      <c r="P913" s="105"/>
      <c r="Q913" s="57"/>
      <c r="R913" s="57"/>
      <c r="S913" s="57"/>
      <c r="T913" s="41"/>
      <c r="U913" s="41"/>
      <c r="V913" s="51"/>
    </row>
    <row r="914" spans="2:22" x14ac:dyDescent="0.25">
      <c r="B914" s="426"/>
      <c r="C914" s="89">
        <v>3</v>
      </c>
      <c r="D914" s="203" t="s">
        <v>185</v>
      </c>
      <c r="E914" s="265"/>
      <c r="F914" s="265"/>
      <c r="G914" s="265"/>
      <c r="H914" s="186" t="str">
        <f t="shared" si="11"/>
        <v>RAA-3-DISKRI-PUTIH</v>
      </c>
      <c r="I914" s="179" t="s">
        <v>187</v>
      </c>
      <c r="J914" s="180" t="s">
        <v>186</v>
      </c>
      <c r="K914" s="182" t="s">
        <v>358</v>
      </c>
      <c r="L914" s="178" t="s">
        <v>207</v>
      </c>
      <c r="M914" s="275">
        <v>1</v>
      </c>
      <c r="N914" s="41"/>
      <c r="O914" s="284"/>
      <c r="P914" s="105"/>
      <c r="Q914" s="57"/>
      <c r="R914" s="57"/>
      <c r="S914" s="57"/>
      <c r="T914" s="41"/>
      <c r="U914" s="41"/>
      <c r="V914" s="51"/>
    </row>
    <row r="915" spans="2:22" x14ac:dyDescent="0.25">
      <c r="B915" s="426"/>
      <c r="C915" s="89">
        <v>3</v>
      </c>
      <c r="D915" s="203" t="s">
        <v>185</v>
      </c>
      <c r="E915" s="265"/>
      <c r="F915" s="265"/>
      <c r="G915" s="265"/>
      <c r="H915" s="186" t="str">
        <f t="shared" si="11"/>
        <v>RAA-3-DISMIY-KECIL</v>
      </c>
      <c r="I915" s="179" t="s">
        <v>330</v>
      </c>
      <c r="J915" s="180" t="s">
        <v>331</v>
      </c>
      <c r="K915" s="182" t="s">
        <v>407</v>
      </c>
      <c r="L915" s="178" t="s">
        <v>207</v>
      </c>
      <c r="M915" s="275">
        <v>1</v>
      </c>
      <c r="N915" s="41"/>
      <c r="O915" s="284"/>
      <c r="P915" s="105"/>
      <c r="Q915" s="57"/>
      <c r="R915" s="57"/>
      <c r="S915" s="57"/>
      <c r="T915" s="41"/>
      <c r="U915" s="41"/>
      <c r="V915" s="51"/>
    </row>
    <row r="916" spans="2:22" x14ac:dyDescent="0.25">
      <c r="B916" s="426"/>
      <c r="C916" s="89">
        <v>3</v>
      </c>
      <c r="D916" s="203" t="s">
        <v>320</v>
      </c>
      <c r="E916" s="265"/>
      <c r="F916" s="265"/>
      <c r="G916" s="265"/>
      <c r="H916" s="186" t="str">
        <f>CONCATENATE(L916,"-",C916,"-",LEFT(D916,3),LEFT(I916,3),"-",LEFT(J916,5))</f>
        <v>RAA-3-COFKLA-BLACK</v>
      </c>
      <c r="I916" s="179" t="s">
        <v>321</v>
      </c>
      <c r="J916" s="180" t="s">
        <v>351</v>
      </c>
      <c r="K916" s="182"/>
      <c r="L916" s="178" t="s">
        <v>207</v>
      </c>
      <c r="M916" s="275">
        <v>0</v>
      </c>
      <c r="N916" s="41"/>
      <c r="O916" s="284"/>
      <c r="P916" s="105"/>
      <c r="Q916" s="57"/>
      <c r="R916" s="57"/>
      <c r="S916" s="57"/>
      <c r="T916" s="41"/>
      <c r="U916" s="41"/>
      <c r="V916" s="51"/>
    </row>
    <row r="917" spans="2:22" x14ac:dyDescent="0.25">
      <c r="B917" s="426"/>
      <c r="C917" s="89">
        <v>3</v>
      </c>
      <c r="D917" s="203" t="s">
        <v>188</v>
      </c>
      <c r="E917" s="265"/>
      <c r="F917" s="265"/>
      <c r="G917" s="265"/>
      <c r="H917" s="186" t="str">
        <f>CONCATENATE(L917,"-",C917,"-",LEFT(D917,3),LEFT(I917,3),"-",LEFT(J917,3))</f>
        <v>RAA-3-MICKRI-PUT</v>
      </c>
      <c r="I917" s="179" t="s">
        <v>187</v>
      </c>
      <c r="J917" s="180" t="s">
        <v>186</v>
      </c>
      <c r="K917" s="182"/>
      <c r="L917" s="178" t="s">
        <v>207</v>
      </c>
      <c r="M917" s="275">
        <v>0</v>
      </c>
      <c r="N917" s="41"/>
      <c r="O917" s="284"/>
      <c r="P917" s="105"/>
      <c r="Q917" s="57"/>
      <c r="R917" s="57"/>
      <c r="S917" s="57"/>
      <c r="T917" s="41"/>
      <c r="U917" s="41"/>
      <c r="V917" s="51"/>
    </row>
    <row r="918" spans="2:22" x14ac:dyDescent="0.25">
      <c r="B918" s="426"/>
      <c r="C918" s="89">
        <v>3</v>
      </c>
      <c r="D918" s="203" t="s">
        <v>342</v>
      </c>
      <c r="E918" s="265"/>
      <c r="F918" s="265"/>
      <c r="G918" s="265"/>
      <c r="H918" s="186" t="str">
        <f t="shared" si="11"/>
        <v>RAA-3-STECON-RAKIT</v>
      </c>
      <c r="I918" s="179" t="s">
        <v>179</v>
      </c>
      <c r="J918" s="180" t="s">
        <v>343</v>
      </c>
      <c r="K918" s="182"/>
      <c r="L918" s="178" t="s">
        <v>207</v>
      </c>
      <c r="M918" s="275">
        <v>0</v>
      </c>
      <c r="N918" s="41"/>
      <c r="O918" s="284"/>
      <c r="P918" s="105"/>
      <c r="Q918" s="57"/>
      <c r="R918" s="57"/>
      <c r="S918" s="57"/>
      <c r="T918" s="41"/>
      <c r="U918" s="41"/>
      <c r="V918" s="51"/>
    </row>
    <row r="919" spans="2:22" x14ac:dyDescent="0.25">
      <c r="B919" s="426"/>
      <c r="C919" s="89">
        <v>3</v>
      </c>
      <c r="D919" s="203" t="s">
        <v>189</v>
      </c>
      <c r="E919" s="265"/>
      <c r="F919" s="265"/>
      <c r="G919" s="265"/>
      <c r="H919" s="186" t="str">
        <f>CONCATENATE(L919,"-",C919,"-",LEFT(D919,3),LEFT(I919,3),"-",LEFT(J919,4))</f>
        <v>RAA-3-REF3 P-TOSH</v>
      </c>
      <c r="I919" s="179" t="s">
        <v>190</v>
      </c>
      <c r="J919" s="180" t="s">
        <v>191</v>
      </c>
      <c r="K919" s="182"/>
      <c r="L919" s="178" t="s">
        <v>207</v>
      </c>
      <c r="M919" s="275">
        <v>0</v>
      </c>
      <c r="N919" s="41"/>
      <c r="O919" s="284"/>
      <c r="P919" s="105"/>
      <c r="Q919" s="57"/>
      <c r="R919" s="57"/>
      <c r="S919" s="57"/>
      <c r="T919" s="41"/>
      <c r="U919" s="41"/>
      <c r="V919" s="51"/>
    </row>
    <row r="920" spans="2:22" x14ac:dyDescent="0.25">
      <c r="B920" s="426"/>
      <c r="C920" s="89">
        <v>3</v>
      </c>
      <c r="D920" s="203" t="s">
        <v>189</v>
      </c>
      <c r="E920" s="265"/>
      <c r="F920" s="265"/>
      <c r="G920" s="265"/>
      <c r="H920" s="186" t="str">
        <f>CONCATENATE(L920,"-",C920,"-",LEFT(D920,3),LEFT(I920,3),"-",LEFT(J920,4))</f>
        <v>RAA-3-REF1 P-TOSH</v>
      </c>
      <c r="I920" s="179" t="s">
        <v>315</v>
      </c>
      <c r="J920" s="180" t="s">
        <v>191</v>
      </c>
      <c r="K920" s="182"/>
      <c r="L920" s="178" t="s">
        <v>207</v>
      </c>
      <c r="M920" s="275">
        <v>0</v>
      </c>
      <c r="N920" s="41"/>
      <c r="O920" s="284"/>
      <c r="P920" s="105"/>
      <c r="Q920" s="57"/>
      <c r="R920" s="57"/>
      <c r="S920" s="57"/>
      <c r="T920" s="41"/>
      <c r="U920" s="41"/>
      <c r="V920" s="51"/>
    </row>
    <row r="921" spans="2:22" x14ac:dyDescent="0.25">
      <c r="B921" s="426"/>
      <c r="C921" s="89">
        <v>3</v>
      </c>
      <c r="D921" s="203" t="s">
        <v>189</v>
      </c>
      <c r="E921" s="265"/>
      <c r="F921" s="265"/>
      <c r="G921" s="265"/>
      <c r="H921" s="186" t="str">
        <f>CONCATENATE(L921,"-",C921,"-",LEFT(D921,3),LEFT(I921,3),"-",LEFT(J921,3))</f>
        <v>RAA-3-REF1 P-SHA</v>
      </c>
      <c r="I921" s="179" t="s">
        <v>315</v>
      </c>
      <c r="J921" s="180" t="s">
        <v>133</v>
      </c>
      <c r="K921" s="182"/>
      <c r="L921" s="178" t="s">
        <v>207</v>
      </c>
      <c r="M921" s="275">
        <v>0</v>
      </c>
      <c r="N921" s="41"/>
      <c r="O921" s="284"/>
      <c r="P921" s="105"/>
      <c r="Q921" s="57"/>
      <c r="R921" s="57"/>
      <c r="S921" s="57"/>
      <c r="T921" s="41"/>
      <c r="U921" s="41"/>
      <c r="V921" s="51"/>
    </row>
    <row r="922" spans="2:22" x14ac:dyDescent="0.25">
      <c r="B922" s="426"/>
      <c r="C922" s="89">
        <v>3</v>
      </c>
      <c r="D922" s="203" t="s">
        <v>189</v>
      </c>
      <c r="E922" s="265"/>
      <c r="F922" s="265"/>
      <c r="G922" s="265"/>
      <c r="H922" s="186" t="str">
        <f>CONCATENATE(L922,"-",C922,"-",LEFT(D922,3),LEFT(I922,3),"-",LEFT(J922,3))</f>
        <v>RAA-3-REF2 P-SAM</v>
      </c>
      <c r="I922" s="179" t="s">
        <v>324</v>
      </c>
      <c r="J922" s="180" t="s">
        <v>221</v>
      </c>
      <c r="K922" s="182" t="s">
        <v>358</v>
      </c>
      <c r="L922" s="178" t="s">
        <v>207</v>
      </c>
      <c r="M922" s="275">
        <v>1</v>
      </c>
      <c r="N922" s="41"/>
      <c r="O922" s="284"/>
      <c r="P922" s="105"/>
      <c r="Q922" s="57"/>
      <c r="R922" s="57"/>
      <c r="S922" s="57"/>
      <c r="T922" s="41"/>
      <c r="U922" s="41"/>
      <c r="V922" s="51"/>
    </row>
    <row r="923" spans="2:22" x14ac:dyDescent="0.25">
      <c r="B923" s="426"/>
      <c r="C923" s="89">
        <v>3</v>
      </c>
      <c r="D923" s="203" t="s">
        <v>312</v>
      </c>
      <c r="E923" s="265"/>
      <c r="F923" s="265"/>
      <c r="G923" s="265"/>
      <c r="H923" s="186" t="str">
        <f>CONCATENATE(L923,"-",C923,"-",LEFT(D923,3),LEFT(I923,3),"-",LEFT(J923,3))</f>
        <v>RAA-3-HUMKRI-SHA</v>
      </c>
      <c r="I923" s="179" t="s">
        <v>314</v>
      </c>
      <c r="J923" s="180" t="s">
        <v>133</v>
      </c>
      <c r="K923" s="182"/>
      <c r="L923" s="178" t="s">
        <v>207</v>
      </c>
      <c r="M923" s="275">
        <f>'[3]TOTAL ASET APK'!$F$70</f>
        <v>0</v>
      </c>
      <c r="N923" s="41"/>
      <c r="O923" s="284"/>
      <c r="P923" s="105"/>
      <c r="Q923" s="57"/>
      <c r="R923" s="57"/>
      <c r="S923" s="57"/>
      <c r="T923" s="41"/>
      <c r="U923" s="41"/>
      <c r="V923" s="51"/>
    </row>
    <row r="924" spans="2:22" x14ac:dyDescent="0.25">
      <c r="B924" s="426"/>
      <c r="C924" s="89">
        <v>3</v>
      </c>
      <c r="D924" s="203" t="s">
        <v>317</v>
      </c>
      <c r="E924" s="265"/>
      <c r="F924" s="265"/>
      <c r="G924" s="265"/>
      <c r="H924" s="186" t="str">
        <f>CONCATENATE(L924,"-",C924,"-",LEFT(D924,3),LEFT(I924,3),"-",LEFT(J924,5))</f>
        <v>RAA-3-SOUPOR-BLACK</v>
      </c>
      <c r="I924" s="179" t="s">
        <v>318</v>
      </c>
      <c r="J924" s="180" t="s">
        <v>310</v>
      </c>
      <c r="K924" s="182" t="s">
        <v>402</v>
      </c>
      <c r="L924" s="178" t="s">
        <v>207</v>
      </c>
      <c r="M924" s="275">
        <f>'[3]TOTAL ASET APK'!$F$71</f>
        <v>1</v>
      </c>
      <c r="N924" s="41"/>
      <c r="O924" s="284"/>
      <c r="P924" s="105"/>
      <c r="Q924" s="57"/>
      <c r="R924" s="57"/>
      <c r="S924" s="57"/>
      <c r="T924" s="41"/>
      <c r="U924" s="41"/>
      <c r="V924" s="51"/>
    </row>
    <row r="925" spans="2:22" x14ac:dyDescent="0.25">
      <c r="B925" s="426"/>
      <c r="C925" s="89">
        <v>3</v>
      </c>
      <c r="D925" s="203" t="s">
        <v>412</v>
      </c>
      <c r="E925" s="265"/>
      <c r="F925" s="265"/>
      <c r="G925" s="265"/>
      <c r="H925" s="186" t="str">
        <f>CONCATENATE(L925,"-",C925,"-",LEFT(D925,3),LEFT(I925,3),"-",LEFT(J925,3),"-",1)</f>
        <v>RAA-3-FANTEM-DIN-1</v>
      </c>
      <c r="I925" s="179" t="s">
        <v>413</v>
      </c>
      <c r="J925" s="180" t="s">
        <v>197</v>
      </c>
      <c r="K925" s="182" t="s">
        <v>407</v>
      </c>
      <c r="L925" s="178" t="s">
        <v>207</v>
      </c>
      <c r="M925" s="275"/>
      <c r="N925" s="41"/>
      <c r="O925" s="284"/>
      <c r="P925" s="105"/>
      <c r="Q925" s="57"/>
      <c r="R925" s="57"/>
      <c r="S925" s="57"/>
      <c r="T925" s="41"/>
      <c r="U925" s="41"/>
      <c r="V925" s="51"/>
    </row>
    <row r="926" spans="2:22" x14ac:dyDescent="0.25">
      <c r="B926" s="426"/>
      <c r="C926" s="89">
        <v>3</v>
      </c>
      <c r="D926" s="203" t="s">
        <v>412</v>
      </c>
      <c r="E926" s="265"/>
      <c r="F926" s="265"/>
      <c r="G926" s="265"/>
      <c r="H926" s="186" t="str">
        <f>CONCATENATE(L926,"-",C926,"-",LEFT(D926,3),LEFT(I926,3),"-",LEFT(J926,3),"-",2)</f>
        <v>RAA-3-FANTEM-DIN-2</v>
      </c>
      <c r="I926" s="179" t="s">
        <v>413</v>
      </c>
      <c r="J926" s="180" t="s">
        <v>197</v>
      </c>
      <c r="K926" s="182" t="s">
        <v>396</v>
      </c>
      <c r="L926" s="178" t="s">
        <v>207</v>
      </c>
      <c r="M926" s="275"/>
      <c r="N926" s="41"/>
      <c r="O926" s="284"/>
      <c r="P926" s="105"/>
      <c r="Q926" s="57"/>
      <c r="R926" s="57"/>
      <c r="S926" s="57"/>
      <c r="T926" s="41"/>
      <c r="U926" s="41"/>
      <c r="V926" s="51"/>
    </row>
    <row r="927" spans="2:22" x14ac:dyDescent="0.25">
      <c r="B927" s="426"/>
      <c r="C927" s="89">
        <v>3</v>
      </c>
      <c r="D927" s="203" t="s">
        <v>412</v>
      </c>
      <c r="E927" s="265"/>
      <c r="F927" s="265"/>
      <c r="G927" s="265"/>
      <c r="H927" s="186" t="str">
        <f>CONCATENATE(L927,"-",C927,"-",LEFT(D927,3),LEFT(I927,3),"-",LEFT(J927,3),"-",3)</f>
        <v>RAA-3-FANTEM-DIN-3</v>
      </c>
      <c r="I927" s="179" t="s">
        <v>413</v>
      </c>
      <c r="J927" s="180" t="s">
        <v>197</v>
      </c>
      <c r="K927" s="182" t="s">
        <v>408</v>
      </c>
      <c r="L927" s="178" t="s">
        <v>207</v>
      </c>
      <c r="M927" s="275"/>
      <c r="N927" s="41"/>
      <c r="O927" s="284"/>
      <c r="P927" s="105"/>
      <c r="Q927" s="57"/>
      <c r="R927" s="57"/>
      <c r="S927" s="57"/>
      <c r="T927" s="41"/>
      <c r="U927" s="41"/>
      <c r="V927" s="51"/>
    </row>
    <row r="928" spans="2:22" x14ac:dyDescent="0.25">
      <c r="B928" s="426"/>
      <c r="C928" s="89">
        <v>3</v>
      </c>
      <c r="D928" s="203" t="s">
        <v>412</v>
      </c>
      <c r="E928" s="265"/>
      <c r="F928" s="265"/>
      <c r="G928" s="265"/>
      <c r="H928" s="186" t="str">
        <f t="shared" ref="H928" si="13">CONCATENATE(L928,"-",C928,"-",LEFT(D928,3),LEFT(I928,3),"-",LEFT(J928,5))</f>
        <v>RAA-3-FAN-STAND</v>
      </c>
      <c r="I928" s="179"/>
      <c r="J928" s="180" t="s">
        <v>194</v>
      </c>
      <c r="K928" s="182" t="s">
        <v>396</v>
      </c>
      <c r="L928" s="178" t="s">
        <v>207</v>
      </c>
      <c r="M928" s="275"/>
      <c r="N928" s="41"/>
      <c r="O928" s="284"/>
      <c r="P928" s="105"/>
      <c r="Q928" s="57"/>
      <c r="R928" s="57"/>
      <c r="S928" s="57"/>
      <c r="T928" s="41"/>
      <c r="U928" s="41"/>
      <c r="V928" s="51"/>
    </row>
    <row r="929" spans="2:22" x14ac:dyDescent="0.25">
      <c r="B929" s="426"/>
      <c r="C929" s="89">
        <v>3</v>
      </c>
      <c r="D929" s="203" t="s">
        <v>192</v>
      </c>
      <c r="E929" s="265"/>
      <c r="F929" s="265"/>
      <c r="G929" s="265"/>
      <c r="H929" s="186" t="str">
        <f>CONCATENATE(L929,"-",C929,"-",LEFT(D929,3),LEFT(I929,3),"-",LEFT(J929,5))</f>
        <v>RAA-3-LAMREA-STAND</v>
      </c>
      <c r="I929" s="179" t="s">
        <v>193</v>
      </c>
      <c r="J929" s="180" t="s">
        <v>194</v>
      </c>
      <c r="K929" s="182"/>
      <c r="L929" s="178" t="s">
        <v>207</v>
      </c>
      <c r="M929" s="275">
        <v>0</v>
      </c>
      <c r="N929" s="41"/>
      <c r="O929" s="284"/>
      <c r="P929" s="105"/>
      <c r="Q929" s="57"/>
      <c r="R929" s="57"/>
      <c r="S929" s="57"/>
      <c r="T929" s="41"/>
      <c r="U929" s="41"/>
      <c r="V929" s="51"/>
    </row>
    <row r="930" spans="2:22" x14ac:dyDescent="0.25">
      <c r="B930" s="426"/>
      <c r="C930" s="89">
        <v>3</v>
      </c>
      <c r="D930" s="203" t="s">
        <v>192</v>
      </c>
      <c r="E930" s="265"/>
      <c r="F930" s="265"/>
      <c r="G930" s="265"/>
      <c r="H930" s="186" t="str">
        <f>CONCATENATE(L930,"-",C930,"-",LEFT(D930,3),LEFT(I930,3),"-",LEFT(J930,4))</f>
        <v>RAA-3-LAMBLU-KRIS</v>
      </c>
      <c r="I930" s="179" t="s">
        <v>195</v>
      </c>
      <c r="J930" s="180" t="s">
        <v>196</v>
      </c>
      <c r="K930" s="182"/>
      <c r="L930" s="178" t="s">
        <v>207</v>
      </c>
      <c r="M930" s="275">
        <v>0</v>
      </c>
      <c r="N930" s="41"/>
      <c r="O930" s="284"/>
      <c r="P930" s="105"/>
      <c r="Q930" s="57"/>
      <c r="R930" s="57"/>
      <c r="S930" s="57"/>
      <c r="T930" s="41"/>
      <c r="U930" s="41"/>
      <c r="V930" s="51"/>
    </row>
    <row r="931" spans="2:22" x14ac:dyDescent="0.25">
      <c r="B931" s="426"/>
      <c r="C931" s="89">
        <v>3</v>
      </c>
      <c r="D931" s="203" t="s">
        <v>298</v>
      </c>
      <c r="E931" s="265"/>
      <c r="F931" s="265"/>
      <c r="G931" s="265"/>
      <c r="H931" s="186" t="str">
        <f>CONCATENATE(L931,"-",C931,"-",LEFT(D931,3),LEFT(I931,3),"-",LEFT(J931,3))</f>
        <v>RAA-3-DIEAIR-DEC</v>
      </c>
      <c r="I931" s="179" t="s">
        <v>299</v>
      </c>
      <c r="J931" s="180" t="s">
        <v>300</v>
      </c>
      <c r="K931" s="182"/>
      <c r="L931" s="178" t="s">
        <v>207</v>
      </c>
      <c r="M931" s="275">
        <v>0</v>
      </c>
      <c r="N931" s="41"/>
      <c r="O931" s="284"/>
      <c r="P931" s="105"/>
      <c r="Q931" s="57"/>
      <c r="R931" s="57"/>
      <c r="S931" s="57"/>
      <c r="T931" s="41"/>
      <c r="U931" s="41"/>
      <c r="V931" s="51"/>
    </row>
    <row r="932" spans="2:22" x14ac:dyDescent="0.25">
      <c r="B932" s="426"/>
      <c r="C932" s="89">
        <v>3</v>
      </c>
      <c r="D932" s="203" t="s">
        <v>301</v>
      </c>
      <c r="E932" s="265"/>
      <c r="F932" s="265"/>
      <c r="G932" s="265"/>
      <c r="H932" s="186" t="str">
        <f>CONCATENATE(L932,"-",C932,"-",LEFT(D932,3),LEFT(I932,3),"-",LEFT(J932,3))</f>
        <v>RAA-3-PLAPLA-AIR</v>
      </c>
      <c r="I932" s="179" t="s">
        <v>301</v>
      </c>
      <c r="J932" s="180" t="s">
        <v>302</v>
      </c>
      <c r="K932" s="182"/>
      <c r="L932" s="178" t="s">
        <v>207</v>
      </c>
      <c r="M932" s="275">
        <v>0</v>
      </c>
      <c r="N932" s="41"/>
      <c r="O932" s="284"/>
      <c r="P932" s="105"/>
      <c r="Q932" s="57"/>
      <c r="R932" s="57"/>
      <c r="S932" s="57"/>
      <c r="T932" s="41"/>
      <c r="U932" s="41"/>
      <c r="V932" s="51"/>
    </row>
    <row r="933" spans="2:22" x14ac:dyDescent="0.25">
      <c r="B933" s="426"/>
      <c r="C933" s="89">
        <v>3</v>
      </c>
      <c r="D933" s="203" t="s">
        <v>303</v>
      </c>
      <c r="E933" s="265"/>
      <c r="F933" s="265"/>
      <c r="G933" s="265"/>
      <c r="H933" s="186" t="str">
        <f>CONCATENATE(L933,"-",C933,"-",LEFT(D933,3),LEFT(I933,3),"-",LEFT(J933,6))</f>
        <v>RAA-3-TIRSEK-PEMBAT</v>
      </c>
      <c r="I933" s="179" t="s">
        <v>352</v>
      </c>
      <c r="J933" s="180" t="s">
        <v>304</v>
      </c>
      <c r="K933" s="182"/>
      <c r="L933" s="178" t="s">
        <v>207</v>
      </c>
      <c r="M933" s="275">
        <v>0</v>
      </c>
      <c r="N933" s="41"/>
      <c r="O933" s="284"/>
      <c r="P933" s="105"/>
      <c r="Q933" s="57"/>
      <c r="R933" s="57"/>
      <c r="S933" s="57"/>
      <c r="T933" s="41"/>
      <c r="U933" s="41"/>
      <c r="V933" s="51"/>
    </row>
    <row r="934" spans="2:22" ht="6.75" customHeight="1" thickBot="1" x14ac:dyDescent="0.3">
      <c r="B934" s="266"/>
      <c r="C934" s="267"/>
      <c r="D934" s="268"/>
      <c r="E934" s="269"/>
      <c r="F934" s="269"/>
      <c r="G934" s="269"/>
      <c r="H934" s="270"/>
      <c r="I934" s="271"/>
      <c r="J934" s="272"/>
      <c r="K934" s="272"/>
      <c r="L934" s="272"/>
      <c r="M934" s="276"/>
      <c r="N934" s="290"/>
      <c r="O934" s="273"/>
      <c r="P934" s="291"/>
      <c r="Q934" s="292"/>
      <c r="R934" s="292"/>
      <c r="S934" s="292"/>
      <c r="T934" s="290"/>
      <c r="U934" s="290"/>
      <c r="V934" s="293"/>
    </row>
    <row r="935" spans="2:22" x14ac:dyDescent="0.25">
      <c r="B935" s="404">
        <v>1</v>
      </c>
      <c r="C935" s="90">
        <v>1</v>
      </c>
      <c r="D935" s="204" t="s">
        <v>128</v>
      </c>
      <c r="E935" s="286"/>
      <c r="F935" s="286"/>
      <c r="G935" s="286"/>
      <c r="H935" s="161" t="str">
        <f>CONCATENATE(L935,"-",C935,"-",LEFT(D935,3),LEFT(I935,3),"-",LEFT(J935,6))</f>
        <v>GGD-1-ACSHA-1/2 PK</v>
      </c>
      <c r="I935" s="171" t="s">
        <v>133</v>
      </c>
      <c r="J935" s="166" t="s">
        <v>177</v>
      </c>
      <c r="K935" s="350" t="s">
        <v>359</v>
      </c>
      <c r="L935" s="166" t="s">
        <v>208</v>
      </c>
      <c r="M935" s="277">
        <v>0</v>
      </c>
      <c r="N935" s="44"/>
      <c r="O935" s="287"/>
      <c r="P935" s="288"/>
      <c r="Q935" s="289"/>
      <c r="R935" s="289"/>
      <c r="S935" s="289"/>
      <c r="T935" s="44"/>
      <c r="U935" s="44"/>
      <c r="V935" s="53"/>
    </row>
    <row r="936" spans="2:22" x14ac:dyDescent="0.25">
      <c r="B936" s="405"/>
      <c r="C936" s="89">
        <v>1</v>
      </c>
      <c r="D936" s="203" t="s">
        <v>128</v>
      </c>
      <c r="E936" s="265"/>
      <c r="F936" s="265"/>
      <c r="G936" s="265"/>
      <c r="H936" s="161" t="str">
        <f t="shared" ref="H936:H1009" si="14">CONCATENATE(L936,"-",C936,"-",LEFT(D936,3),LEFT(I936,3),"-",LEFT(J936,6))</f>
        <v>GGD-1-ACSHA-3/4 PK</v>
      </c>
      <c r="I936" s="162" t="s">
        <v>133</v>
      </c>
      <c r="J936" s="163" t="s">
        <v>217</v>
      </c>
      <c r="K936" s="350" t="s">
        <v>359</v>
      </c>
      <c r="L936" s="166" t="s">
        <v>208</v>
      </c>
      <c r="M936" s="277">
        <v>0</v>
      </c>
      <c r="N936" s="41"/>
      <c r="O936" s="284"/>
      <c r="P936" s="105"/>
      <c r="Q936" s="57"/>
      <c r="R936" s="57"/>
      <c r="S936" s="57"/>
      <c r="T936" s="41"/>
      <c r="U936" s="41"/>
      <c r="V936" s="51"/>
    </row>
    <row r="937" spans="2:22" x14ac:dyDescent="0.25">
      <c r="B937" s="405"/>
      <c r="C937" s="89">
        <v>1</v>
      </c>
      <c r="D937" s="203" t="s">
        <v>128</v>
      </c>
      <c r="E937" s="265"/>
      <c r="F937" s="265"/>
      <c r="G937" s="265"/>
      <c r="H937" s="161" t="str">
        <f t="shared" si="14"/>
        <v>GGD-1-ACSHA-1 PK</v>
      </c>
      <c r="I937" s="162" t="s">
        <v>133</v>
      </c>
      <c r="J937" s="164" t="s">
        <v>129</v>
      </c>
      <c r="K937" s="350" t="s">
        <v>359</v>
      </c>
      <c r="L937" s="166" t="s">
        <v>208</v>
      </c>
      <c r="M937" s="277">
        <v>0</v>
      </c>
      <c r="N937" s="41"/>
      <c r="O937" s="284"/>
      <c r="P937" s="105"/>
      <c r="Q937" s="57"/>
      <c r="R937" s="57"/>
      <c r="S937" s="57"/>
      <c r="T937" s="41"/>
      <c r="U937" s="41"/>
      <c r="V937" s="51"/>
    </row>
    <row r="938" spans="2:22" x14ac:dyDescent="0.25">
      <c r="B938" s="405"/>
      <c r="C938" s="89">
        <v>1</v>
      </c>
      <c r="D938" s="203" t="s">
        <v>128</v>
      </c>
      <c r="E938" s="265"/>
      <c r="F938" s="265"/>
      <c r="G938" s="265"/>
      <c r="H938" s="161" t="str">
        <f t="shared" si="14"/>
        <v>GGD-1-ACSHA-1,5 PK</v>
      </c>
      <c r="I938" s="162" t="s">
        <v>133</v>
      </c>
      <c r="J938" s="164" t="s">
        <v>130</v>
      </c>
      <c r="K938" s="350" t="s">
        <v>359</v>
      </c>
      <c r="L938" s="166" t="s">
        <v>208</v>
      </c>
      <c r="M938" s="277">
        <v>0</v>
      </c>
      <c r="N938" s="41"/>
      <c r="O938" s="284"/>
      <c r="P938" s="105"/>
      <c r="Q938" s="57"/>
      <c r="R938" s="57"/>
      <c r="S938" s="57"/>
      <c r="T938" s="41"/>
      <c r="U938" s="41"/>
      <c r="V938" s="51"/>
    </row>
    <row r="939" spans="2:22" x14ac:dyDescent="0.25">
      <c r="B939" s="405"/>
      <c r="C939" s="89">
        <v>1</v>
      </c>
      <c r="D939" s="203" t="s">
        <v>128</v>
      </c>
      <c r="E939" s="265"/>
      <c r="F939" s="265"/>
      <c r="G939" s="265"/>
      <c r="H939" s="161" t="str">
        <f t="shared" si="14"/>
        <v>GGD-1-ACSHA-2 PK</v>
      </c>
      <c r="I939" s="162" t="s">
        <v>133</v>
      </c>
      <c r="J939" s="165" t="s">
        <v>131</v>
      </c>
      <c r="K939" s="350" t="s">
        <v>359</v>
      </c>
      <c r="L939" s="166" t="s">
        <v>208</v>
      </c>
      <c r="M939" s="277">
        <v>0</v>
      </c>
      <c r="N939" s="41"/>
      <c r="O939" s="284"/>
      <c r="P939" s="105"/>
      <c r="Q939" s="57"/>
      <c r="R939" s="57"/>
      <c r="S939" s="57"/>
      <c r="T939" s="41"/>
      <c r="U939" s="41"/>
      <c r="V939" s="51"/>
    </row>
    <row r="940" spans="2:22" x14ac:dyDescent="0.25">
      <c r="B940" s="405"/>
      <c r="C940" s="89">
        <v>1</v>
      </c>
      <c r="D940" s="203" t="s">
        <v>128</v>
      </c>
      <c r="E940" s="265"/>
      <c r="F940" s="265"/>
      <c r="G940" s="265"/>
      <c r="H940" s="161" t="str">
        <f t="shared" si="14"/>
        <v>GGD-1-ACSHA-5 PK</v>
      </c>
      <c r="I940" s="162" t="s">
        <v>133</v>
      </c>
      <c r="J940" s="164" t="s">
        <v>132</v>
      </c>
      <c r="K940" s="350" t="s">
        <v>359</v>
      </c>
      <c r="L940" s="166" t="s">
        <v>208</v>
      </c>
      <c r="M940" s="277">
        <v>0</v>
      </c>
      <c r="N940" s="41"/>
      <c r="O940" s="284"/>
      <c r="P940" s="105"/>
      <c r="Q940" s="57"/>
      <c r="R940" s="57"/>
      <c r="S940" s="57"/>
      <c r="T940" s="41"/>
      <c r="U940" s="41"/>
      <c r="V940" s="51"/>
    </row>
    <row r="941" spans="2:22" x14ac:dyDescent="0.25">
      <c r="B941" s="405"/>
      <c r="C941" s="89">
        <v>1</v>
      </c>
      <c r="D941" s="203" t="s">
        <v>128</v>
      </c>
      <c r="E941" s="265"/>
      <c r="F941" s="265"/>
      <c r="G941" s="265"/>
      <c r="H941" s="161" t="str">
        <f t="shared" si="14"/>
        <v>GGD-1-ACPAN-1/2 PK</v>
      </c>
      <c r="I941" s="162" t="s">
        <v>134</v>
      </c>
      <c r="J941" s="166" t="s">
        <v>177</v>
      </c>
      <c r="K941" s="350" t="s">
        <v>359</v>
      </c>
      <c r="L941" s="166" t="s">
        <v>208</v>
      </c>
      <c r="M941" s="277">
        <v>0</v>
      </c>
      <c r="N941" s="41"/>
      <c r="O941" s="284"/>
      <c r="P941" s="105"/>
      <c r="Q941" s="57"/>
      <c r="R941" s="57"/>
      <c r="S941" s="57"/>
      <c r="T941" s="41"/>
      <c r="U941" s="41"/>
      <c r="V941" s="51"/>
    </row>
    <row r="942" spans="2:22" x14ac:dyDescent="0.25">
      <c r="B942" s="405"/>
      <c r="C942" s="89">
        <v>1</v>
      </c>
      <c r="D942" s="203" t="s">
        <v>128</v>
      </c>
      <c r="E942" s="265"/>
      <c r="F942" s="265"/>
      <c r="G942" s="265"/>
      <c r="H942" s="161" t="str">
        <f t="shared" si="14"/>
        <v>GGD-1-ACPAN-3/4 PK</v>
      </c>
      <c r="I942" s="162" t="s">
        <v>134</v>
      </c>
      <c r="J942" s="163" t="s">
        <v>217</v>
      </c>
      <c r="K942" s="350" t="s">
        <v>359</v>
      </c>
      <c r="L942" s="166" t="s">
        <v>208</v>
      </c>
      <c r="M942" s="277">
        <v>0</v>
      </c>
      <c r="N942" s="41"/>
      <c r="O942" s="284"/>
      <c r="P942" s="105"/>
      <c r="Q942" s="57"/>
      <c r="R942" s="57"/>
      <c r="S942" s="57"/>
      <c r="T942" s="41"/>
      <c r="U942" s="41"/>
      <c r="V942" s="51"/>
    </row>
    <row r="943" spans="2:22" x14ac:dyDescent="0.25">
      <c r="B943" s="405"/>
      <c r="C943" s="89">
        <v>1</v>
      </c>
      <c r="D943" s="203" t="s">
        <v>128</v>
      </c>
      <c r="E943" s="265"/>
      <c r="F943" s="265"/>
      <c r="G943" s="265"/>
      <c r="H943" s="161" t="str">
        <f t="shared" si="14"/>
        <v>GGD-1-ACPAN-1 PK</v>
      </c>
      <c r="I943" s="162" t="s">
        <v>134</v>
      </c>
      <c r="J943" s="164" t="s">
        <v>129</v>
      </c>
      <c r="K943" s="350" t="s">
        <v>359</v>
      </c>
      <c r="L943" s="166" t="s">
        <v>208</v>
      </c>
      <c r="M943" s="277">
        <v>0</v>
      </c>
      <c r="N943" s="41"/>
      <c r="O943" s="284"/>
      <c r="P943" s="105"/>
      <c r="Q943" s="57"/>
      <c r="R943" s="57"/>
      <c r="S943" s="57"/>
      <c r="T943" s="41"/>
      <c r="U943" s="41"/>
      <c r="V943" s="51"/>
    </row>
    <row r="944" spans="2:22" x14ac:dyDescent="0.25">
      <c r="B944" s="405"/>
      <c r="C944" s="89">
        <v>1</v>
      </c>
      <c r="D944" s="203" t="s">
        <v>128</v>
      </c>
      <c r="E944" s="265"/>
      <c r="F944" s="265"/>
      <c r="G944" s="265"/>
      <c r="H944" s="161" t="str">
        <f t="shared" si="14"/>
        <v>GGD-1-ACPAN-1,5 PK</v>
      </c>
      <c r="I944" s="162" t="s">
        <v>134</v>
      </c>
      <c r="J944" s="164" t="s">
        <v>130</v>
      </c>
      <c r="K944" s="350" t="s">
        <v>359</v>
      </c>
      <c r="L944" s="166" t="s">
        <v>208</v>
      </c>
      <c r="M944" s="277">
        <v>0</v>
      </c>
      <c r="N944" s="41"/>
      <c r="O944" s="284"/>
      <c r="P944" s="105"/>
      <c r="Q944" s="57"/>
      <c r="R944" s="57"/>
      <c r="S944" s="57"/>
      <c r="T944" s="41"/>
      <c r="U944" s="41"/>
      <c r="V944" s="51"/>
    </row>
    <row r="945" spans="2:22" x14ac:dyDescent="0.25">
      <c r="B945" s="405"/>
      <c r="C945" s="89">
        <v>1</v>
      </c>
      <c r="D945" s="203" t="s">
        <v>128</v>
      </c>
      <c r="E945" s="265"/>
      <c r="F945" s="265"/>
      <c r="G945" s="265"/>
      <c r="H945" s="161" t="str">
        <f t="shared" si="14"/>
        <v>GGD-1-ACPAN-2 PK</v>
      </c>
      <c r="I945" s="162" t="s">
        <v>134</v>
      </c>
      <c r="J945" s="165" t="s">
        <v>131</v>
      </c>
      <c r="K945" s="350" t="s">
        <v>359</v>
      </c>
      <c r="L945" s="166" t="s">
        <v>208</v>
      </c>
      <c r="M945" s="277">
        <v>0</v>
      </c>
      <c r="N945" s="41"/>
      <c r="O945" s="284"/>
      <c r="P945" s="105"/>
      <c r="Q945" s="57"/>
      <c r="R945" s="57"/>
      <c r="S945" s="57"/>
      <c r="T945" s="41"/>
      <c r="U945" s="41"/>
      <c r="V945" s="51"/>
    </row>
    <row r="946" spans="2:22" x14ac:dyDescent="0.25">
      <c r="B946" s="405"/>
      <c r="C946" s="89">
        <v>1</v>
      </c>
      <c r="D946" s="203" t="s">
        <v>128</v>
      </c>
      <c r="E946" s="265"/>
      <c r="F946" s="265"/>
      <c r="G946" s="265"/>
      <c r="H946" s="161" t="str">
        <f t="shared" si="14"/>
        <v>GGD-1-ACPAN-5 PK</v>
      </c>
      <c r="I946" s="162" t="s">
        <v>134</v>
      </c>
      <c r="J946" s="164" t="s">
        <v>132</v>
      </c>
      <c r="K946" s="350" t="s">
        <v>359</v>
      </c>
      <c r="L946" s="166" t="s">
        <v>208</v>
      </c>
      <c r="M946" s="277">
        <v>0</v>
      </c>
      <c r="N946" s="41"/>
      <c r="O946" s="284"/>
      <c r="P946" s="105"/>
      <c r="Q946" s="57"/>
      <c r="R946" s="57"/>
      <c r="S946" s="57"/>
      <c r="T946" s="41"/>
      <c r="U946" s="41"/>
      <c r="V946" s="51"/>
    </row>
    <row r="947" spans="2:22" x14ac:dyDescent="0.25">
      <c r="B947" s="405"/>
      <c r="C947" s="89">
        <v>1</v>
      </c>
      <c r="D947" s="203" t="s">
        <v>128</v>
      </c>
      <c r="E947" s="265"/>
      <c r="F947" s="265"/>
      <c r="G947" s="265"/>
      <c r="H947" s="161" t="str">
        <f t="shared" si="14"/>
        <v>GGD-1-ACCHA-1/2 PK</v>
      </c>
      <c r="I947" s="162" t="s">
        <v>339</v>
      </c>
      <c r="J947" s="166" t="s">
        <v>177</v>
      </c>
      <c r="K947" s="350" t="s">
        <v>359</v>
      </c>
      <c r="L947" s="166" t="s">
        <v>208</v>
      </c>
      <c r="M947" s="277">
        <v>0</v>
      </c>
      <c r="N947" s="41"/>
      <c r="O947" s="284"/>
      <c r="P947" s="105"/>
      <c r="Q947" s="57"/>
      <c r="R947" s="57"/>
      <c r="S947" s="57"/>
      <c r="T947" s="41"/>
      <c r="U947" s="41"/>
      <c r="V947" s="51"/>
    </row>
    <row r="948" spans="2:22" x14ac:dyDescent="0.25">
      <c r="B948" s="405"/>
      <c r="C948" s="89">
        <v>1</v>
      </c>
      <c r="D948" s="203" t="s">
        <v>128</v>
      </c>
      <c r="E948" s="265"/>
      <c r="F948" s="265"/>
      <c r="G948" s="265"/>
      <c r="H948" s="161" t="str">
        <f t="shared" si="14"/>
        <v>GGD-1-ACCHA-3/4 PK</v>
      </c>
      <c r="I948" s="162" t="s">
        <v>339</v>
      </c>
      <c r="J948" s="163" t="s">
        <v>217</v>
      </c>
      <c r="K948" s="350" t="s">
        <v>359</v>
      </c>
      <c r="L948" s="166" t="s">
        <v>208</v>
      </c>
      <c r="M948" s="277">
        <v>0</v>
      </c>
      <c r="N948" s="41"/>
      <c r="O948" s="284"/>
      <c r="P948" s="105"/>
      <c r="Q948" s="57"/>
      <c r="R948" s="57"/>
      <c r="S948" s="57"/>
      <c r="T948" s="41"/>
      <c r="U948" s="41"/>
      <c r="V948" s="51"/>
    </row>
    <row r="949" spans="2:22" x14ac:dyDescent="0.25">
      <c r="B949" s="405"/>
      <c r="C949" s="89">
        <v>1</v>
      </c>
      <c r="D949" s="203" t="s">
        <v>128</v>
      </c>
      <c r="E949" s="265"/>
      <c r="F949" s="265"/>
      <c r="G949" s="265"/>
      <c r="H949" s="161" t="str">
        <f t="shared" si="14"/>
        <v>GGD-1-ACCHA-1 PK</v>
      </c>
      <c r="I949" s="162" t="s">
        <v>339</v>
      </c>
      <c r="J949" s="164" t="s">
        <v>129</v>
      </c>
      <c r="K949" s="350" t="s">
        <v>359</v>
      </c>
      <c r="L949" s="166" t="s">
        <v>208</v>
      </c>
      <c r="M949" s="277">
        <v>0</v>
      </c>
      <c r="N949" s="41"/>
      <c r="O949" s="284"/>
      <c r="P949" s="105"/>
      <c r="Q949" s="57"/>
      <c r="R949" s="57"/>
      <c r="S949" s="57"/>
      <c r="T949" s="41"/>
      <c r="U949" s="41"/>
      <c r="V949" s="51"/>
    </row>
    <row r="950" spans="2:22" x14ac:dyDescent="0.25">
      <c r="B950" s="405"/>
      <c r="C950" s="89">
        <v>1</v>
      </c>
      <c r="D950" s="203" t="s">
        <v>128</v>
      </c>
      <c r="E950" s="265"/>
      <c r="F950" s="265"/>
      <c r="G950" s="265"/>
      <c r="H950" s="161" t="str">
        <f t="shared" si="14"/>
        <v>GGD-1-ACCHA-1,5 PK</v>
      </c>
      <c r="I950" s="162" t="s">
        <v>339</v>
      </c>
      <c r="J950" s="164" t="s">
        <v>130</v>
      </c>
      <c r="K950" s="350" t="s">
        <v>359</v>
      </c>
      <c r="L950" s="166" t="s">
        <v>208</v>
      </c>
      <c r="M950" s="277">
        <v>0</v>
      </c>
      <c r="N950" s="41"/>
      <c r="O950" s="284"/>
      <c r="P950" s="105"/>
      <c r="Q950" s="57"/>
      <c r="R950" s="57"/>
      <c r="S950" s="57"/>
      <c r="T950" s="41"/>
      <c r="U950" s="41"/>
      <c r="V950" s="51"/>
    </row>
    <row r="951" spans="2:22" x14ac:dyDescent="0.25">
      <c r="B951" s="405"/>
      <c r="C951" s="89">
        <v>1</v>
      </c>
      <c r="D951" s="203" t="s">
        <v>128</v>
      </c>
      <c r="E951" s="265"/>
      <c r="F951" s="265"/>
      <c r="G951" s="265"/>
      <c r="H951" s="161" t="str">
        <f t="shared" si="14"/>
        <v>GGD-1-ACCHA-2 PK</v>
      </c>
      <c r="I951" s="162" t="s">
        <v>339</v>
      </c>
      <c r="J951" s="165" t="s">
        <v>131</v>
      </c>
      <c r="K951" s="350" t="s">
        <v>359</v>
      </c>
      <c r="L951" s="166" t="s">
        <v>208</v>
      </c>
      <c r="M951" s="277">
        <v>0</v>
      </c>
      <c r="N951" s="41"/>
      <c r="O951" s="284"/>
      <c r="P951" s="105"/>
      <c r="Q951" s="57"/>
      <c r="R951" s="57"/>
      <c r="S951" s="57"/>
      <c r="T951" s="41"/>
      <c r="U951" s="41"/>
      <c r="V951" s="51"/>
    </row>
    <row r="952" spans="2:22" x14ac:dyDescent="0.25">
      <c r="B952" s="405"/>
      <c r="C952" s="89">
        <v>1</v>
      </c>
      <c r="D952" s="203" t="s">
        <v>128</v>
      </c>
      <c r="E952" s="265"/>
      <c r="F952" s="265"/>
      <c r="G952" s="265"/>
      <c r="H952" s="161" t="str">
        <f t="shared" si="14"/>
        <v>GGD-1-ACCHA-5 PK</v>
      </c>
      <c r="I952" s="162" t="s">
        <v>339</v>
      </c>
      <c r="J952" s="164" t="s">
        <v>132</v>
      </c>
      <c r="K952" s="350" t="s">
        <v>359</v>
      </c>
      <c r="L952" s="166" t="s">
        <v>208</v>
      </c>
      <c r="M952" s="277">
        <v>0</v>
      </c>
      <c r="N952" s="41"/>
      <c r="O952" s="284"/>
      <c r="P952" s="105"/>
      <c r="Q952" s="57"/>
      <c r="R952" s="57"/>
      <c r="S952" s="57"/>
      <c r="T952" s="41"/>
      <c r="U952" s="41"/>
      <c r="V952" s="51"/>
    </row>
    <row r="953" spans="2:22" x14ac:dyDescent="0.25">
      <c r="B953" s="405"/>
      <c r="C953" s="89">
        <v>1</v>
      </c>
      <c r="D953" s="203" t="s">
        <v>128</v>
      </c>
      <c r="E953" s="265"/>
      <c r="F953" s="265"/>
      <c r="G953" s="265"/>
      <c r="H953" s="161" t="str">
        <f t="shared" si="14"/>
        <v>GGD-1-ACGRE-1/2 PK</v>
      </c>
      <c r="I953" s="162" t="s">
        <v>135</v>
      </c>
      <c r="J953" s="166" t="s">
        <v>177</v>
      </c>
      <c r="K953" s="350" t="s">
        <v>359</v>
      </c>
      <c r="L953" s="166" t="s">
        <v>208</v>
      </c>
      <c r="M953" s="277">
        <v>0</v>
      </c>
      <c r="N953" s="41"/>
      <c r="O953" s="284"/>
      <c r="P953" s="105"/>
      <c r="Q953" s="57"/>
      <c r="R953" s="57"/>
      <c r="S953" s="57"/>
      <c r="T953" s="41"/>
      <c r="U953" s="41"/>
      <c r="V953" s="51"/>
    </row>
    <row r="954" spans="2:22" x14ac:dyDescent="0.25">
      <c r="B954" s="405"/>
      <c r="C954" s="89">
        <v>1</v>
      </c>
      <c r="D954" s="203" t="s">
        <v>128</v>
      </c>
      <c r="E954" s="265"/>
      <c r="F954" s="265"/>
      <c r="G954" s="265"/>
      <c r="H954" s="161" t="str">
        <f t="shared" si="14"/>
        <v>GGD-1-ACGRE-3/4 PK</v>
      </c>
      <c r="I954" s="162" t="s">
        <v>135</v>
      </c>
      <c r="J954" s="163" t="s">
        <v>217</v>
      </c>
      <c r="K954" s="350" t="s">
        <v>359</v>
      </c>
      <c r="L954" s="166" t="s">
        <v>208</v>
      </c>
      <c r="M954" s="277">
        <v>0</v>
      </c>
      <c r="N954" s="41"/>
      <c r="O954" s="284"/>
      <c r="P954" s="105"/>
      <c r="Q954" s="57"/>
      <c r="R954" s="57"/>
      <c r="S954" s="57"/>
      <c r="T954" s="41"/>
      <c r="U954" s="41"/>
      <c r="V954" s="51"/>
    </row>
    <row r="955" spans="2:22" x14ac:dyDescent="0.25">
      <c r="B955" s="405"/>
      <c r="C955" s="89">
        <v>1</v>
      </c>
      <c r="D955" s="203" t="s">
        <v>128</v>
      </c>
      <c r="E955" s="265"/>
      <c r="F955" s="265"/>
      <c r="G955" s="265"/>
      <c r="H955" s="161" t="str">
        <f t="shared" si="14"/>
        <v>GGD-1-ACGRE-1 PK</v>
      </c>
      <c r="I955" s="162" t="s">
        <v>135</v>
      </c>
      <c r="J955" s="164" t="s">
        <v>129</v>
      </c>
      <c r="K955" s="350" t="s">
        <v>359</v>
      </c>
      <c r="L955" s="166" t="s">
        <v>208</v>
      </c>
      <c r="M955" s="277">
        <v>0</v>
      </c>
      <c r="N955" s="41"/>
      <c r="O955" s="284"/>
      <c r="P955" s="105"/>
      <c r="Q955" s="57"/>
      <c r="R955" s="57"/>
      <c r="S955" s="57"/>
      <c r="T955" s="41"/>
      <c r="U955" s="41"/>
      <c r="V955" s="51"/>
    </row>
    <row r="956" spans="2:22" x14ac:dyDescent="0.25">
      <c r="B956" s="405"/>
      <c r="C956" s="89">
        <v>1</v>
      </c>
      <c r="D956" s="203" t="s">
        <v>128</v>
      </c>
      <c r="E956" s="265"/>
      <c r="F956" s="265"/>
      <c r="G956" s="265"/>
      <c r="H956" s="161" t="str">
        <f t="shared" si="14"/>
        <v>GGD-1-ACGRE-1,5 PK</v>
      </c>
      <c r="I956" s="162" t="s">
        <v>135</v>
      </c>
      <c r="J956" s="164" t="s">
        <v>130</v>
      </c>
      <c r="K956" s="350" t="s">
        <v>359</v>
      </c>
      <c r="L956" s="166" t="s">
        <v>208</v>
      </c>
      <c r="M956" s="277">
        <v>0</v>
      </c>
      <c r="N956" s="41"/>
      <c r="O956" s="284"/>
      <c r="P956" s="105"/>
      <c r="Q956" s="57"/>
      <c r="R956" s="57"/>
      <c r="S956" s="57"/>
      <c r="T956" s="41"/>
      <c r="U956" s="41"/>
      <c r="V956" s="51"/>
    </row>
    <row r="957" spans="2:22" x14ac:dyDescent="0.25">
      <c r="B957" s="405"/>
      <c r="C957" s="89">
        <v>1</v>
      </c>
      <c r="D957" s="203" t="s">
        <v>128</v>
      </c>
      <c r="E957" s="265"/>
      <c r="F957" s="265"/>
      <c r="G957" s="265"/>
      <c r="H957" s="161" t="str">
        <f t="shared" si="14"/>
        <v>GGD-1-ACGRE-2 PK</v>
      </c>
      <c r="I957" s="162" t="s">
        <v>135</v>
      </c>
      <c r="J957" s="165" t="s">
        <v>131</v>
      </c>
      <c r="K957" s="350" t="s">
        <v>359</v>
      </c>
      <c r="L957" s="166" t="s">
        <v>208</v>
      </c>
      <c r="M957" s="277">
        <v>0</v>
      </c>
      <c r="N957" s="41"/>
      <c r="O957" s="284"/>
      <c r="P957" s="105"/>
      <c r="Q957" s="57"/>
      <c r="R957" s="57"/>
      <c r="S957" s="57"/>
      <c r="T957" s="41"/>
      <c r="U957" s="41"/>
      <c r="V957" s="51"/>
    </row>
    <row r="958" spans="2:22" x14ac:dyDescent="0.25">
      <c r="B958" s="405"/>
      <c r="C958" s="89">
        <v>1</v>
      </c>
      <c r="D958" s="203" t="s">
        <v>128</v>
      </c>
      <c r="E958" s="265"/>
      <c r="F958" s="265"/>
      <c r="G958" s="265"/>
      <c r="H958" s="161" t="str">
        <f t="shared" si="14"/>
        <v>GGD-1-ACGRE-5 PK</v>
      </c>
      <c r="I958" s="162" t="s">
        <v>135</v>
      </c>
      <c r="J958" s="164" t="s">
        <v>132</v>
      </c>
      <c r="K958" s="350" t="s">
        <v>359</v>
      </c>
      <c r="L958" s="166" t="s">
        <v>208</v>
      </c>
      <c r="M958" s="277">
        <v>0</v>
      </c>
      <c r="N958" s="41"/>
      <c r="O958" s="284"/>
      <c r="P958" s="105"/>
      <c r="Q958" s="57"/>
      <c r="R958" s="57"/>
      <c r="S958" s="57"/>
      <c r="T958" s="41"/>
      <c r="U958" s="41"/>
      <c r="V958" s="51"/>
    </row>
    <row r="959" spans="2:22" x14ac:dyDescent="0.25">
      <c r="B959" s="405"/>
      <c r="C959" s="89">
        <v>1</v>
      </c>
      <c r="D959" s="203" t="s">
        <v>128</v>
      </c>
      <c r="E959" s="265"/>
      <c r="F959" s="265"/>
      <c r="G959" s="265"/>
      <c r="H959" s="161" t="str">
        <f t="shared" si="14"/>
        <v>GGD-1-ACSAN-1/2 PK</v>
      </c>
      <c r="I959" s="162" t="s">
        <v>136</v>
      </c>
      <c r="J959" s="166" t="s">
        <v>177</v>
      </c>
      <c r="K959" s="350" t="s">
        <v>359</v>
      </c>
      <c r="L959" s="166" t="s">
        <v>208</v>
      </c>
      <c r="M959" s="277">
        <v>0</v>
      </c>
      <c r="N959" s="41"/>
      <c r="O959" s="284"/>
      <c r="P959" s="105"/>
      <c r="Q959" s="57"/>
      <c r="R959" s="57"/>
      <c r="S959" s="57"/>
      <c r="T959" s="41"/>
      <c r="U959" s="41"/>
      <c r="V959" s="51"/>
    </row>
    <row r="960" spans="2:22" x14ac:dyDescent="0.25">
      <c r="B960" s="405"/>
      <c r="C960" s="89">
        <v>1</v>
      </c>
      <c r="D960" s="203" t="s">
        <v>128</v>
      </c>
      <c r="E960" s="265"/>
      <c r="F960" s="265"/>
      <c r="G960" s="265"/>
      <c r="H960" s="161" t="str">
        <f t="shared" si="14"/>
        <v>GGD-1-ACSAN-3/4 PK</v>
      </c>
      <c r="I960" s="162" t="s">
        <v>136</v>
      </c>
      <c r="J960" s="163" t="s">
        <v>217</v>
      </c>
      <c r="K960" s="350" t="s">
        <v>359</v>
      </c>
      <c r="L960" s="166" t="s">
        <v>208</v>
      </c>
      <c r="M960" s="277">
        <v>0</v>
      </c>
      <c r="N960" s="41"/>
      <c r="O960" s="284"/>
      <c r="P960" s="105"/>
      <c r="Q960" s="57"/>
      <c r="R960" s="57"/>
      <c r="S960" s="57"/>
      <c r="T960" s="41"/>
      <c r="U960" s="41"/>
      <c r="V960" s="51"/>
    </row>
    <row r="961" spans="2:22" x14ac:dyDescent="0.25">
      <c r="B961" s="405"/>
      <c r="C961" s="89">
        <v>1</v>
      </c>
      <c r="D961" s="203" t="s">
        <v>128</v>
      </c>
      <c r="E961" s="265"/>
      <c r="F961" s="265"/>
      <c r="G961" s="265"/>
      <c r="H961" s="161" t="str">
        <f t="shared" si="14"/>
        <v>GGD-1-ACSAN-1 PK</v>
      </c>
      <c r="I961" s="162" t="s">
        <v>136</v>
      </c>
      <c r="J961" s="164" t="s">
        <v>129</v>
      </c>
      <c r="K961" s="350" t="s">
        <v>359</v>
      </c>
      <c r="L961" s="166" t="s">
        <v>208</v>
      </c>
      <c r="M961" s="277">
        <v>0</v>
      </c>
      <c r="N961" s="41"/>
      <c r="O961" s="284"/>
      <c r="P961" s="105"/>
      <c r="Q961" s="57"/>
      <c r="R961" s="57"/>
      <c r="S961" s="57"/>
      <c r="T961" s="41"/>
      <c r="U961" s="41"/>
      <c r="V961" s="51"/>
    </row>
    <row r="962" spans="2:22" x14ac:dyDescent="0.25">
      <c r="B962" s="405"/>
      <c r="C962" s="89">
        <v>1</v>
      </c>
      <c r="D962" s="203" t="s">
        <v>128</v>
      </c>
      <c r="E962" s="265"/>
      <c r="F962" s="265"/>
      <c r="G962" s="265"/>
      <c r="H962" s="161" t="str">
        <f t="shared" si="14"/>
        <v>GGD-1-ACSAN-1,5 PK</v>
      </c>
      <c r="I962" s="162" t="s">
        <v>136</v>
      </c>
      <c r="J962" s="164" t="s">
        <v>130</v>
      </c>
      <c r="K962" s="350" t="s">
        <v>359</v>
      </c>
      <c r="L962" s="166" t="s">
        <v>208</v>
      </c>
      <c r="M962" s="277">
        <v>0</v>
      </c>
      <c r="N962" s="41"/>
      <c r="O962" s="284"/>
      <c r="P962" s="105"/>
      <c r="Q962" s="57"/>
      <c r="R962" s="57"/>
      <c r="S962" s="57"/>
      <c r="T962" s="41"/>
      <c r="U962" s="41"/>
      <c r="V962" s="51"/>
    </row>
    <row r="963" spans="2:22" x14ac:dyDescent="0.25">
      <c r="B963" s="405"/>
      <c r="C963" s="89">
        <v>1</v>
      </c>
      <c r="D963" s="203" t="s">
        <v>128</v>
      </c>
      <c r="E963" s="265"/>
      <c r="F963" s="265"/>
      <c r="G963" s="265"/>
      <c r="H963" s="161" t="str">
        <f t="shared" si="14"/>
        <v>GGD-1-ACSAN-2 PK</v>
      </c>
      <c r="I963" s="162" t="s">
        <v>136</v>
      </c>
      <c r="J963" s="165" t="s">
        <v>131</v>
      </c>
      <c r="K963" s="350" t="s">
        <v>359</v>
      </c>
      <c r="L963" s="166" t="s">
        <v>208</v>
      </c>
      <c r="M963" s="277">
        <v>0</v>
      </c>
      <c r="N963" s="41"/>
      <c r="O963" s="284"/>
      <c r="P963" s="105"/>
      <c r="Q963" s="57"/>
      <c r="R963" s="57"/>
      <c r="S963" s="57"/>
      <c r="T963" s="41"/>
      <c r="U963" s="41"/>
      <c r="V963" s="51"/>
    </row>
    <row r="964" spans="2:22" x14ac:dyDescent="0.25">
      <c r="B964" s="405"/>
      <c r="C964" s="89">
        <v>1</v>
      </c>
      <c r="D964" s="203" t="s">
        <v>128</v>
      </c>
      <c r="E964" s="265"/>
      <c r="F964" s="265"/>
      <c r="G964" s="265"/>
      <c r="H964" s="161" t="str">
        <f t="shared" si="14"/>
        <v>GGD-1-ACSAN-5 PK</v>
      </c>
      <c r="I964" s="162" t="s">
        <v>136</v>
      </c>
      <c r="J964" s="164" t="s">
        <v>132</v>
      </c>
      <c r="K964" s="350" t="s">
        <v>359</v>
      </c>
      <c r="L964" s="166" t="s">
        <v>208</v>
      </c>
      <c r="M964" s="277">
        <v>0</v>
      </c>
      <c r="N964" s="41"/>
      <c r="O964" s="284"/>
      <c r="P964" s="105"/>
      <c r="Q964" s="57"/>
      <c r="R964" s="57"/>
      <c r="S964" s="57"/>
      <c r="T964" s="41"/>
      <c r="U964" s="41"/>
      <c r="V964" s="51"/>
    </row>
    <row r="965" spans="2:22" x14ac:dyDescent="0.25">
      <c r="B965" s="405"/>
      <c r="C965" s="89">
        <v>1</v>
      </c>
      <c r="D965" s="203" t="s">
        <v>128</v>
      </c>
      <c r="E965" s="265"/>
      <c r="F965" s="265"/>
      <c r="G965" s="265"/>
      <c r="H965" s="161" t="str">
        <f t="shared" si="14"/>
        <v>GGD-1-ACDAI-1/2 PK</v>
      </c>
      <c r="I965" s="162" t="s">
        <v>137</v>
      </c>
      <c r="J965" s="166" t="s">
        <v>177</v>
      </c>
      <c r="K965" s="350" t="s">
        <v>359</v>
      </c>
      <c r="L965" s="166" t="s">
        <v>208</v>
      </c>
      <c r="M965" s="277">
        <v>0</v>
      </c>
      <c r="N965" s="41"/>
      <c r="O965" s="284"/>
      <c r="P965" s="105"/>
      <c r="Q965" s="57"/>
      <c r="R965" s="57"/>
      <c r="S965" s="57"/>
      <c r="T965" s="41"/>
      <c r="U965" s="41"/>
      <c r="V965" s="51"/>
    </row>
    <row r="966" spans="2:22" x14ac:dyDescent="0.25">
      <c r="B966" s="405"/>
      <c r="C966" s="89">
        <v>1</v>
      </c>
      <c r="D966" s="203" t="s">
        <v>128</v>
      </c>
      <c r="E966" s="265"/>
      <c r="F966" s="265"/>
      <c r="G966" s="265"/>
      <c r="H966" s="161" t="str">
        <f t="shared" si="14"/>
        <v>GGD-1-ACDAI-3/4 PK</v>
      </c>
      <c r="I966" s="162" t="s">
        <v>137</v>
      </c>
      <c r="J966" s="163" t="s">
        <v>217</v>
      </c>
      <c r="K966" s="350" t="s">
        <v>359</v>
      </c>
      <c r="L966" s="166" t="s">
        <v>208</v>
      </c>
      <c r="M966" s="277">
        <v>0</v>
      </c>
      <c r="N966" s="41"/>
      <c r="O966" s="284"/>
      <c r="P966" s="105"/>
      <c r="Q966" s="57"/>
      <c r="R966" s="57"/>
      <c r="S966" s="57"/>
      <c r="T966" s="41"/>
      <c r="U966" s="41"/>
      <c r="V966" s="51"/>
    </row>
    <row r="967" spans="2:22" x14ac:dyDescent="0.25">
      <c r="B967" s="405"/>
      <c r="C967" s="89">
        <v>1</v>
      </c>
      <c r="D967" s="203" t="s">
        <v>128</v>
      </c>
      <c r="E967" s="265"/>
      <c r="F967" s="265"/>
      <c r="G967" s="265"/>
      <c r="H967" s="161" t="str">
        <f t="shared" si="14"/>
        <v>GGD-1-ACDAI-1 PK</v>
      </c>
      <c r="I967" s="162" t="s">
        <v>137</v>
      </c>
      <c r="J967" s="164" t="s">
        <v>129</v>
      </c>
      <c r="K967" s="350" t="s">
        <v>359</v>
      </c>
      <c r="L967" s="166" t="s">
        <v>208</v>
      </c>
      <c r="M967" s="277">
        <v>0</v>
      </c>
      <c r="N967" s="41"/>
      <c r="O967" s="284"/>
      <c r="P967" s="105"/>
      <c r="Q967" s="57"/>
      <c r="R967" s="57"/>
      <c r="S967" s="57"/>
      <c r="T967" s="41"/>
      <c r="U967" s="41"/>
      <c r="V967" s="51"/>
    </row>
    <row r="968" spans="2:22" x14ac:dyDescent="0.25">
      <c r="B968" s="405"/>
      <c r="C968" s="89">
        <v>1</v>
      </c>
      <c r="D968" s="203" t="s">
        <v>128</v>
      </c>
      <c r="E968" s="265"/>
      <c r="F968" s="265"/>
      <c r="G968" s="265"/>
      <c r="H968" s="161" t="str">
        <f t="shared" si="14"/>
        <v>GGD-1-ACDAI-1,5 PK</v>
      </c>
      <c r="I968" s="162" t="s">
        <v>137</v>
      </c>
      <c r="J968" s="164" t="s">
        <v>130</v>
      </c>
      <c r="K968" s="350" t="s">
        <v>359</v>
      </c>
      <c r="L968" s="166" t="s">
        <v>208</v>
      </c>
      <c r="M968" s="277">
        <v>0</v>
      </c>
      <c r="N968" s="41"/>
      <c r="O968" s="284"/>
      <c r="P968" s="105"/>
      <c r="Q968" s="57"/>
      <c r="R968" s="57"/>
      <c r="S968" s="57"/>
      <c r="T968" s="41"/>
      <c r="U968" s="41"/>
      <c r="V968" s="51"/>
    </row>
    <row r="969" spans="2:22" x14ac:dyDescent="0.25">
      <c r="B969" s="405"/>
      <c r="C969" s="89">
        <v>1</v>
      </c>
      <c r="D969" s="203" t="s">
        <v>128</v>
      </c>
      <c r="E969" s="265"/>
      <c r="F969" s="265"/>
      <c r="G969" s="265"/>
      <c r="H969" s="161" t="str">
        <f t="shared" si="14"/>
        <v>GGD-1-ACDAI-2 PK</v>
      </c>
      <c r="I969" s="162" t="s">
        <v>137</v>
      </c>
      <c r="J969" s="164" t="s">
        <v>131</v>
      </c>
      <c r="K969" s="350" t="s">
        <v>359</v>
      </c>
      <c r="L969" s="166" t="s">
        <v>208</v>
      </c>
      <c r="M969" s="277">
        <v>0</v>
      </c>
      <c r="N969" s="41"/>
      <c r="O969" s="284"/>
      <c r="P969" s="105"/>
      <c r="Q969" s="57"/>
      <c r="R969" s="57"/>
      <c r="S969" s="57"/>
      <c r="T969" s="41"/>
      <c r="U969" s="41"/>
      <c r="V969" s="51"/>
    </row>
    <row r="970" spans="2:22" x14ac:dyDescent="0.25">
      <c r="B970" s="405"/>
      <c r="C970" s="89">
        <v>1</v>
      </c>
      <c r="D970" s="203" t="s">
        <v>128</v>
      </c>
      <c r="E970" s="265"/>
      <c r="F970" s="265"/>
      <c r="G970" s="265"/>
      <c r="H970" s="161" t="str">
        <f t="shared" si="14"/>
        <v>GGD-1-ACDAI-5 PK</v>
      </c>
      <c r="I970" s="162" t="s">
        <v>137</v>
      </c>
      <c r="J970" s="164" t="s">
        <v>132</v>
      </c>
      <c r="K970" s="350" t="s">
        <v>359</v>
      </c>
      <c r="L970" s="166" t="s">
        <v>208</v>
      </c>
      <c r="M970" s="277">
        <v>0</v>
      </c>
      <c r="N970" s="41"/>
      <c r="O970" s="284"/>
      <c r="P970" s="105"/>
      <c r="Q970" s="57"/>
      <c r="R970" s="57"/>
      <c r="S970" s="57"/>
      <c r="T970" s="41"/>
      <c r="U970" s="41"/>
      <c r="V970" s="51"/>
    </row>
    <row r="971" spans="2:22" x14ac:dyDescent="0.25">
      <c r="B971" s="405"/>
      <c r="C971" s="89">
        <v>1</v>
      </c>
      <c r="D971" s="203" t="s">
        <v>128</v>
      </c>
      <c r="E971" s="265"/>
      <c r="F971" s="265"/>
      <c r="G971" s="265"/>
      <c r="H971" s="161" t="str">
        <f t="shared" si="14"/>
        <v>GGD-1-ACSAM-1/2 PK</v>
      </c>
      <c r="I971" s="162" t="s">
        <v>221</v>
      </c>
      <c r="J971" s="166" t="s">
        <v>177</v>
      </c>
      <c r="K971" s="350" t="s">
        <v>359</v>
      </c>
      <c r="L971" s="166" t="s">
        <v>208</v>
      </c>
      <c r="M971" s="277">
        <v>0</v>
      </c>
      <c r="N971" s="41"/>
      <c r="O971" s="284"/>
      <c r="P971" s="105"/>
      <c r="Q971" s="57"/>
      <c r="R971" s="57"/>
      <c r="S971" s="57"/>
      <c r="T971" s="41"/>
      <c r="U971" s="41"/>
      <c r="V971" s="51"/>
    </row>
    <row r="972" spans="2:22" x14ac:dyDescent="0.25">
      <c r="B972" s="405"/>
      <c r="C972" s="89">
        <v>1</v>
      </c>
      <c r="D972" s="203" t="s">
        <v>128</v>
      </c>
      <c r="E972" s="265"/>
      <c r="F972" s="265"/>
      <c r="G972" s="265"/>
      <c r="H972" s="161" t="str">
        <f t="shared" si="14"/>
        <v>GGD-1-ACSAM-3/4 PK</v>
      </c>
      <c r="I972" s="162" t="s">
        <v>221</v>
      </c>
      <c r="J972" s="163" t="s">
        <v>217</v>
      </c>
      <c r="K972" s="350" t="s">
        <v>359</v>
      </c>
      <c r="L972" s="166" t="s">
        <v>208</v>
      </c>
      <c r="M972" s="277">
        <v>0</v>
      </c>
      <c r="N972" s="41"/>
      <c r="O972" s="284"/>
      <c r="P972" s="105"/>
      <c r="Q972" s="57"/>
      <c r="R972" s="57"/>
      <c r="S972" s="57"/>
      <c r="T972" s="41"/>
      <c r="U972" s="41"/>
      <c r="V972" s="51"/>
    </row>
    <row r="973" spans="2:22" x14ac:dyDescent="0.25">
      <c r="B973" s="405"/>
      <c r="C973" s="89">
        <v>1</v>
      </c>
      <c r="D973" s="203" t="s">
        <v>128</v>
      </c>
      <c r="E973" s="265"/>
      <c r="F973" s="265"/>
      <c r="G973" s="265"/>
      <c r="H973" s="161" t="str">
        <f t="shared" si="14"/>
        <v>GGD-1-ACSAM-1 PK</v>
      </c>
      <c r="I973" s="162" t="s">
        <v>221</v>
      </c>
      <c r="J973" s="164" t="s">
        <v>129</v>
      </c>
      <c r="K973" s="350" t="s">
        <v>359</v>
      </c>
      <c r="L973" s="166" t="s">
        <v>208</v>
      </c>
      <c r="M973" s="277">
        <v>0</v>
      </c>
      <c r="N973" s="41"/>
      <c r="O973" s="284"/>
      <c r="P973" s="105"/>
      <c r="Q973" s="57"/>
      <c r="R973" s="57"/>
      <c r="S973" s="57"/>
      <c r="T973" s="41"/>
      <c r="U973" s="41"/>
      <c r="V973" s="51"/>
    </row>
    <row r="974" spans="2:22" x14ac:dyDescent="0.25">
      <c r="B974" s="405"/>
      <c r="C974" s="89">
        <v>1</v>
      </c>
      <c r="D974" s="203" t="s">
        <v>128</v>
      </c>
      <c r="E974" s="265"/>
      <c r="F974" s="265"/>
      <c r="G974" s="265"/>
      <c r="H974" s="161" t="str">
        <f t="shared" si="14"/>
        <v>GGD-1-ACSAM-1,5 PK</v>
      </c>
      <c r="I974" s="162" t="s">
        <v>221</v>
      </c>
      <c r="J974" s="164" t="s">
        <v>130</v>
      </c>
      <c r="K974" s="350" t="s">
        <v>359</v>
      </c>
      <c r="L974" s="166" t="s">
        <v>208</v>
      </c>
      <c r="M974" s="277">
        <v>0</v>
      </c>
      <c r="N974" s="41"/>
      <c r="O974" s="284"/>
      <c r="P974" s="105"/>
      <c r="Q974" s="57"/>
      <c r="R974" s="57"/>
      <c r="S974" s="57"/>
      <c r="T974" s="41"/>
      <c r="U974" s="41"/>
      <c r="V974" s="51"/>
    </row>
    <row r="975" spans="2:22" x14ac:dyDescent="0.25">
      <c r="B975" s="405"/>
      <c r="C975" s="89">
        <v>1</v>
      </c>
      <c r="D975" s="203" t="s">
        <v>128</v>
      </c>
      <c r="E975" s="265"/>
      <c r="F975" s="265"/>
      <c r="G975" s="265"/>
      <c r="H975" s="161" t="str">
        <f t="shared" si="14"/>
        <v>GGD-1-ACSAM-2 PK</v>
      </c>
      <c r="I975" s="162" t="s">
        <v>221</v>
      </c>
      <c r="J975" s="164" t="s">
        <v>131</v>
      </c>
      <c r="K975" s="350" t="s">
        <v>359</v>
      </c>
      <c r="L975" s="166" t="s">
        <v>208</v>
      </c>
      <c r="M975" s="277">
        <v>0</v>
      </c>
      <c r="N975" s="41"/>
      <c r="O975" s="284"/>
      <c r="P975" s="105"/>
      <c r="Q975" s="57"/>
      <c r="R975" s="57"/>
      <c r="S975" s="57"/>
      <c r="T975" s="41"/>
      <c r="U975" s="41"/>
      <c r="V975" s="51"/>
    </row>
    <row r="976" spans="2:22" x14ac:dyDescent="0.25">
      <c r="B976" s="405"/>
      <c r="C976" s="89">
        <v>1</v>
      </c>
      <c r="D976" s="203" t="s">
        <v>128</v>
      </c>
      <c r="E976" s="265"/>
      <c r="F976" s="265"/>
      <c r="G976" s="265"/>
      <c r="H976" s="161" t="str">
        <f t="shared" si="14"/>
        <v>GGD-1-ACSAM-5 PK</v>
      </c>
      <c r="I976" s="162" t="s">
        <v>221</v>
      </c>
      <c r="J976" s="164" t="s">
        <v>132</v>
      </c>
      <c r="K976" s="350" t="s">
        <v>359</v>
      </c>
      <c r="L976" s="166" t="s">
        <v>208</v>
      </c>
      <c r="M976" s="277">
        <v>0</v>
      </c>
      <c r="N976" s="41"/>
      <c r="O976" s="284"/>
      <c r="P976" s="105"/>
      <c r="Q976" s="57"/>
      <c r="R976" s="57"/>
      <c r="S976" s="57"/>
      <c r="T976" s="41"/>
      <c r="U976" s="41"/>
      <c r="V976" s="51"/>
    </row>
    <row r="977" spans="2:22" x14ac:dyDescent="0.25">
      <c r="B977" s="405"/>
      <c r="C977" s="89">
        <v>1</v>
      </c>
      <c r="D977" s="203" t="s">
        <v>297</v>
      </c>
      <c r="E977" s="265"/>
      <c r="F977" s="265"/>
      <c r="G977" s="265"/>
      <c r="H977" s="161" t="str">
        <f>CONCATENATE(L977,"-",C977,"-",LEFT(D977,3),LEFT(I977,3),"-",LEFT(J977,3))</f>
        <v>GGD-1-VERBLI-SMA</v>
      </c>
      <c r="I977" s="162" t="s">
        <v>224</v>
      </c>
      <c r="J977" s="164" t="s">
        <v>138</v>
      </c>
      <c r="K977" s="350" t="s">
        <v>359</v>
      </c>
      <c r="L977" s="166" t="s">
        <v>208</v>
      </c>
      <c r="M977" s="277">
        <f>'[4]FORM ASET'!$F$67</f>
        <v>0</v>
      </c>
      <c r="N977" s="41"/>
      <c r="O977" s="284"/>
      <c r="P977" s="105"/>
      <c r="Q977" s="57"/>
      <c r="R977" s="57"/>
      <c r="S977" s="57"/>
      <c r="T977" s="41"/>
      <c r="U977" s="41"/>
      <c r="V977" s="51"/>
    </row>
    <row r="978" spans="2:22" x14ac:dyDescent="0.25">
      <c r="B978" s="405"/>
      <c r="C978" s="89">
        <v>1</v>
      </c>
      <c r="D978" s="203" t="s">
        <v>297</v>
      </c>
      <c r="E978" s="265"/>
      <c r="F978" s="265"/>
      <c r="G978" s="265"/>
      <c r="H978" s="161" t="str">
        <f>CONCATENATE(L978,"-",C978,"-",LEFT(D978,3),LEFT(I978,3),"-",LEFT(J978,3),"-",1)</f>
        <v>GGD-1-VERBLI-LAR-1</v>
      </c>
      <c r="I978" s="162" t="s">
        <v>224</v>
      </c>
      <c r="J978" s="164" t="s">
        <v>139</v>
      </c>
      <c r="K978" s="170" t="s">
        <v>354</v>
      </c>
      <c r="L978" s="166" t="s">
        <v>208</v>
      </c>
      <c r="M978" s="431">
        <f>'[4]FORM ASET'!$F$66</f>
        <v>8</v>
      </c>
      <c r="N978" s="41"/>
      <c r="O978" s="284"/>
      <c r="P978" s="105"/>
      <c r="Q978" s="57"/>
      <c r="R978" s="57"/>
      <c r="S978" s="57"/>
      <c r="T978" s="41"/>
      <c r="U978" s="41"/>
      <c r="V978" s="51"/>
    </row>
    <row r="979" spans="2:22" x14ac:dyDescent="0.25">
      <c r="B979" s="405"/>
      <c r="C979" s="89">
        <v>1</v>
      </c>
      <c r="D979" s="203" t="s">
        <v>297</v>
      </c>
      <c r="E979" s="265"/>
      <c r="F979" s="265"/>
      <c r="G979" s="265"/>
      <c r="H979" s="161" t="str">
        <f>CONCATENATE(L979,"-",C979,"-",LEFT(D979,3),LEFT(I979,3),"-",LEFT(J979,3),"-",2)</f>
        <v>GGD-1-VERBLI-LAR-2</v>
      </c>
      <c r="I979" s="162" t="s">
        <v>224</v>
      </c>
      <c r="J979" s="164" t="s">
        <v>139</v>
      </c>
      <c r="K979" s="170" t="s">
        <v>354</v>
      </c>
      <c r="L979" s="166" t="s">
        <v>208</v>
      </c>
      <c r="M979" s="432"/>
      <c r="N979" s="41"/>
      <c r="O979" s="284"/>
      <c r="P979" s="105"/>
      <c r="Q979" s="57"/>
      <c r="R979" s="57"/>
      <c r="S979" s="57"/>
      <c r="T979" s="41"/>
      <c r="U979" s="41"/>
      <c r="V979" s="51"/>
    </row>
    <row r="980" spans="2:22" x14ac:dyDescent="0.25">
      <c r="B980" s="405"/>
      <c r="C980" s="89">
        <v>1</v>
      </c>
      <c r="D980" s="203" t="s">
        <v>297</v>
      </c>
      <c r="E980" s="265"/>
      <c r="F980" s="265"/>
      <c r="G980" s="265"/>
      <c r="H980" s="161" t="str">
        <f>CONCATENATE(L980,"-",C980,"-",LEFT(D980,3),LEFT(I980,3),"-",LEFT(J980,3),"-",3)</f>
        <v>GGD-1-VERBLI-LAR-3</v>
      </c>
      <c r="I980" s="162" t="s">
        <v>224</v>
      </c>
      <c r="J980" s="164" t="s">
        <v>139</v>
      </c>
      <c r="K980" s="170" t="s">
        <v>354</v>
      </c>
      <c r="L980" s="166" t="s">
        <v>208</v>
      </c>
      <c r="M980" s="432"/>
      <c r="N980" s="41"/>
      <c r="O980" s="284"/>
      <c r="P980" s="105"/>
      <c r="Q980" s="57"/>
      <c r="R980" s="57"/>
      <c r="S980" s="57"/>
      <c r="T980" s="41"/>
      <c r="U980" s="41"/>
      <c r="V980" s="51"/>
    </row>
    <row r="981" spans="2:22" x14ac:dyDescent="0.25">
      <c r="B981" s="405"/>
      <c r="C981" s="89">
        <v>1</v>
      </c>
      <c r="D981" s="203" t="s">
        <v>297</v>
      </c>
      <c r="E981" s="265"/>
      <c r="F981" s="265"/>
      <c r="G981" s="265"/>
      <c r="H981" s="161" t="str">
        <f>CONCATENATE(L981,"-",C981,"-",LEFT(D981,3),LEFT(I981,3),"-",LEFT(J981,3),"-",4)</f>
        <v>GGD-1-VERBLI-LAR-4</v>
      </c>
      <c r="I981" s="162" t="s">
        <v>224</v>
      </c>
      <c r="J981" s="164" t="s">
        <v>139</v>
      </c>
      <c r="K981" s="170" t="s">
        <v>354</v>
      </c>
      <c r="L981" s="166" t="s">
        <v>208</v>
      </c>
      <c r="M981" s="432"/>
      <c r="N981" s="41"/>
      <c r="O981" s="284"/>
      <c r="P981" s="105"/>
      <c r="Q981" s="57"/>
      <c r="R981" s="57"/>
      <c r="S981" s="57"/>
      <c r="T981" s="41"/>
      <c r="U981" s="41"/>
      <c r="V981" s="51"/>
    </row>
    <row r="982" spans="2:22" x14ac:dyDescent="0.25">
      <c r="B982" s="405"/>
      <c r="C982" s="89">
        <v>1</v>
      </c>
      <c r="D982" s="203" t="s">
        <v>297</v>
      </c>
      <c r="E982" s="265"/>
      <c r="F982" s="265"/>
      <c r="G982" s="265"/>
      <c r="H982" s="161" t="str">
        <f>CONCATENATE(L982,"-",C982,"-",LEFT(D982,3),LEFT(I982,3),"-",LEFT(J982,3),"-",5)</f>
        <v>GGD-1-VERBLI-LAR-5</v>
      </c>
      <c r="I982" s="162" t="s">
        <v>224</v>
      </c>
      <c r="J982" s="164" t="s">
        <v>139</v>
      </c>
      <c r="K982" s="170" t="s">
        <v>354</v>
      </c>
      <c r="L982" s="166" t="s">
        <v>208</v>
      </c>
      <c r="M982" s="432"/>
      <c r="N982" s="41"/>
      <c r="O982" s="284"/>
      <c r="P982" s="105"/>
      <c r="Q982" s="57"/>
      <c r="R982" s="57"/>
      <c r="S982" s="57"/>
      <c r="T982" s="41"/>
      <c r="U982" s="41"/>
      <c r="V982" s="51"/>
    </row>
    <row r="983" spans="2:22" x14ac:dyDescent="0.25">
      <c r="B983" s="405"/>
      <c r="C983" s="89">
        <v>1</v>
      </c>
      <c r="D983" s="203" t="s">
        <v>297</v>
      </c>
      <c r="E983" s="265"/>
      <c r="F983" s="265"/>
      <c r="G983" s="265"/>
      <c r="H983" s="161" t="str">
        <f>CONCATENATE(L983,"-",C983,"-",LEFT(D983,3),LEFT(I983,3),"-",LEFT(J983,3),"-",6)</f>
        <v>GGD-1-VERBLI-LAR-6</v>
      </c>
      <c r="I983" s="162" t="s">
        <v>224</v>
      </c>
      <c r="J983" s="164" t="s">
        <v>139</v>
      </c>
      <c r="K983" s="170" t="s">
        <v>355</v>
      </c>
      <c r="L983" s="166" t="s">
        <v>208</v>
      </c>
      <c r="M983" s="432"/>
      <c r="N983" s="41"/>
      <c r="O983" s="284"/>
      <c r="P983" s="105"/>
      <c r="Q983" s="57"/>
      <c r="R983" s="57"/>
      <c r="S983" s="57"/>
      <c r="T983" s="41"/>
      <c r="U983" s="41"/>
      <c r="V983" s="51"/>
    </row>
    <row r="984" spans="2:22" x14ac:dyDescent="0.25">
      <c r="B984" s="405"/>
      <c r="C984" s="89">
        <v>1</v>
      </c>
      <c r="D984" s="203" t="s">
        <v>297</v>
      </c>
      <c r="E984" s="265"/>
      <c r="F984" s="265"/>
      <c r="G984" s="265"/>
      <c r="H984" s="161" t="str">
        <f>CONCATENATE(L984,"-",C984,"-",LEFT(D984,3),LEFT(I984,3),"-",LEFT(J984,3),"-",7)</f>
        <v>GGD-1-VERBLI-LAR-7</v>
      </c>
      <c r="I984" s="162" t="s">
        <v>224</v>
      </c>
      <c r="J984" s="164" t="s">
        <v>139</v>
      </c>
      <c r="K984" s="170" t="s">
        <v>355</v>
      </c>
      <c r="L984" s="166" t="s">
        <v>208</v>
      </c>
      <c r="M984" s="432"/>
      <c r="N984" s="41"/>
      <c r="O984" s="284"/>
      <c r="P984" s="105"/>
      <c r="Q984" s="57"/>
      <c r="R984" s="57"/>
      <c r="S984" s="57"/>
      <c r="T984" s="41"/>
      <c r="U984" s="41"/>
      <c r="V984" s="51"/>
    </row>
    <row r="985" spans="2:22" x14ac:dyDescent="0.25">
      <c r="B985" s="405"/>
      <c r="C985" s="89">
        <v>1</v>
      </c>
      <c r="D985" s="203" t="s">
        <v>297</v>
      </c>
      <c r="E985" s="265"/>
      <c r="F985" s="265"/>
      <c r="G985" s="265"/>
      <c r="H985" s="161" t="str">
        <f>CONCATENATE(L985,"-",C985,"-",LEFT(D985,3),LEFT(I985,3),"-",LEFT(J985,3),"-",8)</f>
        <v>GGD-1-VERBLI-LAR-8</v>
      </c>
      <c r="I985" s="162" t="s">
        <v>224</v>
      </c>
      <c r="J985" s="164" t="s">
        <v>139</v>
      </c>
      <c r="K985" s="170" t="s">
        <v>356</v>
      </c>
      <c r="L985" s="166" t="s">
        <v>208</v>
      </c>
      <c r="M985" s="433"/>
      <c r="N985" s="41"/>
      <c r="O985" s="284"/>
      <c r="P985" s="105"/>
      <c r="Q985" s="57"/>
      <c r="R985" s="57"/>
      <c r="S985" s="57"/>
      <c r="T985" s="41"/>
      <c r="U985" s="41"/>
      <c r="V985" s="51"/>
    </row>
    <row r="986" spans="2:22" s="222" customFormat="1" x14ac:dyDescent="0.25">
      <c r="B986" s="405"/>
      <c r="C986" s="299">
        <v>1</v>
      </c>
      <c r="D986" s="208" t="s">
        <v>225</v>
      </c>
      <c r="E986" s="315"/>
      <c r="F986" s="315"/>
      <c r="G986" s="315"/>
      <c r="H986" s="216" t="str">
        <f t="shared" si="14"/>
        <v>GGD-1-LAMPHI-NEON</v>
      </c>
      <c r="I986" s="217" t="s">
        <v>226</v>
      </c>
      <c r="J986" s="218" t="s">
        <v>140</v>
      </c>
      <c r="K986" s="351" t="s">
        <v>359</v>
      </c>
      <c r="L986" s="316" t="s">
        <v>208</v>
      </c>
      <c r="M986" s="317">
        <f>'[4]FORM ASET'!$F$21</f>
        <v>16</v>
      </c>
      <c r="N986" s="220"/>
      <c r="O986" s="310"/>
      <c r="P986" s="311"/>
      <c r="Q986" s="312"/>
      <c r="R986" s="312"/>
      <c r="S986" s="312"/>
      <c r="T986" s="220"/>
      <c r="U986" s="220"/>
      <c r="V986" s="221"/>
    </row>
    <row r="987" spans="2:22" s="222" customFormat="1" x14ac:dyDescent="0.25">
      <c r="B987" s="405"/>
      <c r="C987" s="299">
        <v>1</v>
      </c>
      <c r="D987" s="208" t="s">
        <v>225</v>
      </c>
      <c r="E987" s="315"/>
      <c r="F987" s="315"/>
      <c r="G987" s="315"/>
      <c r="H987" s="216" t="str">
        <f t="shared" si="14"/>
        <v>GGD-1-LAMPHI-BULB</v>
      </c>
      <c r="I987" s="217" t="s">
        <v>226</v>
      </c>
      <c r="J987" s="218" t="s">
        <v>141</v>
      </c>
      <c r="K987" s="351" t="s">
        <v>359</v>
      </c>
      <c r="L987" s="316" t="s">
        <v>208</v>
      </c>
      <c r="M987" s="317">
        <f>'[4]FORM ASET'!$F$22</f>
        <v>8</v>
      </c>
      <c r="N987" s="220"/>
      <c r="O987" s="310"/>
      <c r="P987" s="311"/>
      <c r="Q987" s="312"/>
      <c r="R987" s="312"/>
      <c r="S987" s="312"/>
      <c r="T987" s="220"/>
      <c r="U987" s="220"/>
      <c r="V987" s="221"/>
    </row>
    <row r="988" spans="2:22" s="222" customFormat="1" x14ac:dyDescent="0.25">
      <c r="B988" s="405"/>
      <c r="C988" s="299">
        <v>1</v>
      </c>
      <c r="D988" s="208" t="s">
        <v>228</v>
      </c>
      <c r="E988" s="315"/>
      <c r="F988" s="315"/>
      <c r="G988" s="315"/>
      <c r="H988" s="216" t="str">
        <f t="shared" si="14"/>
        <v>GGD-1-ELEELE-SOCKET</v>
      </c>
      <c r="I988" s="318" t="s">
        <v>227</v>
      </c>
      <c r="J988" s="319" t="s">
        <v>229</v>
      </c>
      <c r="K988" s="351" t="s">
        <v>359</v>
      </c>
      <c r="L988" s="316" t="s">
        <v>208</v>
      </c>
      <c r="M988" s="317">
        <f>'[4]FORM ASET'!$F$18</f>
        <v>13</v>
      </c>
      <c r="N988" s="220"/>
      <c r="O988" s="310"/>
      <c r="P988" s="311"/>
      <c r="Q988" s="312"/>
      <c r="R988" s="312"/>
      <c r="S988" s="312"/>
      <c r="T988" s="220"/>
      <c r="U988" s="220"/>
      <c r="V988" s="221"/>
    </row>
    <row r="989" spans="2:22" s="222" customFormat="1" x14ac:dyDescent="0.25">
      <c r="B989" s="405"/>
      <c r="C989" s="299">
        <v>1</v>
      </c>
      <c r="D989" s="305" t="s">
        <v>230</v>
      </c>
      <c r="E989" s="315"/>
      <c r="F989" s="315"/>
      <c r="G989" s="315"/>
      <c r="H989" s="216" t="str">
        <f t="shared" si="14"/>
        <v>GGD-1-SWISIN-SINGLE</v>
      </c>
      <c r="I989" s="217" t="s">
        <v>142</v>
      </c>
      <c r="J989" s="218" t="s">
        <v>142</v>
      </c>
      <c r="K989" s="351" t="s">
        <v>359</v>
      </c>
      <c r="L989" s="316" t="s">
        <v>208</v>
      </c>
      <c r="M989" s="317">
        <f>'[4]FORM ASET'!$F$19</f>
        <v>0</v>
      </c>
      <c r="N989" s="220"/>
      <c r="O989" s="310"/>
      <c r="P989" s="311"/>
      <c r="Q989" s="312"/>
      <c r="R989" s="312"/>
      <c r="S989" s="312"/>
      <c r="T989" s="220"/>
      <c r="U989" s="220"/>
      <c r="V989" s="221"/>
    </row>
    <row r="990" spans="2:22" s="222" customFormat="1" x14ac:dyDescent="0.25">
      <c r="B990" s="405"/>
      <c r="C990" s="299">
        <v>1</v>
      </c>
      <c r="D990" s="305" t="s">
        <v>230</v>
      </c>
      <c r="E990" s="315"/>
      <c r="F990" s="315"/>
      <c r="G990" s="315"/>
      <c r="H990" s="216" t="str">
        <f t="shared" si="14"/>
        <v>GGD-1-SWIDOU-DOUBLE</v>
      </c>
      <c r="I990" s="217" t="s">
        <v>143</v>
      </c>
      <c r="J990" s="218" t="s">
        <v>143</v>
      </c>
      <c r="K990" s="351" t="s">
        <v>359</v>
      </c>
      <c r="L990" s="316" t="s">
        <v>208</v>
      </c>
      <c r="M990" s="317">
        <f>'[4]FORM ASET'!$F$20</f>
        <v>8</v>
      </c>
      <c r="N990" s="220"/>
      <c r="O990" s="310"/>
      <c r="P990" s="311"/>
      <c r="Q990" s="312"/>
      <c r="R990" s="312"/>
      <c r="S990" s="312"/>
      <c r="T990" s="220"/>
      <c r="U990" s="220"/>
      <c r="V990" s="221"/>
    </row>
    <row r="991" spans="2:22" x14ac:dyDescent="0.25">
      <c r="B991" s="405"/>
      <c r="C991" s="89">
        <v>1</v>
      </c>
      <c r="D991" s="203" t="s">
        <v>198</v>
      </c>
      <c r="E991" s="265"/>
      <c r="F991" s="265"/>
      <c r="G991" s="265"/>
      <c r="H991" s="161" t="str">
        <f t="shared" si="14"/>
        <v>GGD-1-RAKWAL-TRIANG</v>
      </c>
      <c r="I991" s="162" t="s">
        <v>199</v>
      </c>
      <c r="J991" s="164" t="s">
        <v>231</v>
      </c>
      <c r="K991" s="170" t="s">
        <v>357</v>
      </c>
      <c r="L991" s="166" t="s">
        <v>208</v>
      </c>
      <c r="M991" s="277">
        <f>'[4]FORM ASET'!$F$63</f>
        <v>1</v>
      </c>
      <c r="N991" s="41"/>
      <c r="O991" s="284"/>
      <c r="P991" s="105"/>
      <c r="Q991" s="57"/>
      <c r="R991" s="57"/>
      <c r="S991" s="57"/>
      <c r="T991" s="41"/>
      <c r="U991" s="41"/>
      <c r="V991" s="51"/>
    </row>
    <row r="992" spans="2:22" x14ac:dyDescent="0.25">
      <c r="B992" s="405"/>
      <c r="C992" s="89">
        <v>1</v>
      </c>
      <c r="D992" s="203" t="s">
        <v>198</v>
      </c>
      <c r="E992" s="265"/>
      <c r="F992" s="265"/>
      <c r="G992" s="265"/>
      <c r="H992" s="161" t="str">
        <f t="shared" si="14"/>
        <v>GGD-1-RAKWAL-HEXAGO</v>
      </c>
      <c r="I992" s="162" t="s">
        <v>199</v>
      </c>
      <c r="J992" s="164" t="s">
        <v>232</v>
      </c>
      <c r="K992" s="170" t="s">
        <v>358</v>
      </c>
      <c r="L992" s="166" t="s">
        <v>208</v>
      </c>
      <c r="M992" s="277">
        <f>'[4]FORM ASET'!$F$62</f>
        <v>1</v>
      </c>
      <c r="N992" s="41"/>
      <c r="O992" s="284"/>
      <c r="P992" s="105"/>
      <c r="Q992" s="57"/>
      <c r="R992" s="57"/>
      <c r="S992" s="57"/>
      <c r="T992" s="41"/>
      <c r="U992" s="41"/>
      <c r="V992" s="51"/>
    </row>
    <row r="993" spans="2:22" x14ac:dyDescent="0.25">
      <c r="B993" s="405"/>
      <c r="C993" s="89">
        <v>1</v>
      </c>
      <c r="D993" s="203" t="s">
        <v>198</v>
      </c>
      <c r="E993" s="265"/>
      <c r="F993" s="265"/>
      <c r="G993" s="265"/>
      <c r="H993" s="161" t="str">
        <f t="shared" si="14"/>
        <v>GGD-1-RAKWAL-RECTAN</v>
      </c>
      <c r="I993" s="162" t="s">
        <v>199</v>
      </c>
      <c r="J993" s="164" t="s">
        <v>233</v>
      </c>
      <c r="K993" s="348" t="s">
        <v>359</v>
      </c>
      <c r="L993" s="166" t="s">
        <v>208</v>
      </c>
      <c r="M993" s="277">
        <f>'[4]FORM ASET'!$F$61</f>
        <v>0</v>
      </c>
      <c r="N993" s="41"/>
      <c r="O993" s="284"/>
      <c r="P993" s="105"/>
      <c r="Q993" s="57"/>
      <c r="R993" s="57"/>
      <c r="S993" s="57"/>
      <c r="T993" s="41"/>
      <c r="U993" s="41"/>
      <c r="V993" s="51"/>
    </row>
    <row r="994" spans="2:22" x14ac:dyDescent="0.25">
      <c r="B994" s="405"/>
      <c r="C994" s="89">
        <v>1</v>
      </c>
      <c r="D994" s="203" t="s">
        <v>145</v>
      </c>
      <c r="E994" s="265"/>
      <c r="F994" s="265"/>
      <c r="G994" s="265"/>
      <c r="H994" s="161" t="str">
        <f>CONCATENATE(L994,"-",C994,"-",LEFT(D994,3),LEFT(I994,3),"-",LEFT(J994,3),"-",1)</f>
        <v>GGD-1-JAMUMB-WHI-1</v>
      </c>
      <c r="I994" s="167" t="s">
        <v>372</v>
      </c>
      <c r="J994" s="169" t="s">
        <v>350</v>
      </c>
      <c r="K994" s="169" t="s">
        <v>358</v>
      </c>
      <c r="L994" s="166" t="s">
        <v>208</v>
      </c>
      <c r="M994" s="431">
        <f>'[4]FORM ASET'!$F$86</f>
        <v>2</v>
      </c>
      <c r="N994" s="41"/>
      <c r="O994" s="284"/>
      <c r="P994" s="105"/>
      <c r="Q994" s="57"/>
      <c r="R994" s="57"/>
      <c r="S994" s="57"/>
      <c r="T994" s="41"/>
      <c r="U994" s="41"/>
      <c r="V994" s="51"/>
    </row>
    <row r="995" spans="2:22" x14ac:dyDescent="0.25">
      <c r="B995" s="406"/>
      <c r="C995" s="89">
        <v>1</v>
      </c>
      <c r="D995" s="203" t="s">
        <v>145</v>
      </c>
      <c r="E995" s="265"/>
      <c r="F995" s="265"/>
      <c r="G995" s="265"/>
      <c r="H995" s="161" t="str">
        <f>CONCATENATE(L995,"-",C995,"-",LEFT(D995,3),LEFT(I995,3),"-",2)</f>
        <v>GGD-1-JAMTWI-2</v>
      </c>
      <c r="I995" s="167" t="s">
        <v>373</v>
      </c>
      <c r="J995" s="169"/>
      <c r="K995" s="169" t="s">
        <v>355</v>
      </c>
      <c r="L995" s="166" t="s">
        <v>208</v>
      </c>
      <c r="M995" s="433"/>
      <c r="N995" s="41"/>
      <c r="O995" s="284"/>
      <c r="P995" s="105"/>
      <c r="Q995" s="57"/>
      <c r="R995" s="57"/>
      <c r="S995" s="57"/>
      <c r="T995" s="41"/>
      <c r="U995" s="41"/>
      <c r="V995" s="51"/>
    </row>
    <row r="996" spans="2:22" x14ac:dyDescent="0.25">
      <c r="B996" s="427">
        <v>2</v>
      </c>
      <c r="C996" s="89">
        <v>2</v>
      </c>
      <c r="D996" s="204" t="s">
        <v>146</v>
      </c>
      <c r="H996" s="161" t="str">
        <f>CONCATENATE(L996,"-",C996,"-",LEFT(D996,3),LEFT(I996,3),"-",LEFT(J996,5),"-",1)</f>
        <v>GGD-2-MEJKER-1 BIR-1</v>
      </c>
      <c r="I996" s="171" t="s">
        <v>147</v>
      </c>
      <c r="J996" s="170" t="s">
        <v>175</v>
      </c>
      <c r="K996" s="170" t="s">
        <v>355</v>
      </c>
      <c r="L996" s="166" t="s">
        <v>208</v>
      </c>
      <c r="M996" s="431">
        <f>'[4]FORM ASET'!$F$26</f>
        <v>4</v>
      </c>
      <c r="N996" s="41"/>
      <c r="O996" s="284"/>
      <c r="P996" s="105"/>
      <c r="Q996" s="57"/>
      <c r="R996" s="57"/>
      <c r="S996" s="57"/>
      <c r="T996" s="41"/>
      <c r="U996" s="41"/>
      <c r="V996" s="51"/>
    </row>
    <row r="997" spans="2:22" x14ac:dyDescent="0.25">
      <c r="B997" s="405"/>
      <c r="C997" s="89">
        <v>2</v>
      </c>
      <c r="D997" s="204" t="s">
        <v>146</v>
      </c>
      <c r="H997" s="161" t="str">
        <f>CONCATENATE(L997,"-",C997,"-",LEFT(D997,3),LEFT(I997,3),"-",LEFT(J997,5),"-",2)</f>
        <v>GGD-2-MEJKER-1 BIR-2</v>
      </c>
      <c r="I997" s="171" t="s">
        <v>147</v>
      </c>
      <c r="J997" s="170" t="s">
        <v>175</v>
      </c>
      <c r="K997" s="170" t="s">
        <v>356</v>
      </c>
      <c r="L997" s="166" t="s">
        <v>208</v>
      </c>
      <c r="M997" s="432"/>
      <c r="N997" s="41"/>
      <c r="O997" s="284"/>
      <c r="P997" s="105"/>
      <c r="Q997" s="57"/>
      <c r="R997" s="57"/>
      <c r="S997" s="57"/>
      <c r="T997" s="41"/>
      <c r="U997" s="41"/>
      <c r="V997" s="51"/>
    </row>
    <row r="998" spans="2:22" x14ac:dyDescent="0.25">
      <c r="B998" s="405"/>
      <c r="C998" s="89">
        <v>2</v>
      </c>
      <c r="D998" s="204" t="s">
        <v>146</v>
      </c>
      <c r="H998" s="161" t="str">
        <f>CONCATENATE(L998,"-",C998,"-",LEFT(D998,3),LEFT(I998,3),"-",LEFT(J998,5),"-",3)</f>
        <v>GGD-2-MEJKER-1 BIR-3</v>
      </c>
      <c r="I998" s="171" t="s">
        <v>147</v>
      </c>
      <c r="J998" s="170" t="s">
        <v>175</v>
      </c>
      <c r="K998" s="170" t="s">
        <v>362</v>
      </c>
      <c r="L998" s="166" t="s">
        <v>208</v>
      </c>
      <c r="M998" s="432"/>
      <c r="N998" s="41"/>
      <c r="O998" s="284"/>
      <c r="P998" s="105"/>
      <c r="Q998" s="57"/>
      <c r="R998" s="57"/>
      <c r="S998" s="57"/>
      <c r="T998" s="41"/>
      <c r="U998" s="41"/>
      <c r="V998" s="51"/>
    </row>
    <row r="999" spans="2:22" x14ac:dyDescent="0.25">
      <c r="B999" s="405"/>
      <c r="C999" s="89">
        <v>2</v>
      </c>
      <c r="D999" s="204" t="s">
        <v>146</v>
      </c>
      <c r="H999" s="161" t="str">
        <f>CONCATENATE(L999,"-",C999,"-",LEFT(D999,3),LEFT(I999,3),"-",LEFT(J999,5),"-",4)</f>
        <v>GGD-2-MEJKER-1 BIR-4</v>
      </c>
      <c r="I999" s="171" t="s">
        <v>147</v>
      </c>
      <c r="J999" s="170" t="s">
        <v>175</v>
      </c>
      <c r="K999" s="170" t="s">
        <v>358</v>
      </c>
      <c r="L999" s="166" t="s">
        <v>208</v>
      </c>
      <c r="M999" s="433"/>
      <c r="N999" s="41"/>
      <c r="O999" s="284"/>
      <c r="P999" s="105"/>
      <c r="Q999" s="57"/>
      <c r="R999" s="57"/>
      <c r="S999" s="57"/>
      <c r="T999" s="41"/>
      <c r="U999" s="41"/>
      <c r="V999" s="51"/>
    </row>
    <row r="1000" spans="2:22" x14ac:dyDescent="0.25">
      <c r="B1000" s="405"/>
      <c r="C1000" s="90">
        <v>2</v>
      </c>
      <c r="D1000" s="204" t="s">
        <v>146</v>
      </c>
      <c r="H1000" s="161" t="str">
        <f>CONCATENATE(L1000,"-",C1000,"-",LEFT(D1000,3),LEFT(I1000,3),"-",LEFT(J1000,7),"-",1)</f>
        <v>GGD-2-MEJKER-1/2 BIR-1</v>
      </c>
      <c r="I1000" s="171" t="s">
        <v>147</v>
      </c>
      <c r="J1000" s="170" t="s">
        <v>176</v>
      </c>
      <c r="K1000" s="170" t="s">
        <v>358</v>
      </c>
      <c r="L1000" s="166" t="s">
        <v>208</v>
      </c>
      <c r="M1000" s="431">
        <f>'[4]FORM ASET'!$F$27</f>
        <v>5</v>
      </c>
      <c r="N1000" s="41"/>
      <c r="O1000" s="284"/>
      <c r="P1000" s="105"/>
      <c r="Q1000" s="57"/>
      <c r="R1000" s="57"/>
      <c r="S1000" s="57"/>
      <c r="T1000" s="41"/>
      <c r="U1000" s="41"/>
      <c r="V1000" s="51"/>
    </row>
    <row r="1001" spans="2:22" x14ac:dyDescent="0.25">
      <c r="B1001" s="405"/>
      <c r="C1001" s="90">
        <v>2</v>
      </c>
      <c r="D1001" s="204" t="s">
        <v>146</v>
      </c>
      <c r="H1001" s="161" t="str">
        <f>CONCATENATE(L1001,"-",C1001,"-",LEFT(D1001,3),LEFT(I1001,3),"-",LEFT(J1001,7),"-",2)</f>
        <v>GGD-2-MEJKER-1/2 BIR-2</v>
      </c>
      <c r="I1001" s="171" t="s">
        <v>147</v>
      </c>
      <c r="J1001" s="170" t="s">
        <v>176</v>
      </c>
      <c r="K1001" s="170" t="s">
        <v>358</v>
      </c>
      <c r="L1001" s="166" t="s">
        <v>208</v>
      </c>
      <c r="M1001" s="432"/>
      <c r="N1001" s="41"/>
      <c r="O1001" s="284"/>
      <c r="P1001" s="105"/>
      <c r="Q1001" s="57"/>
      <c r="R1001" s="57"/>
      <c r="S1001" s="57"/>
      <c r="T1001" s="41"/>
      <c r="U1001" s="41"/>
      <c r="V1001" s="51"/>
    </row>
    <row r="1002" spans="2:22" x14ac:dyDescent="0.25">
      <c r="B1002" s="405"/>
      <c r="C1002" s="90">
        <v>2</v>
      </c>
      <c r="D1002" s="204" t="s">
        <v>146</v>
      </c>
      <c r="H1002" s="161" t="str">
        <f>CONCATENATE(L1002,"-",C1002,"-",LEFT(D1002,3),LEFT(I1002,3),"-",LEFT(J1002,7),"-",3)</f>
        <v>GGD-2-MEJKER-1/2 BIR-3</v>
      </c>
      <c r="I1002" s="171" t="s">
        <v>147</v>
      </c>
      <c r="J1002" s="170" t="s">
        <v>176</v>
      </c>
      <c r="K1002" s="170" t="s">
        <v>358</v>
      </c>
      <c r="L1002" s="166" t="s">
        <v>208</v>
      </c>
      <c r="M1002" s="432"/>
      <c r="N1002" s="41"/>
      <c r="O1002" s="284"/>
      <c r="P1002" s="105"/>
      <c r="Q1002" s="57"/>
      <c r="R1002" s="57"/>
      <c r="S1002" s="57"/>
      <c r="T1002" s="41"/>
      <c r="U1002" s="41"/>
      <c r="V1002" s="51"/>
    </row>
    <row r="1003" spans="2:22" x14ac:dyDescent="0.25">
      <c r="B1003" s="405"/>
      <c r="C1003" s="90">
        <v>2</v>
      </c>
      <c r="D1003" s="204" t="s">
        <v>146</v>
      </c>
      <c r="H1003" s="161" t="str">
        <f>CONCATENATE(L1003,"-",C1003,"-",LEFT(D1003,3),LEFT(I1003,3),"-",LEFT(J1003,7),"-",4)</f>
        <v>GGD-2-MEJKER-1/2 BIR-4</v>
      </c>
      <c r="I1003" s="171" t="s">
        <v>147</v>
      </c>
      <c r="J1003" s="170" t="s">
        <v>176</v>
      </c>
      <c r="K1003" s="170" t="s">
        <v>358</v>
      </c>
      <c r="L1003" s="166" t="s">
        <v>208</v>
      </c>
      <c r="M1003" s="432"/>
      <c r="N1003" s="41"/>
      <c r="O1003" s="284"/>
      <c r="P1003" s="105"/>
      <c r="Q1003" s="57"/>
      <c r="R1003" s="57"/>
      <c r="S1003" s="57"/>
      <c r="T1003" s="41"/>
      <c r="U1003" s="41"/>
      <c r="V1003" s="51"/>
    </row>
    <row r="1004" spans="2:22" x14ac:dyDescent="0.25">
      <c r="B1004" s="405"/>
      <c r="C1004" s="90">
        <v>2</v>
      </c>
      <c r="D1004" s="204" t="s">
        <v>146</v>
      </c>
      <c r="H1004" s="161" t="str">
        <f>CONCATENATE(L1004,"-",C1004,"-",LEFT(D1004,3),LEFT(I1004,3),"-",LEFT(J1004,7),"-",5)</f>
        <v>GGD-2-MEJKER-1/2 BIR-5</v>
      </c>
      <c r="I1004" s="171" t="s">
        <v>147</v>
      </c>
      <c r="J1004" s="170" t="s">
        <v>176</v>
      </c>
      <c r="K1004" s="170" t="s">
        <v>364</v>
      </c>
      <c r="L1004" s="166" t="s">
        <v>208</v>
      </c>
      <c r="M1004" s="433"/>
      <c r="N1004" s="41"/>
      <c r="O1004" s="284"/>
      <c r="P1004" s="105"/>
      <c r="Q1004" s="57"/>
      <c r="R1004" s="57"/>
      <c r="S1004" s="57"/>
      <c r="T1004" s="41"/>
      <c r="U1004" s="41"/>
      <c r="V1004" s="51"/>
    </row>
    <row r="1005" spans="2:22" x14ac:dyDescent="0.25">
      <c r="B1005" s="405"/>
      <c r="C1005" s="90">
        <v>2</v>
      </c>
      <c r="D1005" s="204" t="s">
        <v>146</v>
      </c>
      <c r="H1005" s="161" t="str">
        <f>CONCATENATE(L1005,"-",C1005,"-",LEFT(D1005,3),LEFT(I1005,3),"-",LEFT(J1005,3))</f>
        <v>GGD-2-MEJKER-CRE</v>
      </c>
      <c r="I1005" s="171" t="s">
        <v>147</v>
      </c>
      <c r="J1005" s="170" t="s">
        <v>149</v>
      </c>
      <c r="K1005" s="348" t="s">
        <v>359</v>
      </c>
      <c r="L1005" s="166" t="s">
        <v>208</v>
      </c>
      <c r="M1005" s="277">
        <f>'[4]FORM ASET'!$F$28</f>
        <v>0</v>
      </c>
      <c r="N1005" s="41"/>
      <c r="O1005" s="284"/>
      <c r="P1005" s="105"/>
      <c r="Q1005" s="57"/>
      <c r="R1005" s="57"/>
      <c r="S1005" s="57"/>
      <c r="T1005" s="41"/>
      <c r="U1005" s="41"/>
      <c r="V1005" s="51"/>
    </row>
    <row r="1006" spans="2:22" x14ac:dyDescent="0.25">
      <c r="B1006" s="405"/>
      <c r="C1006" s="90">
        <v>2</v>
      </c>
      <c r="D1006" s="203" t="s">
        <v>146</v>
      </c>
      <c r="H1006" s="161" t="str">
        <f t="shared" si="14"/>
        <v>GGD-2-MEJRAP-BIG</v>
      </c>
      <c r="I1006" s="162" t="s">
        <v>174</v>
      </c>
      <c r="J1006" s="164" t="s">
        <v>218</v>
      </c>
      <c r="K1006" s="170" t="s">
        <v>354</v>
      </c>
      <c r="L1006" s="166" t="s">
        <v>208</v>
      </c>
      <c r="M1006" s="277">
        <f>'[4]FORM ASET'!$F$29</f>
        <v>1</v>
      </c>
      <c r="N1006" s="41"/>
      <c r="O1006" s="284"/>
      <c r="P1006" s="105"/>
      <c r="Q1006" s="57"/>
      <c r="R1006" s="57"/>
      <c r="S1006" s="57"/>
      <c r="T1006" s="41"/>
      <c r="U1006" s="41"/>
      <c r="V1006" s="51"/>
    </row>
    <row r="1007" spans="2:22" x14ac:dyDescent="0.25">
      <c r="B1007" s="405"/>
      <c r="C1007" s="90">
        <v>2</v>
      </c>
      <c r="D1007" s="203" t="s">
        <v>146</v>
      </c>
      <c r="H1007" s="161" t="str">
        <f t="shared" si="14"/>
        <v>GGD-2-MEJRAP-SMALL</v>
      </c>
      <c r="I1007" s="162" t="s">
        <v>174</v>
      </c>
      <c r="J1007" s="164" t="s">
        <v>138</v>
      </c>
      <c r="K1007" s="348" t="s">
        <v>359</v>
      </c>
      <c r="L1007" s="166" t="s">
        <v>208</v>
      </c>
      <c r="M1007" s="277">
        <f>'[4]FORM ASET'!$F$30</f>
        <v>0</v>
      </c>
      <c r="N1007" s="41"/>
      <c r="O1007" s="284"/>
      <c r="P1007" s="105"/>
      <c r="Q1007" s="57"/>
      <c r="R1007" s="57"/>
      <c r="S1007" s="57"/>
      <c r="T1007" s="41"/>
      <c r="U1007" s="41"/>
      <c r="V1007" s="51"/>
    </row>
    <row r="1008" spans="2:22" x14ac:dyDescent="0.25">
      <c r="B1008" s="405"/>
      <c r="C1008" s="90">
        <v>2</v>
      </c>
      <c r="D1008" s="203" t="s">
        <v>146</v>
      </c>
      <c r="H1008" s="161" t="str">
        <f>CONCATENATE(L1008,"-",C1008,"-",LEFT(D1008,3),LEFT(I1008,3),"-",LEFT(J1008,3))</f>
        <v>GGD-2-MEJBUL-MED</v>
      </c>
      <c r="I1008" s="162" t="s">
        <v>148</v>
      </c>
      <c r="J1008" s="164" t="s">
        <v>219</v>
      </c>
      <c r="K1008" s="348" t="s">
        <v>359</v>
      </c>
      <c r="L1008" s="166" t="s">
        <v>208</v>
      </c>
      <c r="M1008" s="277">
        <f>'[4]FORM ASET'!$F$31</f>
        <v>0</v>
      </c>
      <c r="N1008" s="41"/>
      <c r="O1008" s="284"/>
      <c r="P1008" s="105"/>
      <c r="Q1008" s="57"/>
      <c r="R1008" s="57"/>
      <c r="S1008" s="57"/>
      <c r="T1008" s="41"/>
      <c r="U1008" s="41"/>
      <c r="V1008" s="51"/>
    </row>
    <row r="1009" spans="2:22" x14ac:dyDescent="0.25">
      <c r="B1009" s="405"/>
      <c r="C1009" s="90">
        <v>2</v>
      </c>
      <c r="D1009" s="203" t="s">
        <v>146</v>
      </c>
      <c r="H1009" s="161" t="str">
        <f t="shared" si="14"/>
        <v>GGD-2-MEJTRI-SMALL</v>
      </c>
      <c r="I1009" s="162" t="s">
        <v>231</v>
      </c>
      <c r="J1009" s="164" t="s">
        <v>138</v>
      </c>
      <c r="K1009" s="170" t="s">
        <v>365</v>
      </c>
      <c r="L1009" s="166" t="s">
        <v>208</v>
      </c>
      <c r="M1009" s="431">
        <f>'[4]FORM ASET'!$F$32</f>
        <v>2</v>
      </c>
      <c r="N1009" s="41"/>
      <c r="O1009" s="284"/>
      <c r="P1009" s="105"/>
      <c r="Q1009" s="57"/>
      <c r="R1009" s="57"/>
      <c r="S1009" s="57"/>
      <c r="T1009" s="41"/>
      <c r="U1009" s="41"/>
      <c r="V1009" s="51"/>
    </row>
    <row r="1010" spans="2:22" x14ac:dyDescent="0.25">
      <c r="B1010" s="405"/>
      <c r="C1010" s="90">
        <v>2</v>
      </c>
      <c r="D1010" s="203" t="s">
        <v>146</v>
      </c>
      <c r="H1010" s="161" t="str">
        <f>CONCATENATE(L1010,"-",C1010,"-",LEFT(D1010,3),LEFT(I1010,3),"-",LEFT(J1010,6))</f>
        <v>GGD-2-MEJTRI-SMALL</v>
      </c>
      <c r="I1010" s="162" t="s">
        <v>231</v>
      </c>
      <c r="J1010" s="164" t="s">
        <v>138</v>
      </c>
      <c r="K1010" s="170" t="s">
        <v>358</v>
      </c>
      <c r="L1010" s="166" t="s">
        <v>208</v>
      </c>
      <c r="M1010" s="433"/>
      <c r="N1010" s="41"/>
      <c r="O1010" s="284"/>
      <c r="P1010" s="105"/>
      <c r="Q1010" s="57"/>
      <c r="R1010" s="57"/>
      <c r="S1010" s="57"/>
      <c r="T1010" s="41"/>
      <c r="U1010" s="41"/>
      <c r="V1010" s="51"/>
    </row>
    <row r="1011" spans="2:22" x14ac:dyDescent="0.25">
      <c r="B1011" s="405"/>
      <c r="C1011" s="90">
        <v>2</v>
      </c>
      <c r="D1011" s="203" t="s">
        <v>150</v>
      </c>
      <c r="H1011" s="161" t="str">
        <f>CONCATENATE(L1011,"-",C1011,"-",LEFT(D1011,3),LEFT(I1011,3),"-",LEFT(J1011,3),"-",1)</f>
        <v>GGD-2-KURDIR-DIR-1</v>
      </c>
      <c r="I1011" s="162" t="s">
        <v>151</v>
      </c>
      <c r="J1011" s="164" t="s">
        <v>151</v>
      </c>
      <c r="K1011" s="170" t="s">
        <v>355</v>
      </c>
      <c r="L1011" s="166" t="s">
        <v>208</v>
      </c>
      <c r="M1011" s="431">
        <f>'[4]FORM ASET'!$F$33</f>
        <v>3</v>
      </c>
      <c r="N1011" s="41"/>
      <c r="O1011" s="284"/>
      <c r="P1011" s="105"/>
      <c r="Q1011" s="57"/>
      <c r="R1011" s="57"/>
      <c r="S1011" s="57"/>
      <c r="T1011" s="41"/>
      <c r="U1011" s="41"/>
      <c r="V1011" s="51"/>
    </row>
    <row r="1012" spans="2:22" x14ac:dyDescent="0.25">
      <c r="B1012" s="405"/>
      <c r="C1012" s="90">
        <v>2</v>
      </c>
      <c r="D1012" s="203" t="s">
        <v>150</v>
      </c>
      <c r="H1012" s="161" t="str">
        <f>CONCATENATE(L1012,"-",C1012,"-",LEFT(D1012,3),LEFT(I1012,3),"-",LEFT(J1012,3),"-",2)</f>
        <v>GGD-2-KURDIR-DIR-2</v>
      </c>
      <c r="I1012" s="162" t="s">
        <v>151</v>
      </c>
      <c r="J1012" s="164" t="s">
        <v>151</v>
      </c>
      <c r="K1012" s="170" t="s">
        <v>356</v>
      </c>
      <c r="L1012" s="166" t="s">
        <v>208</v>
      </c>
      <c r="M1012" s="432"/>
      <c r="N1012" s="41"/>
      <c r="O1012" s="284"/>
      <c r="P1012" s="105"/>
      <c r="Q1012" s="57"/>
      <c r="R1012" s="57"/>
      <c r="S1012" s="57"/>
      <c r="T1012" s="41"/>
      <c r="U1012" s="41"/>
      <c r="V1012" s="51"/>
    </row>
    <row r="1013" spans="2:22" x14ac:dyDescent="0.25">
      <c r="B1013" s="405"/>
      <c r="C1013" s="90">
        <v>2</v>
      </c>
      <c r="D1013" s="203" t="s">
        <v>150</v>
      </c>
      <c r="H1013" s="161" t="str">
        <f>CONCATENATE(L1013,"-",C1013,"-",LEFT(D1013,3),LEFT(I1013,3),"-",LEFT(J1013,3),"-",3)</f>
        <v>GGD-2-KURDIR-DIR-3</v>
      </c>
      <c r="I1013" s="162" t="s">
        <v>151</v>
      </c>
      <c r="J1013" s="164" t="s">
        <v>151</v>
      </c>
      <c r="K1013" s="170" t="s">
        <v>362</v>
      </c>
      <c r="L1013" s="166" t="s">
        <v>208</v>
      </c>
      <c r="M1013" s="433"/>
      <c r="N1013" s="41"/>
      <c r="O1013" s="284"/>
      <c r="P1013" s="105"/>
      <c r="Q1013" s="57"/>
      <c r="R1013" s="57"/>
      <c r="S1013" s="57"/>
      <c r="T1013" s="41"/>
      <c r="U1013" s="41"/>
      <c r="V1013" s="51"/>
    </row>
    <row r="1014" spans="2:22" x14ac:dyDescent="0.25">
      <c r="B1014" s="405"/>
      <c r="C1014" s="90">
        <v>2</v>
      </c>
      <c r="D1014" s="203" t="s">
        <v>150</v>
      </c>
      <c r="H1014" s="161" t="str">
        <f>CONCATENATE(L1014,"-",C1014,"-",LEFT(D1014,3),LEFT(I1014,3),"-",LEFT(J1014,3),1)</f>
        <v>GGD-2-KURSTA-1</v>
      </c>
      <c r="I1014" s="162" t="s">
        <v>152</v>
      </c>
      <c r="J1014" s="164"/>
      <c r="K1014" s="170" t="s">
        <v>358</v>
      </c>
      <c r="L1014" s="166" t="s">
        <v>208</v>
      </c>
      <c r="M1014" s="431">
        <f>'[4]FORM ASET'!$F$34</f>
        <v>6</v>
      </c>
      <c r="N1014" s="41"/>
      <c r="O1014" s="284"/>
      <c r="P1014" s="105"/>
      <c r="Q1014" s="57"/>
      <c r="R1014" s="57"/>
      <c r="S1014" s="57"/>
      <c r="T1014" s="41"/>
      <c r="U1014" s="41"/>
      <c r="V1014" s="51"/>
    </row>
    <row r="1015" spans="2:22" x14ac:dyDescent="0.25">
      <c r="B1015" s="405"/>
      <c r="C1015" s="90">
        <v>2</v>
      </c>
      <c r="D1015" s="203" t="s">
        <v>150</v>
      </c>
      <c r="H1015" s="161" t="str">
        <f>CONCATENATE(L1015,"-",C1015,"-",LEFT(D1015,3),LEFT(I1015,3),"-",LEFT(J1015,3),2)</f>
        <v>GGD-2-KURSTA-2</v>
      </c>
      <c r="I1015" s="162" t="s">
        <v>152</v>
      </c>
      <c r="J1015" s="164"/>
      <c r="K1015" s="170" t="s">
        <v>358</v>
      </c>
      <c r="L1015" s="166" t="s">
        <v>208</v>
      </c>
      <c r="M1015" s="432"/>
      <c r="N1015" s="41"/>
      <c r="O1015" s="284"/>
      <c r="P1015" s="105"/>
      <c r="Q1015" s="57"/>
      <c r="R1015" s="57"/>
      <c r="S1015" s="57"/>
      <c r="T1015" s="41"/>
      <c r="U1015" s="41"/>
      <c r="V1015" s="51"/>
    </row>
    <row r="1016" spans="2:22" x14ac:dyDescent="0.25">
      <c r="B1016" s="405"/>
      <c r="C1016" s="90">
        <v>2</v>
      </c>
      <c r="D1016" s="203" t="s">
        <v>150</v>
      </c>
      <c r="H1016" s="161" t="str">
        <f>CONCATENATE(L1016,"-",C1016,"-",LEFT(D1016,3),LEFT(I1016,3),"-",LEFT(J1016,3),3)</f>
        <v>GGD-2-KURSTA-3</v>
      </c>
      <c r="I1016" s="162" t="s">
        <v>152</v>
      </c>
      <c r="J1016" s="164"/>
      <c r="K1016" s="170" t="s">
        <v>358</v>
      </c>
      <c r="L1016" s="166" t="s">
        <v>208</v>
      </c>
      <c r="M1016" s="432"/>
      <c r="N1016" s="41"/>
      <c r="O1016" s="284"/>
      <c r="P1016" s="105"/>
      <c r="Q1016" s="57"/>
      <c r="R1016" s="57"/>
      <c r="S1016" s="57"/>
      <c r="T1016" s="41"/>
      <c r="U1016" s="41"/>
      <c r="V1016" s="51"/>
    </row>
    <row r="1017" spans="2:22" x14ac:dyDescent="0.25">
      <c r="B1017" s="405"/>
      <c r="C1017" s="90">
        <v>2</v>
      </c>
      <c r="D1017" s="203" t="s">
        <v>150</v>
      </c>
      <c r="H1017" s="161" t="str">
        <f>CONCATENATE(L1017,"-",C1017,"-",LEFT(D1017,3),LEFT(I1017,3),"-",LEFT(J1017,3),4)</f>
        <v>GGD-2-KURSTA-4</v>
      </c>
      <c r="I1017" s="162" t="s">
        <v>152</v>
      </c>
      <c r="J1017" s="164"/>
      <c r="K1017" s="170" t="s">
        <v>358</v>
      </c>
      <c r="L1017" s="166" t="s">
        <v>208</v>
      </c>
      <c r="M1017" s="432"/>
      <c r="N1017" s="41"/>
      <c r="O1017" s="284"/>
      <c r="P1017" s="105"/>
      <c r="Q1017" s="57"/>
      <c r="R1017" s="57"/>
      <c r="S1017" s="57"/>
      <c r="T1017" s="41"/>
      <c r="U1017" s="41"/>
      <c r="V1017" s="51"/>
    </row>
    <row r="1018" spans="2:22" x14ac:dyDescent="0.25">
      <c r="B1018" s="405"/>
      <c r="C1018" s="90">
        <v>2</v>
      </c>
      <c r="D1018" s="203" t="s">
        <v>150</v>
      </c>
      <c r="H1018" s="161" t="str">
        <f>CONCATENATE(L1018,"-",C1018,"-",LEFT(D1018,3),LEFT(I1018,3),"-",LEFT(J1018,3),5)</f>
        <v>GGD-2-KURSTA-5</v>
      </c>
      <c r="I1018" s="162" t="s">
        <v>152</v>
      </c>
      <c r="J1018" s="164"/>
      <c r="K1018" s="170" t="s">
        <v>358</v>
      </c>
      <c r="L1018" s="166" t="s">
        <v>208</v>
      </c>
      <c r="M1018" s="432"/>
      <c r="N1018" s="41"/>
      <c r="O1018" s="284"/>
      <c r="P1018" s="105"/>
      <c r="Q1018" s="57"/>
      <c r="R1018" s="57"/>
      <c r="S1018" s="57"/>
      <c r="T1018" s="41"/>
      <c r="U1018" s="41"/>
      <c r="V1018" s="51"/>
    </row>
    <row r="1019" spans="2:22" x14ac:dyDescent="0.25">
      <c r="B1019" s="405"/>
      <c r="C1019" s="90">
        <v>2</v>
      </c>
      <c r="D1019" s="203" t="s">
        <v>150</v>
      </c>
      <c r="H1019" s="161" t="str">
        <f>CONCATENATE(L1019,"-",C1019,"-",LEFT(D1019,3),LEFT(I1019,3),"-",LEFT(J1019,3),6)</f>
        <v>GGD-2-KURSTA-6</v>
      </c>
      <c r="I1019" s="162" t="s">
        <v>152</v>
      </c>
      <c r="J1019" s="164"/>
      <c r="K1019" s="170" t="s">
        <v>358</v>
      </c>
      <c r="L1019" s="166" t="s">
        <v>208</v>
      </c>
      <c r="M1019" s="433"/>
      <c r="N1019" s="41"/>
      <c r="O1019" s="284"/>
      <c r="P1019" s="105"/>
      <c r="Q1019" s="57"/>
      <c r="R1019" s="57"/>
      <c r="S1019" s="57"/>
      <c r="T1019" s="41"/>
      <c r="U1019" s="41"/>
      <c r="V1019" s="51"/>
    </row>
    <row r="1020" spans="2:22" x14ac:dyDescent="0.25">
      <c r="B1020" s="405"/>
      <c r="C1020" s="90">
        <v>2</v>
      </c>
      <c r="D1020" s="203" t="s">
        <v>150</v>
      </c>
      <c r="H1020" s="161" t="str">
        <f>CONCATENATE(L1020,"-",C1020,"-",LEFT(D1020,3),LEFT(I1020,3),"-",LEFT(J1020,3),1)</f>
        <v>GGD-2-KURHAD-1</v>
      </c>
      <c r="I1020" s="162" t="s">
        <v>153</v>
      </c>
      <c r="J1020" s="164"/>
      <c r="K1020" s="170" t="s">
        <v>354</v>
      </c>
      <c r="L1020" s="166" t="s">
        <v>208</v>
      </c>
      <c r="M1020" s="431">
        <f>'[4]FORM ASET'!$F$35</f>
        <v>18</v>
      </c>
      <c r="N1020" s="41"/>
      <c r="O1020" s="284"/>
      <c r="P1020" s="105"/>
      <c r="Q1020" s="57"/>
      <c r="R1020" s="57"/>
      <c r="S1020" s="57"/>
      <c r="T1020" s="41"/>
      <c r="U1020" s="41"/>
      <c r="V1020" s="51"/>
    </row>
    <row r="1021" spans="2:22" x14ac:dyDescent="0.25">
      <c r="B1021" s="405"/>
      <c r="C1021" s="90">
        <v>2</v>
      </c>
      <c r="D1021" s="203" t="s">
        <v>150</v>
      </c>
      <c r="H1021" s="161" t="str">
        <f>CONCATENATE(L1021,"-",C1021,"-",LEFT(D1021,3),LEFT(I1021,3),"-",LEFT(J1021,3),2)</f>
        <v>GGD-2-KURHAD-2</v>
      </c>
      <c r="I1021" s="162" t="s">
        <v>153</v>
      </c>
      <c r="J1021" s="164"/>
      <c r="K1021" s="170" t="s">
        <v>354</v>
      </c>
      <c r="L1021" s="166" t="s">
        <v>208</v>
      </c>
      <c r="M1021" s="432"/>
      <c r="N1021" s="41"/>
      <c r="O1021" s="284"/>
      <c r="P1021" s="105"/>
      <c r="Q1021" s="57"/>
      <c r="R1021" s="57"/>
      <c r="S1021" s="57"/>
      <c r="T1021" s="41"/>
      <c r="U1021" s="41"/>
      <c r="V1021" s="51"/>
    </row>
    <row r="1022" spans="2:22" x14ac:dyDescent="0.25">
      <c r="B1022" s="405"/>
      <c r="C1022" s="90">
        <v>2</v>
      </c>
      <c r="D1022" s="203" t="s">
        <v>150</v>
      </c>
      <c r="H1022" s="161" t="str">
        <f>CONCATENATE(L1022,"-",C1022,"-",LEFT(D1022,3),LEFT(I1022,3),"-",LEFT(J1022,3),3)</f>
        <v>GGD-2-KURHAD-3</v>
      </c>
      <c r="I1022" s="162" t="s">
        <v>153</v>
      </c>
      <c r="J1022" s="164"/>
      <c r="K1022" s="170" t="s">
        <v>354</v>
      </c>
      <c r="L1022" s="166" t="s">
        <v>208</v>
      </c>
      <c r="M1022" s="432"/>
      <c r="N1022" s="41"/>
      <c r="O1022" s="284"/>
      <c r="P1022" s="105"/>
      <c r="Q1022" s="57"/>
      <c r="R1022" s="57"/>
      <c r="S1022" s="57"/>
      <c r="T1022" s="41"/>
      <c r="U1022" s="41"/>
      <c r="V1022" s="51"/>
    </row>
    <row r="1023" spans="2:22" x14ac:dyDescent="0.25">
      <c r="B1023" s="405"/>
      <c r="C1023" s="90">
        <v>2</v>
      </c>
      <c r="D1023" s="203" t="s">
        <v>150</v>
      </c>
      <c r="H1023" s="161" t="str">
        <f>CONCATENATE(L1023,"-",C1023,"-",LEFT(D1023,3),LEFT(I1023,3),"-",LEFT(J1023,3),4)</f>
        <v>GGD-2-KURHAD-4</v>
      </c>
      <c r="I1023" s="162" t="s">
        <v>153</v>
      </c>
      <c r="J1023" s="164"/>
      <c r="K1023" s="170" t="s">
        <v>354</v>
      </c>
      <c r="L1023" s="166" t="s">
        <v>208</v>
      </c>
      <c r="M1023" s="432"/>
      <c r="N1023" s="41"/>
      <c r="O1023" s="284"/>
      <c r="P1023" s="105"/>
      <c r="Q1023" s="57"/>
      <c r="R1023" s="57"/>
      <c r="S1023" s="57"/>
      <c r="T1023" s="41"/>
      <c r="U1023" s="41"/>
      <c r="V1023" s="51"/>
    </row>
    <row r="1024" spans="2:22" x14ac:dyDescent="0.25">
      <c r="B1024" s="405"/>
      <c r="C1024" s="90">
        <v>2</v>
      </c>
      <c r="D1024" s="203" t="s">
        <v>150</v>
      </c>
      <c r="H1024" s="161" t="str">
        <f>CONCATENATE(L1024,"-",C1024,"-",LEFT(D1024,3),LEFT(I1024,3),"-",LEFT(J1024,3),5)</f>
        <v>GGD-2-KURHAD-5</v>
      </c>
      <c r="I1024" s="162" t="s">
        <v>153</v>
      </c>
      <c r="J1024" s="164"/>
      <c r="K1024" s="170" t="s">
        <v>354</v>
      </c>
      <c r="L1024" s="166" t="s">
        <v>208</v>
      </c>
      <c r="M1024" s="432"/>
      <c r="N1024" s="41"/>
      <c r="O1024" s="284"/>
      <c r="P1024" s="105"/>
      <c r="Q1024" s="57"/>
      <c r="R1024" s="57"/>
      <c r="S1024" s="57"/>
      <c r="T1024" s="41"/>
      <c r="U1024" s="41"/>
      <c r="V1024" s="51"/>
    </row>
    <row r="1025" spans="2:22" x14ac:dyDescent="0.25">
      <c r="B1025" s="405"/>
      <c r="C1025" s="90">
        <v>2</v>
      </c>
      <c r="D1025" s="203" t="s">
        <v>150</v>
      </c>
      <c r="H1025" s="161" t="str">
        <f>CONCATENATE(L1025,"-",C1025,"-",LEFT(D1025,3),LEFT(I1025,3),"-",LEFT(J1025,3),6)</f>
        <v>GGD-2-KURHAD-6</v>
      </c>
      <c r="I1025" s="162" t="s">
        <v>153</v>
      </c>
      <c r="J1025" s="164"/>
      <c r="K1025" s="170" t="s">
        <v>354</v>
      </c>
      <c r="L1025" s="166" t="s">
        <v>208</v>
      </c>
      <c r="M1025" s="432"/>
      <c r="N1025" s="41"/>
      <c r="O1025" s="284"/>
      <c r="P1025" s="105"/>
      <c r="Q1025" s="57"/>
      <c r="R1025" s="57"/>
      <c r="S1025" s="57"/>
      <c r="T1025" s="41"/>
      <c r="U1025" s="41"/>
      <c r="V1025" s="51"/>
    </row>
    <row r="1026" spans="2:22" x14ac:dyDescent="0.25">
      <c r="B1026" s="405"/>
      <c r="C1026" s="90">
        <v>2</v>
      </c>
      <c r="D1026" s="203" t="s">
        <v>150</v>
      </c>
      <c r="H1026" s="161" t="str">
        <f>CONCATENATE(L1026,"-",C1026,"-",LEFT(D1026,3),LEFT(I1026,3),"-",LEFT(J1026,3),7)</f>
        <v>GGD-2-KURHAD-7</v>
      </c>
      <c r="I1026" s="162" t="s">
        <v>153</v>
      </c>
      <c r="J1026" s="164"/>
      <c r="K1026" s="170" t="s">
        <v>354</v>
      </c>
      <c r="L1026" s="166" t="s">
        <v>208</v>
      </c>
      <c r="M1026" s="432"/>
      <c r="N1026" s="41"/>
      <c r="O1026" s="284"/>
      <c r="P1026" s="105"/>
      <c r="Q1026" s="57"/>
      <c r="R1026" s="57"/>
      <c r="S1026" s="57"/>
      <c r="T1026" s="41"/>
      <c r="U1026" s="41"/>
      <c r="V1026" s="51"/>
    </row>
    <row r="1027" spans="2:22" x14ac:dyDescent="0.25">
      <c r="B1027" s="405"/>
      <c r="C1027" s="90">
        <v>2</v>
      </c>
      <c r="D1027" s="203" t="s">
        <v>150</v>
      </c>
      <c r="H1027" s="161" t="str">
        <f>CONCATENATE(L1027,"-",C1027,"-",LEFT(D1027,3),LEFT(I1027,3),"-",LEFT(J1027,3),8)</f>
        <v>GGD-2-KURHAD-8</v>
      </c>
      <c r="I1027" s="162" t="s">
        <v>153</v>
      </c>
      <c r="J1027" s="164"/>
      <c r="K1027" s="170" t="s">
        <v>354</v>
      </c>
      <c r="L1027" s="166" t="s">
        <v>208</v>
      </c>
      <c r="M1027" s="432"/>
      <c r="N1027" s="41"/>
      <c r="O1027" s="284"/>
      <c r="P1027" s="105"/>
      <c r="Q1027" s="57"/>
      <c r="R1027" s="57"/>
      <c r="S1027" s="57"/>
      <c r="T1027" s="41"/>
      <c r="U1027" s="41"/>
      <c r="V1027" s="51"/>
    </row>
    <row r="1028" spans="2:22" x14ac:dyDescent="0.25">
      <c r="B1028" s="405"/>
      <c r="C1028" s="90">
        <v>2</v>
      </c>
      <c r="D1028" s="203" t="s">
        <v>150</v>
      </c>
      <c r="H1028" s="161" t="str">
        <f>CONCATENATE(L1028,"-",C1028,"-",LEFT(D1028,3),LEFT(I1028,3),"-",LEFT(J1028,3),9)</f>
        <v>GGD-2-KURHAD-9</v>
      </c>
      <c r="I1028" s="162" t="s">
        <v>153</v>
      </c>
      <c r="J1028" s="164"/>
      <c r="K1028" s="170" t="s">
        <v>354</v>
      </c>
      <c r="L1028" s="166" t="s">
        <v>208</v>
      </c>
      <c r="M1028" s="432"/>
      <c r="N1028" s="41"/>
      <c r="O1028" s="284"/>
      <c r="P1028" s="105"/>
      <c r="Q1028" s="57"/>
      <c r="R1028" s="57"/>
      <c r="S1028" s="57"/>
      <c r="T1028" s="41"/>
      <c r="U1028" s="41"/>
      <c r="V1028" s="51"/>
    </row>
    <row r="1029" spans="2:22" x14ac:dyDescent="0.25">
      <c r="B1029" s="405"/>
      <c r="C1029" s="90">
        <v>2</v>
      </c>
      <c r="D1029" s="203" t="s">
        <v>150</v>
      </c>
      <c r="H1029" s="161" t="str">
        <f>CONCATENATE(L1029,"-",C1029,"-",LEFT(D1029,3),LEFT(I1029,3),"-",LEFT(J1029,3),10)</f>
        <v>GGD-2-KURHAD-10</v>
      </c>
      <c r="I1029" s="162" t="s">
        <v>153</v>
      </c>
      <c r="J1029" s="164"/>
      <c r="K1029" s="170" t="s">
        <v>354</v>
      </c>
      <c r="L1029" s="166" t="s">
        <v>208</v>
      </c>
      <c r="M1029" s="432"/>
      <c r="N1029" s="41"/>
      <c r="O1029" s="284"/>
      <c r="P1029" s="105"/>
      <c r="Q1029" s="57"/>
      <c r="R1029" s="57"/>
      <c r="S1029" s="57"/>
      <c r="T1029" s="41"/>
      <c r="U1029" s="41"/>
      <c r="V1029" s="51"/>
    </row>
    <row r="1030" spans="2:22" x14ac:dyDescent="0.25">
      <c r="B1030" s="405"/>
      <c r="C1030" s="90">
        <v>2</v>
      </c>
      <c r="D1030" s="203" t="s">
        <v>150</v>
      </c>
      <c r="H1030" s="161" t="str">
        <f>CONCATENATE(L1030,"-",C1030,"-",LEFT(D1030,3),LEFT(I1030,3),"-",LEFT(J1030,3),11)</f>
        <v>GGD-2-KURHAD-11</v>
      </c>
      <c r="I1030" s="162" t="s">
        <v>153</v>
      </c>
      <c r="J1030" s="164"/>
      <c r="K1030" s="170" t="s">
        <v>365</v>
      </c>
      <c r="L1030" s="166" t="s">
        <v>208</v>
      </c>
      <c r="M1030" s="432"/>
      <c r="N1030" s="41"/>
      <c r="O1030" s="284"/>
      <c r="P1030" s="105"/>
      <c r="Q1030" s="57"/>
      <c r="R1030" s="57"/>
      <c r="S1030" s="57"/>
      <c r="T1030" s="41"/>
      <c r="U1030" s="41"/>
      <c r="V1030" s="51"/>
    </row>
    <row r="1031" spans="2:22" x14ac:dyDescent="0.25">
      <c r="B1031" s="405"/>
      <c r="C1031" s="90">
        <v>2</v>
      </c>
      <c r="D1031" s="203" t="s">
        <v>150</v>
      </c>
      <c r="H1031" s="161" t="str">
        <f>CONCATENATE(L1031,"-",C1031,"-",LEFT(D1031,3),LEFT(I1031,3),"-",LEFT(J1031,3),12)</f>
        <v>GGD-2-KURHAD-12</v>
      </c>
      <c r="I1031" s="162" t="s">
        <v>153</v>
      </c>
      <c r="J1031" s="164"/>
      <c r="K1031" s="170" t="s">
        <v>365</v>
      </c>
      <c r="L1031" s="166" t="s">
        <v>208</v>
      </c>
      <c r="M1031" s="432"/>
      <c r="N1031" s="41"/>
      <c r="O1031" s="284"/>
      <c r="P1031" s="105"/>
      <c r="Q1031" s="57"/>
      <c r="R1031" s="57"/>
      <c r="S1031" s="57"/>
      <c r="T1031" s="41"/>
      <c r="U1031" s="41"/>
      <c r="V1031" s="51"/>
    </row>
    <row r="1032" spans="2:22" x14ac:dyDescent="0.25">
      <c r="B1032" s="405"/>
      <c r="C1032" s="90">
        <v>2</v>
      </c>
      <c r="D1032" s="203" t="s">
        <v>150</v>
      </c>
      <c r="H1032" s="161" t="str">
        <f>CONCATENATE(L1032,"-",C1032,"-",LEFT(D1032,3),LEFT(I1032,3),"-",LEFT(J1032,3),13)</f>
        <v>GGD-2-KURHAD-13</v>
      </c>
      <c r="I1032" s="162" t="s">
        <v>153</v>
      </c>
      <c r="J1032" s="164"/>
      <c r="K1032" s="170" t="s">
        <v>365</v>
      </c>
      <c r="L1032" s="166" t="s">
        <v>208</v>
      </c>
      <c r="M1032" s="432"/>
      <c r="N1032" s="41"/>
      <c r="O1032" s="284"/>
      <c r="P1032" s="105"/>
      <c r="Q1032" s="57"/>
      <c r="R1032" s="57"/>
      <c r="S1032" s="57"/>
      <c r="T1032" s="41"/>
      <c r="U1032" s="41"/>
      <c r="V1032" s="51"/>
    </row>
    <row r="1033" spans="2:22" x14ac:dyDescent="0.25">
      <c r="B1033" s="405"/>
      <c r="C1033" s="90">
        <v>2</v>
      </c>
      <c r="D1033" s="203" t="s">
        <v>150</v>
      </c>
      <c r="H1033" s="161" t="str">
        <f>CONCATENATE(L1033,"-",C1033,"-",LEFT(D1033,3),LEFT(I1033,3),"-",LEFT(J1033,3),14)</f>
        <v>GGD-2-KURHAD-14</v>
      </c>
      <c r="I1033" s="162" t="s">
        <v>153</v>
      </c>
      <c r="J1033" s="164"/>
      <c r="K1033" s="170" t="s">
        <v>356</v>
      </c>
      <c r="L1033" s="166" t="s">
        <v>208</v>
      </c>
      <c r="M1033" s="432"/>
      <c r="N1033" s="41"/>
      <c r="O1033" s="284"/>
      <c r="P1033" s="105"/>
      <c r="Q1033" s="57"/>
      <c r="R1033" s="57"/>
      <c r="S1033" s="57"/>
      <c r="T1033" s="41"/>
      <c r="U1033" s="41"/>
      <c r="V1033" s="51"/>
    </row>
    <row r="1034" spans="2:22" x14ac:dyDescent="0.25">
      <c r="B1034" s="405"/>
      <c r="C1034" s="90">
        <v>2</v>
      </c>
      <c r="D1034" s="203" t="s">
        <v>150</v>
      </c>
      <c r="H1034" s="161" t="str">
        <f>CONCATENATE(L1034,"-",C1034,"-",LEFT(D1034,3),LEFT(I1034,3),"-",LEFT(J1034,3),15)</f>
        <v>GGD-2-KURHAD-15</v>
      </c>
      <c r="I1034" s="162" t="s">
        <v>153</v>
      </c>
      <c r="J1034" s="164"/>
      <c r="K1034" s="170" t="s">
        <v>356</v>
      </c>
      <c r="L1034" s="166" t="s">
        <v>208</v>
      </c>
      <c r="M1034" s="432"/>
      <c r="N1034" s="41"/>
      <c r="O1034" s="284"/>
      <c r="P1034" s="105"/>
      <c r="Q1034" s="57"/>
      <c r="R1034" s="57"/>
      <c r="S1034" s="57"/>
      <c r="T1034" s="41"/>
      <c r="U1034" s="41"/>
      <c r="V1034" s="51"/>
    </row>
    <row r="1035" spans="2:22" x14ac:dyDescent="0.25">
      <c r="B1035" s="405"/>
      <c r="C1035" s="90">
        <v>2</v>
      </c>
      <c r="D1035" s="203" t="s">
        <v>150</v>
      </c>
      <c r="H1035" s="161" t="str">
        <f>CONCATENATE(L1035,"-",C1035,"-",LEFT(D1035,3),LEFT(I1035,3),"-",LEFT(J1035,3),16)</f>
        <v>GGD-2-KURHAD-16</v>
      </c>
      <c r="I1035" s="162" t="s">
        <v>153</v>
      </c>
      <c r="J1035" s="164"/>
      <c r="K1035" s="170" t="s">
        <v>362</v>
      </c>
      <c r="L1035" s="166" t="s">
        <v>208</v>
      </c>
      <c r="M1035" s="432"/>
      <c r="N1035" s="41"/>
      <c r="O1035" s="284"/>
      <c r="P1035" s="105"/>
      <c r="Q1035" s="57"/>
      <c r="R1035" s="57"/>
      <c r="S1035" s="57"/>
      <c r="T1035" s="41"/>
      <c r="U1035" s="41"/>
      <c r="V1035" s="51"/>
    </row>
    <row r="1036" spans="2:22" x14ac:dyDescent="0.25">
      <c r="B1036" s="405"/>
      <c r="C1036" s="90">
        <v>2</v>
      </c>
      <c r="D1036" s="203" t="s">
        <v>150</v>
      </c>
      <c r="H1036" s="161" t="str">
        <f>CONCATENATE(L1036,"-",C1036,"-",LEFT(D1036,3),LEFT(I1036,3),"-",LEFT(J1036,3),17)</f>
        <v>GGD-2-KURHAD-17</v>
      </c>
      <c r="I1036" s="162" t="s">
        <v>153</v>
      </c>
      <c r="J1036" s="164"/>
      <c r="K1036" s="170" t="s">
        <v>362</v>
      </c>
      <c r="L1036" s="166" t="s">
        <v>208</v>
      </c>
      <c r="M1036" s="432"/>
      <c r="N1036" s="41"/>
      <c r="O1036" s="284"/>
      <c r="P1036" s="105"/>
      <c r="Q1036" s="57"/>
      <c r="R1036" s="57"/>
      <c r="S1036" s="57"/>
      <c r="T1036" s="41"/>
      <c r="U1036" s="41"/>
      <c r="V1036" s="51"/>
    </row>
    <row r="1037" spans="2:22" x14ac:dyDescent="0.25">
      <c r="B1037" s="405"/>
      <c r="C1037" s="90">
        <v>2</v>
      </c>
      <c r="D1037" s="203" t="s">
        <v>150</v>
      </c>
      <c r="H1037" s="161" t="str">
        <f>CONCATENATE(L1037,"-",C1037,"-",LEFT(D1037,3),LEFT(I1037,3),"-",LEFT(J1037,3),18)</f>
        <v>GGD-2-KURHAD-18</v>
      </c>
      <c r="I1037" s="162" t="s">
        <v>153</v>
      </c>
      <c r="J1037" s="164"/>
      <c r="K1037" s="170" t="s">
        <v>378</v>
      </c>
      <c r="L1037" s="166" t="s">
        <v>208</v>
      </c>
      <c r="M1037" s="433"/>
      <c r="N1037" s="41"/>
      <c r="O1037" s="284"/>
      <c r="P1037" s="105"/>
      <c r="Q1037" s="57"/>
      <c r="R1037" s="57"/>
      <c r="S1037" s="57"/>
      <c r="T1037" s="41"/>
      <c r="U1037" s="41"/>
      <c r="V1037" s="51"/>
    </row>
    <row r="1038" spans="2:22" x14ac:dyDescent="0.25">
      <c r="B1038" s="405"/>
      <c r="C1038" s="90">
        <v>2</v>
      </c>
      <c r="D1038" s="203" t="s">
        <v>150</v>
      </c>
      <c r="H1038" s="161" t="str">
        <f>CONCATENATE(L1038,"-",C1038,"-",LEFT(D1038,3),LEFT(I1038,3),"-",LEFT(J1038,4))</f>
        <v>GGD-2-KURNON-PLAS</v>
      </c>
      <c r="I1038" s="162" t="s">
        <v>154</v>
      </c>
      <c r="J1038" s="164" t="s">
        <v>155</v>
      </c>
      <c r="K1038" s="348" t="s">
        <v>359</v>
      </c>
      <c r="L1038" s="166" t="s">
        <v>208</v>
      </c>
      <c r="M1038" s="277">
        <f>'[4]FORM ASET'!$F$40</f>
        <v>0</v>
      </c>
      <c r="N1038" s="41"/>
      <c r="O1038" s="284"/>
      <c r="P1038" s="105"/>
      <c r="Q1038" s="57"/>
      <c r="R1038" s="57"/>
      <c r="S1038" s="57"/>
      <c r="T1038" s="41"/>
      <c r="U1038" s="41"/>
      <c r="V1038" s="51"/>
    </row>
    <row r="1039" spans="2:22" x14ac:dyDescent="0.25">
      <c r="B1039" s="405"/>
      <c r="C1039" s="90">
        <v>2</v>
      </c>
      <c r="D1039" s="203" t="s">
        <v>150</v>
      </c>
      <c r="H1039" s="161" t="str">
        <f>CONCATENATE(L1039,"-",C1039,"-",LEFT(D1039,3),LEFT(I1039,3),"-",LEFT(J1039,3))</f>
        <v>GGD-2-KURNON-LIP</v>
      </c>
      <c r="I1039" s="162" t="s">
        <v>154</v>
      </c>
      <c r="J1039" s="164" t="s">
        <v>156</v>
      </c>
      <c r="K1039" s="348" t="s">
        <v>359</v>
      </c>
      <c r="L1039" s="166" t="s">
        <v>208</v>
      </c>
      <c r="M1039" s="277">
        <f>'[4]FORM ASET'!$F$37</f>
        <v>0</v>
      </c>
      <c r="N1039" s="41"/>
      <c r="O1039" s="284"/>
      <c r="P1039" s="105"/>
      <c r="Q1039" s="57"/>
      <c r="R1039" s="57"/>
      <c r="S1039" s="57"/>
      <c r="T1039" s="41"/>
      <c r="U1039" s="41"/>
      <c r="V1039" s="51"/>
    </row>
    <row r="1040" spans="2:22" x14ac:dyDescent="0.25">
      <c r="B1040" s="405"/>
      <c r="C1040" s="90">
        <v>2</v>
      </c>
      <c r="D1040" s="203" t="s">
        <v>150</v>
      </c>
      <c r="H1040" s="161" t="str">
        <f>CONCATENATE(L1040,"-",C1040,"-",LEFT(D1040,3),LEFT(I1040,3),"-",LEFT(J1040,5))</f>
        <v>GGD-2-KURNON-STACK</v>
      </c>
      <c r="I1040" s="162" t="s">
        <v>154</v>
      </c>
      <c r="J1040" s="164" t="s">
        <v>157</v>
      </c>
      <c r="K1040" s="170" t="s">
        <v>292</v>
      </c>
      <c r="L1040" s="166" t="s">
        <v>208</v>
      </c>
      <c r="M1040" s="277">
        <f>'[4]FORM ASET'!$F$36</f>
        <v>1</v>
      </c>
      <c r="N1040" s="41"/>
      <c r="O1040" s="284"/>
      <c r="P1040" s="105"/>
      <c r="Q1040" s="57"/>
      <c r="R1040" s="57"/>
      <c r="S1040" s="57"/>
      <c r="T1040" s="41"/>
      <c r="U1040" s="41"/>
      <c r="V1040" s="51"/>
    </row>
    <row r="1041" spans="2:22" x14ac:dyDescent="0.25">
      <c r="B1041" s="405"/>
      <c r="C1041" s="90">
        <v>2</v>
      </c>
      <c r="D1041" s="203" t="s">
        <v>150</v>
      </c>
      <c r="H1041" s="161" t="str">
        <f>CONCATENATE(L1041,"-",C1041,"-",LEFT(D1041,3),LEFT(I1041,3),"-",LEFT(J1041,6))</f>
        <v>GGD-2-KURNON-RELAX</v>
      </c>
      <c r="I1041" s="162" t="s">
        <v>154</v>
      </c>
      <c r="J1041" s="164" t="s">
        <v>289</v>
      </c>
      <c r="K1041" s="170" t="s">
        <v>355</v>
      </c>
      <c r="L1041" s="166" t="s">
        <v>208</v>
      </c>
      <c r="M1041" s="277">
        <f>'[4]FORM ASET'!$F$38</f>
        <v>1</v>
      </c>
      <c r="N1041" s="41"/>
      <c r="O1041" s="284"/>
      <c r="P1041" s="105"/>
      <c r="Q1041" s="57"/>
      <c r="R1041" s="57"/>
      <c r="S1041" s="57"/>
      <c r="T1041" s="41"/>
      <c r="U1041" s="41"/>
      <c r="V1041" s="51"/>
    </row>
    <row r="1042" spans="2:22" x14ac:dyDescent="0.25">
      <c r="B1042" s="405"/>
      <c r="C1042" s="90">
        <v>2</v>
      </c>
      <c r="D1042" s="203" t="s">
        <v>150</v>
      </c>
      <c r="H1042" s="161" t="str">
        <f>CONCATENATE(L1042,"-",C1042,"-",LEFT(D1042,3),LEFT(I1042,3),"-",LEFT(J1042,6),"-",1)</f>
        <v>GGD-2-KURNON-WOOD-1</v>
      </c>
      <c r="I1042" s="162" t="s">
        <v>154</v>
      </c>
      <c r="J1042" s="164" t="s">
        <v>290</v>
      </c>
      <c r="K1042" s="170" t="s">
        <v>360</v>
      </c>
      <c r="L1042" s="166" t="s">
        <v>208</v>
      </c>
      <c r="M1042" s="431">
        <f>'[4]FORM ASET'!$F$39</f>
        <v>2</v>
      </c>
      <c r="N1042" s="41"/>
      <c r="O1042" s="284"/>
      <c r="P1042" s="105"/>
      <c r="Q1042" s="57"/>
      <c r="R1042" s="57"/>
      <c r="S1042" s="57"/>
      <c r="T1042" s="41"/>
      <c r="U1042" s="41"/>
      <c r="V1042" s="51"/>
    </row>
    <row r="1043" spans="2:22" x14ac:dyDescent="0.25">
      <c r="B1043" s="405"/>
      <c r="C1043" s="90">
        <v>2</v>
      </c>
      <c r="D1043" s="203" t="s">
        <v>150</v>
      </c>
      <c r="H1043" s="161" t="str">
        <f>CONCATENATE(L1043,"-",C1043,"-",LEFT(D1043,3),LEFT(I1043,3),"-",LEFT(J1043,6),"-",2)</f>
        <v>GGD-2-KURNON-WOOD-2</v>
      </c>
      <c r="I1043" s="162" t="s">
        <v>154</v>
      </c>
      <c r="J1043" s="164" t="s">
        <v>290</v>
      </c>
      <c r="K1043" s="170" t="s">
        <v>360</v>
      </c>
      <c r="L1043" s="166" t="s">
        <v>208</v>
      </c>
      <c r="M1043" s="433"/>
      <c r="N1043" s="41"/>
      <c r="O1043" s="284"/>
      <c r="P1043" s="105"/>
      <c r="Q1043" s="57"/>
      <c r="R1043" s="57"/>
      <c r="S1043" s="57"/>
      <c r="T1043" s="41"/>
      <c r="U1043" s="41"/>
      <c r="V1043" s="51"/>
    </row>
    <row r="1044" spans="2:22" x14ac:dyDescent="0.25">
      <c r="B1044" s="405"/>
      <c r="C1044" s="90">
        <v>2</v>
      </c>
      <c r="D1044" s="203" t="s">
        <v>158</v>
      </c>
      <c r="H1044" s="161" t="str">
        <f>CONCATENATE(L1044,"-",C1044,"-",LEFT(D1044,3),LEFT(I1044,3),"-",LEFT(J1044,6),"-",1)</f>
        <v>GGD-2-SOFSIN-1-1</v>
      </c>
      <c r="I1044" s="162" t="s">
        <v>142</v>
      </c>
      <c r="J1044" s="164">
        <v>1</v>
      </c>
      <c r="K1044" s="170" t="s">
        <v>355</v>
      </c>
      <c r="L1044" s="166" t="s">
        <v>208</v>
      </c>
      <c r="M1044" s="431">
        <f>'[4]FORM ASET'!$F$41</f>
        <v>3</v>
      </c>
      <c r="N1044" s="41"/>
      <c r="O1044" s="284"/>
      <c r="P1044" s="105"/>
      <c r="Q1044" s="57"/>
      <c r="R1044" s="57"/>
      <c r="S1044" s="57"/>
      <c r="T1044" s="41"/>
      <c r="U1044" s="41"/>
      <c r="V1044" s="51"/>
    </row>
    <row r="1045" spans="2:22" x14ac:dyDescent="0.25">
      <c r="B1045" s="405"/>
      <c r="C1045" s="90">
        <v>2</v>
      </c>
      <c r="D1045" s="203" t="s">
        <v>158</v>
      </c>
      <c r="H1045" s="161" t="str">
        <f>CONCATENATE(L1045,"-",C1045,"-",LEFT(D1045,3),LEFT(I1045,3),"-",LEFT(J1045,6),"-",2)</f>
        <v>GGD-2-SOFSIN-1-2</v>
      </c>
      <c r="I1045" s="162" t="s">
        <v>142</v>
      </c>
      <c r="J1045" s="164">
        <v>1</v>
      </c>
      <c r="K1045" s="170" t="s">
        <v>355</v>
      </c>
      <c r="L1045" s="166" t="s">
        <v>208</v>
      </c>
      <c r="M1045" s="432"/>
      <c r="N1045" s="41"/>
      <c r="O1045" s="284"/>
      <c r="P1045" s="105"/>
      <c r="Q1045" s="57"/>
      <c r="R1045" s="57"/>
      <c r="S1045" s="57"/>
      <c r="T1045" s="41"/>
      <c r="U1045" s="41"/>
      <c r="V1045" s="51"/>
    </row>
    <row r="1046" spans="2:22" x14ac:dyDescent="0.25">
      <c r="B1046" s="405"/>
      <c r="C1046" s="90">
        <v>2</v>
      </c>
      <c r="D1046" s="203" t="s">
        <v>158</v>
      </c>
      <c r="H1046" s="161" t="str">
        <f>CONCATENATE(L1046,"-",C1046,"-",LEFT(D1046,3),LEFT(I1046,3),"-",LEFT(J1046,6),"-",3)</f>
        <v>GGD-2-SOFSIN-1-3</v>
      </c>
      <c r="I1046" s="162" t="s">
        <v>142</v>
      </c>
      <c r="J1046" s="164">
        <v>1</v>
      </c>
      <c r="K1046" s="170" t="s">
        <v>355</v>
      </c>
      <c r="L1046" s="166" t="s">
        <v>208</v>
      </c>
      <c r="M1046" s="433"/>
      <c r="N1046" s="41"/>
      <c r="O1046" s="284"/>
      <c r="P1046" s="105"/>
      <c r="Q1046" s="57"/>
      <c r="R1046" s="57"/>
      <c r="S1046" s="57"/>
      <c r="T1046" s="41"/>
      <c r="U1046" s="41"/>
      <c r="V1046" s="51"/>
    </row>
    <row r="1047" spans="2:22" x14ac:dyDescent="0.25">
      <c r="B1047" s="405"/>
      <c r="C1047" s="90">
        <v>2</v>
      </c>
      <c r="D1047" s="203" t="s">
        <v>158</v>
      </c>
      <c r="H1047" s="161" t="str">
        <f>CONCATENATE(L1047,"-",C1047,"-",LEFT(D1047,3),LEFT(I1047,3),"-",LEFT(J1047,6),"-",1)</f>
        <v>GGD-2-SOFLOV-2-1</v>
      </c>
      <c r="I1047" s="162" t="s">
        <v>159</v>
      </c>
      <c r="J1047" s="164">
        <v>2</v>
      </c>
      <c r="K1047" s="170" t="s">
        <v>355</v>
      </c>
      <c r="L1047" s="166" t="s">
        <v>208</v>
      </c>
      <c r="M1047" s="431">
        <f>'[4]FORM ASET'!$F$42</f>
        <v>2</v>
      </c>
      <c r="N1047" s="41"/>
      <c r="O1047" s="284"/>
      <c r="P1047" s="105"/>
      <c r="Q1047" s="57"/>
      <c r="R1047" s="57"/>
      <c r="S1047" s="57"/>
      <c r="T1047" s="41"/>
      <c r="U1047" s="41"/>
      <c r="V1047" s="51"/>
    </row>
    <row r="1048" spans="2:22" x14ac:dyDescent="0.25">
      <c r="B1048" s="405"/>
      <c r="C1048" s="90">
        <v>2</v>
      </c>
      <c r="D1048" s="203" t="s">
        <v>158</v>
      </c>
      <c r="H1048" s="161" t="str">
        <f>CONCATENATE(L1048,"-",C1048,"-",LEFT(D1048,3),LEFT(I1048,3),"-",LEFT(J1048,6),"-",2)</f>
        <v>GGD-2-SOFLOV-2-2</v>
      </c>
      <c r="I1048" s="162" t="s">
        <v>159</v>
      </c>
      <c r="J1048" s="164">
        <v>2</v>
      </c>
      <c r="K1048" s="170" t="s">
        <v>358</v>
      </c>
      <c r="L1048" s="166" t="s">
        <v>208</v>
      </c>
      <c r="M1048" s="433"/>
      <c r="N1048" s="41"/>
      <c r="O1048" s="284"/>
      <c r="P1048" s="105"/>
      <c r="Q1048" s="57"/>
      <c r="R1048" s="57"/>
      <c r="S1048" s="57"/>
      <c r="T1048" s="41"/>
      <c r="U1048" s="41"/>
      <c r="V1048" s="51"/>
    </row>
    <row r="1049" spans="2:22" x14ac:dyDescent="0.25">
      <c r="B1049" s="405"/>
      <c r="C1049" s="90">
        <v>2</v>
      </c>
      <c r="D1049" s="203" t="s">
        <v>158</v>
      </c>
      <c r="H1049" s="161" t="str">
        <f>CONCATENATE(L1049,"-",C1049,"-",LEFT(D1049,3),LEFT(I1049,3),"-",LEFT(J1049,6))</f>
        <v>GGD-2-SOFTHR-3</v>
      </c>
      <c r="I1049" s="162" t="s">
        <v>160</v>
      </c>
      <c r="J1049" s="164">
        <v>3</v>
      </c>
      <c r="K1049" s="348" t="s">
        <v>359</v>
      </c>
      <c r="L1049" s="166" t="s">
        <v>208</v>
      </c>
      <c r="M1049" s="277">
        <v>0</v>
      </c>
      <c r="N1049" s="41"/>
      <c r="O1049" s="284"/>
      <c r="P1049" s="105"/>
      <c r="Q1049" s="57"/>
      <c r="R1049" s="57"/>
      <c r="S1049" s="57"/>
      <c r="T1049" s="41"/>
      <c r="U1049" s="41"/>
      <c r="V1049" s="51"/>
    </row>
    <row r="1050" spans="2:22" x14ac:dyDescent="0.25">
      <c r="B1050" s="405"/>
      <c r="C1050" s="90">
        <v>2</v>
      </c>
      <c r="D1050" s="203" t="s">
        <v>158</v>
      </c>
      <c r="H1050" s="161" t="str">
        <f>CONCATENATE(L1050,"-",C1050,"-",LEFT(D1050,3),LEFT(I1050,3),"-",LEFT(J1050,6))</f>
        <v>GGD-2-SOF-BED</v>
      </c>
      <c r="I1050" s="172"/>
      <c r="J1050" s="165" t="s">
        <v>178</v>
      </c>
      <c r="K1050" s="349" t="s">
        <v>359</v>
      </c>
      <c r="L1050" s="166" t="s">
        <v>208</v>
      </c>
      <c r="M1050" s="277">
        <f>'[4]FORM ASET'!$F$44</f>
        <v>0</v>
      </c>
      <c r="N1050" s="41"/>
      <c r="O1050" s="284"/>
      <c r="P1050" s="105"/>
      <c r="Q1050" s="57"/>
      <c r="R1050" s="57"/>
      <c r="S1050" s="57"/>
      <c r="T1050" s="41"/>
      <c r="U1050" s="41"/>
      <c r="V1050" s="51"/>
    </row>
    <row r="1051" spans="2:22" x14ac:dyDescent="0.25">
      <c r="B1051" s="405"/>
      <c r="C1051" s="90">
        <v>2</v>
      </c>
      <c r="D1051" s="206" t="s">
        <v>163</v>
      </c>
      <c r="H1051" s="161" t="str">
        <f>CONCATENATE(L1051,"-",C1051,"-",LEFT(D1051,3),LEFT(I1051,3),"-",LEFT(J1051,6))</f>
        <v>GGD-2-FILBES-2 DRAW</v>
      </c>
      <c r="I1051" s="172" t="s">
        <v>162</v>
      </c>
      <c r="J1051" s="165" t="s">
        <v>161</v>
      </c>
      <c r="K1051" s="349" t="s">
        <v>359</v>
      </c>
      <c r="L1051" s="166" t="s">
        <v>208</v>
      </c>
      <c r="M1051" s="277">
        <f>'[4]FORM ASET'!$F$46</f>
        <v>0</v>
      </c>
      <c r="N1051" s="41"/>
      <c r="O1051" s="284"/>
      <c r="P1051" s="105"/>
      <c r="Q1051" s="57"/>
      <c r="R1051" s="57"/>
      <c r="S1051" s="57"/>
      <c r="T1051" s="41"/>
      <c r="U1051" s="41"/>
      <c r="V1051" s="51"/>
    </row>
    <row r="1052" spans="2:22" x14ac:dyDescent="0.25">
      <c r="B1052" s="405"/>
      <c r="C1052" s="90">
        <v>2</v>
      </c>
      <c r="D1052" s="206" t="s">
        <v>163</v>
      </c>
      <c r="H1052" s="161" t="str">
        <f>CONCATENATE(L1052,"-",C1052,"-",LEFT(D1052,3),LEFT(I1052,3),"-",LEFT(J1052,6),"-",1)</f>
        <v>GGD-2-FILBES-3 DRAW-1</v>
      </c>
      <c r="I1052" s="172" t="s">
        <v>162</v>
      </c>
      <c r="J1052" s="165" t="s">
        <v>164</v>
      </c>
      <c r="K1052" s="164" t="s">
        <v>358</v>
      </c>
      <c r="L1052" s="166" t="s">
        <v>208</v>
      </c>
      <c r="M1052" s="431">
        <f>'[4]FORM ASET'!$F$47</f>
        <v>2</v>
      </c>
      <c r="N1052" s="41"/>
      <c r="O1052" s="284"/>
      <c r="P1052" s="105"/>
      <c r="Q1052" s="57"/>
      <c r="R1052" s="57"/>
      <c r="S1052" s="57"/>
      <c r="T1052" s="41"/>
      <c r="U1052" s="41"/>
      <c r="V1052" s="51"/>
    </row>
    <row r="1053" spans="2:22" x14ac:dyDescent="0.25">
      <c r="B1053" s="405"/>
      <c r="C1053" s="90">
        <v>2</v>
      </c>
      <c r="D1053" s="206" t="s">
        <v>163</v>
      </c>
      <c r="H1053" s="161" t="str">
        <f>CONCATENATE(L1053,"-",C1053,"-",LEFT(D1053,3),LEFT(I1053,3),"-",LEFT(J1053,6),"-",2)</f>
        <v>GGD-2-FILBES-3 DRAW-2</v>
      </c>
      <c r="I1053" s="172" t="s">
        <v>162</v>
      </c>
      <c r="J1053" s="165" t="s">
        <v>164</v>
      </c>
      <c r="K1053" s="164" t="s">
        <v>358</v>
      </c>
      <c r="L1053" s="166" t="s">
        <v>208</v>
      </c>
      <c r="M1053" s="433"/>
      <c r="N1053" s="41"/>
      <c r="O1053" s="284"/>
      <c r="P1053" s="105"/>
      <c r="Q1053" s="57"/>
      <c r="R1053" s="57"/>
      <c r="S1053" s="57"/>
      <c r="T1053" s="41"/>
      <c r="U1053" s="41"/>
      <c r="V1053" s="51"/>
    </row>
    <row r="1054" spans="2:22" x14ac:dyDescent="0.25">
      <c r="B1054" s="405"/>
      <c r="C1054" s="90">
        <v>2</v>
      </c>
      <c r="D1054" s="206" t="s">
        <v>163</v>
      </c>
      <c r="H1054" s="161" t="str">
        <f t="shared" ref="H1054:H1063" si="15">CONCATENATE(L1054,"-",C1054,"-",LEFT(D1054,3),LEFT(I1054,3),"-",LEFT(J1054,6))</f>
        <v>GGD-2-FILBES-4 DRAW</v>
      </c>
      <c r="I1054" s="172" t="s">
        <v>162</v>
      </c>
      <c r="J1054" s="165" t="s">
        <v>165</v>
      </c>
      <c r="K1054" s="164" t="s">
        <v>356</v>
      </c>
      <c r="L1054" s="166" t="s">
        <v>208</v>
      </c>
      <c r="M1054" s="277">
        <f>'[4]FORM ASET'!$F$48</f>
        <v>1</v>
      </c>
      <c r="N1054" s="41"/>
      <c r="O1054" s="284"/>
      <c r="P1054" s="105"/>
      <c r="Q1054" s="57"/>
      <c r="R1054" s="57"/>
      <c r="S1054" s="57"/>
      <c r="T1054" s="41"/>
      <c r="U1054" s="41"/>
      <c r="V1054" s="51"/>
    </row>
    <row r="1055" spans="2:22" x14ac:dyDescent="0.25">
      <c r="B1055" s="405"/>
      <c r="C1055" s="90">
        <v>2</v>
      </c>
      <c r="D1055" s="206" t="s">
        <v>163</v>
      </c>
      <c r="H1055" s="161" t="str">
        <f t="shared" si="15"/>
        <v>GGD-2-FILKAY-2 DRAW</v>
      </c>
      <c r="I1055" s="172" t="s">
        <v>166</v>
      </c>
      <c r="J1055" s="165" t="s">
        <v>161</v>
      </c>
      <c r="K1055" s="164" t="s">
        <v>355</v>
      </c>
      <c r="L1055" s="166" t="s">
        <v>208</v>
      </c>
      <c r="M1055" s="277">
        <f>'[4]FORM ASET'!$F$49</f>
        <v>1</v>
      </c>
      <c r="N1055" s="41"/>
      <c r="O1055" s="284"/>
      <c r="P1055" s="105"/>
      <c r="Q1055" s="57"/>
      <c r="R1055" s="57"/>
      <c r="S1055" s="57"/>
      <c r="T1055" s="41"/>
      <c r="U1055" s="41"/>
      <c r="V1055" s="51"/>
    </row>
    <row r="1056" spans="2:22" x14ac:dyDescent="0.25">
      <c r="B1056" s="405"/>
      <c r="C1056" s="90">
        <v>2</v>
      </c>
      <c r="D1056" s="206" t="s">
        <v>163</v>
      </c>
      <c r="H1056" s="161" t="str">
        <f t="shared" si="15"/>
        <v>GGD-2-FILKAY-3 DRAW</v>
      </c>
      <c r="I1056" s="172" t="s">
        <v>166</v>
      </c>
      <c r="J1056" s="165" t="s">
        <v>164</v>
      </c>
      <c r="K1056" s="164" t="s">
        <v>361</v>
      </c>
      <c r="L1056" s="166" t="s">
        <v>208</v>
      </c>
      <c r="M1056" s="277">
        <f>'[4]FORM ASET'!$F$51</f>
        <v>0</v>
      </c>
      <c r="N1056" s="41"/>
      <c r="O1056" s="284"/>
      <c r="P1056" s="105"/>
      <c r="Q1056" s="57"/>
      <c r="R1056" s="57"/>
      <c r="S1056" s="57"/>
      <c r="T1056" s="41"/>
      <c r="U1056" s="41"/>
      <c r="V1056" s="51"/>
    </row>
    <row r="1057" spans="2:22" x14ac:dyDescent="0.25">
      <c r="B1057" s="405"/>
      <c r="C1057" s="90">
        <v>2</v>
      </c>
      <c r="D1057" s="206" t="s">
        <v>167</v>
      </c>
      <c r="H1057" s="161" t="str">
        <f t="shared" si="15"/>
        <v>GGD-2-FILKAY-4 DRAW</v>
      </c>
      <c r="I1057" s="172" t="s">
        <v>166</v>
      </c>
      <c r="J1057" s="165" t="s">
        <v>165</v>
      </c>
      <c r="K1057" s="164" t="s">
        <v>377</v>
      </c>
      <c r="L1057" s="166" t="s">
        <v>208</v>
      </c>
      <c r="M1057" s="277">
        <f>'[4]FORM ASET'!$F$51</f>
        <v>0</v>
      </c>
      <c r="N1057" s="41"/>
      <c r="O1057" s="284"/>
      <c r="P1057" s="105"/>
      <c r="Q1057" s="57"/>
      <c r="R1057" s="57"/>
      <c r="S1057" s="57"/>
      <c r="T1057" s="41"/>
      <c r="U1057" s="41"/>
      <c r="V1057" s="51"/>
    </row>
    <row r="1058" spans="2:22" x14ac:dyDescent="0.25">
      <c r="B1058" s="405"/>
      <c r="C1058" s="90">
        <v>2</v>
      </c>
      <c r="D1058" s="203" t="s">
        <v>168</v>
      </c>
      <c r="H1058" s="161" t="str">
        <f t="shared" si="15"/>
        <v>GGD-2-LEMBES-KACA</v>
      </c>
      <c r="I1058" s="162" t="s">
        <v>162</v>
      </c>
      <c r="J1058" s="164" t="s">
        <v>169</v>
      </c>
      <c r="K1058" s="164" t="s">
        <v>362</v>
      </c>
      <c r="L1058" s="166" t="s">
        <v>208</v>
      </c>
      <c r="M1058" s="277">
        <f>'[4]FORM ASET'!$F$53</f>
        <v>1</v>
      </c>
      <c r="N1058" s="41"/>
      <c r="O1058" s="284"/>
      <c r="P1058" s="105"/>
      <c r="Q1058" s="57"/>
      <c r="R1058" s="57"/>
      <c r="S1058" s="57"/>
      <c r="T1058" s="41"/>
      <c r="U1058" s="41"/>
      <c r="V1058" s="51"/>
    </row>
    <row r="1059" spans="2:22" x14ac:dyDescent="0.25">
      <c r="B1059" s="405"/>
      <c r="C1059" s="90">
        <v>2</v>
      </c>
      <c r="D1059" s="203" t="s">
        <v>168</v>
      </c>
      <c r="H1059" s="161" t="str">
        <f t="shared" si="15"/>
        <v>GGD-2-LEMBES-BESI</v>
      </c>
      <c r="I1059" s="162" t="s">
        <v>162</v>
      </c>
      <c r="J1059" s="164" t="s">
        <v>162</v>
      </c>
      <c r="K1059" s="348" t="s">
        <v>359</v>
      </c>
      <c r="L1059" s="166" t="s">
        <v>208</v>
      </c>
      <c r="M1059" s="277">
        <f>'[4]FORM ASET'!$F$54</f>
        <v>0</v>
      </c>
      <c r="N1059" s="41"/>
      <c r="O1059" s="284"/>
      <c r="P1059" s="105"/>
      <c r="Q1059" s="57"/>
      <c r="R1059" s="57"/>
      <c r="S1059" s="57"/>
      <c r="T1059" s="41"/>
      <c r="U1059" s="41"/>
      <c r="V1059" s="51"/>
    </row>
    <row r="1060" spans="2:22" x14ac:dyDescent="0.25">
      <c r="B1060" s="405"/>
      <c r="C1060" s="90">
        <v>2</v>
      </c>
      <c r="D1060" s="203" t="s">
        <v>168</v>
      </c>
      <c r="H1060" s="161" t="str">
        <f t="shared" si="15"/>
        <v>GGD-2-LEMSUS-RAKIT</v>
      </c>
      <c r="I1060" s="162" t="s">
        <v>291</v>
      </c>
      <c r="J1060" s="164" t="s">
        <v>343</v>
      </c>
      <c r="K1060" s="170" t="s">
        <v>365</v>
      </c>
      <c r="L1060" s="166" t="s">
        <v>208</v>
      </c>
      <c r="M1060" s="277">
        <f>'[4]FORM ASET'!$F$55</f>
        <v>1</v>
      </c>
      <c r="N1060" s="41"/>
      <c r="O1060" s="284"/>
      <c r="P1060" s="105"/>
      <c r="Q1060" s="57"/>
      <c r="R1060" s="57"/>
      <c r="S1060" s="57"/>
      <c r="T1060" s="41"/>
      <c r="U1060" s="41"/>
      <c r="V1060" s="51"/>
    </row>
    <row r="1061" spans="2:22" x14ac:dyDescent="0.25">
      <c r="B1061" s="405"/>
      <c r="C1061" s="90">
        <v>2</v>
      </c>
      <c r="D1061" s="203" t="s">
        <v>168</v>
      </c>
      <c r="H1061" s="161" t="str">
        <f t="shared" si="15"/>
        <v>GGD-2-LEM-PANTRY</v>
      </c>
      <c r="I1061" s="162"/>
      <c r="J1061" s="164" t="s">
        <v>292</v>
      </c>
      <c r="K1061" s="170" t="s">
        <v>292</v>
      </c>
      <c r="L1061" s="166" t="s">
        <v>208</v>
      </c>
      <c r="M1061" s="277">
        <f>'[4]FORM ASET'!$F$56</f>
        <v>1</v>
      </c>
      <c r="N1061" s="41"/>
      <c r="O1061" s="284"/>
      <c r="P1061" s="105"/>
      <c r="Q1061" s="57"/>
      <c r="R1061" s="57"/>
      <c r="S1061" s="57"/>
      <c r="T1061" s="41"/>
      <c r="U1061" s="41"/>
      <c r="V1061" s="51"/>
    </row>
    <row r="1062" spans="2:22" x14ac:dyDescent="0.25">
      <c r="B1062" s="405"/>
      <c r="C1062" s="90">
        <v>2</v>
      </c>
      <c r="D1062" s="203" t="s">
        <v>170</v>
      </c>
      <c r="H1062" s="161" t="str">
        <f t="shared" si="15"/>
        <v>GGD-2-RAKAMB-5 STAC</v>
      </c>
      <c r="I1062" s="167" t="s">
        <v>171</v>
      </c>
      <c r="J1062" s="168" t="s">
        <v>222</v>
      </c>
      <c r="K1062" s="347" t="s">
        <v>359</v>
      </c>
      <c r="L1062" s="166" t="s">
        <v>208</v>
      </c>
      <c r="M1062" s="277">
        <f>'[4]FORM ASET'!$F$52</f>
        <v>0</v>
      </c>
      <c r="N1062" s="41"/>
      <c r="O1062" s="284"/>
      <c r="P1062" s="105"/>
      <c r="Q1062" s="57"/>
      <c r="R1062" s="57"/>
      <c r="S1062" s="57"/>
      <c r="T1062" s="41"/>
      <c r="U1062" s="41"/>
      <c r="V1062" s="51"/>
    </row>
    <row r="1063" spans="2:22" x14ac:dyDescent="0.25">
      <c r="B1063" s="405"/>
      <c r="C1063" s="90">
        <v>2</v>
      </c>
      <c r="D1063" s="203" t="s">
        <v>170</v>
      </c>
      <c r="H1063" s="161" t="str">
        <f t="shared" si="15"/>
        <v>GGD-2-RAKMIK-6 STAC</v>
      </c>
      <c r="I1063" s="167" t="s">
        <v>172</v>
      </c>
      <c r="J1063" s="168" t="s">
        <v>223</v>
      </c>
      <c r="K1063" s="347" t="s">
        <v>359</v>
      </c>
      <c r="L1063" s="166" t="s">
        <v>208</v>
      </c>
      <c r="M1063" s="277">
        <f>'[4]FORM ASET'!$F$52</f>
        <v>0</v>
      </c>
      <c r="N1063" s="41"/>
      <c r="O1063" s="284"/>
      <c r="P1063" s="105"/>
      <c r="Q1063" s="57"/>
      <c r="R1063" s="57"/>
      <c r="S1063" s="57"/>
      <c r="T1063" s="41"/>
      <c r="U1063" s="41"/>
      <c r="V1063" s="51"/>
    </row>
    <row r="1064" spans="2:22" x14ac:dyDescent="0.25">
      <c r="B1064" s="405"/>
      <c r="C1064" s="90">
        <v>2</v>
      </c>
      <c r="D1064" s="203" t="s">
        <v>170</v>
      </c>
      <c r="H1064" s="161" t="str">
        <f>CONCATENATE(L1064,"-",C1064,"-",LEFT(D1064,3),LEFT(I1064,3),"-",LEFT(J1064,3),"-",1)</f>
        <v>GGD-2-RAK-DOK-1</v>
      </c>
      <c r="I1064" s="167"/>
      <c r="J1064" s="168" t="s">
        <v>311</v>
      </c>
      <c r="K1064" s="169" t="s">
        <v>355</v>
      </c>
      <c r="L1064" s="166" t="s">
        <v>208</v>
      </c>
      <c r="M1064" s="431">
        <f>'[4]FORM ASET'!$F$72</f>
        <v>3</v>
      </c>
      <c r="N1064" s="41"/>
      <c r="O1064" s="284"/>
      <c r="P1064" s="105"/>
      <c r="Q1064" s="57"/>
      <c r="R1064" s="57"/>
      <c r="S1064" s="57"/>
      <c r="T1064" s="41"/>
      <c r="U1064" s="41"/>
      <c r="V1064" s="51"/>
    </row>
    <row r="1065" spans="2:22" x14ac:dyDescent="0.25">
      <c r="B1065" s="405"/>
      <c r="C1065" s="90">
        <v>2</v>
      </c>
      <c r="D1065" s="203" t="s">
        <v>170</v>
      </c>
      <c r="H1065" s="161" t="str">
        <f>CONCATENATE(L1065,"-",C1065,"-",LEFT(D1065,3),LEFT(I1065,3),"-",LEFT(J1065,3),"-",2)</f>
        <v>GGD-2-RAK-DOK-2</v>
      </c>
      <c r="I1065" s="167"/>
      <c r="J1065" s="168" t="s">
        <v>311</v>
      </c>
      <c r="K1065" s="169" t="s">
        <v>362</v>
      </c>
      <c r="L1065" s="166" t="s">
        <v>208</v>
      </c>
      <c r="M1065" s="432"/>
      <c r="N1065" s="41"/>
      <c r="O1065" s="284"/>
      <c r="P1065" s="105"/>
      <c r="Q1065" s="57"/>
      <c r="R1065" s="57"/>
      <c r="S1065" s="57"/>
      <c r="T1065" s="41"/>
      <c r="U1065" s="41"/>
      <c r="V1065" s="51"/>
    </row>
    <row r="1066" spans="2:22" x14ac:dyDescent="0.25">
      <c r="B1066" s="405"/>
      <c r="C1066" s="90">
        <v>2</v>
      </c>
      <c r="D1066" s="203" t="s">
        <v>170</v>
      </c>
      <c r="H1066" s="161" t="str">
        <f>CONCATENATE(L1066,"-",C1066,"-",LEFT(D1066,3),LEFT(I1066,3),"-",LEFT(J1066,3),"-",3)</f>
        <v>GGD-2-RAK-DOK-3</v>
      </c>
      <c r="I1066" s="167"/>
      <c r="J1066" s="168" t="s">
        <v>311</v>
      </c>
      <c r="K1066" s="169" t="s">
        <v>358</v>
      </c>
      <c r="L1066" s="166" t="s">
        <v>208</v>
      </c>
      <c r="M1066" s="433"/>
      <c r="N1066" s="41"/>
      <c r="O1066" s="284"/>
      <c r="P1066" s="105"/>
      <c r="Q1066" s="57"/>
      <c r="R1066" s="57"/>
      <c r="S1066" s="57"/>
      <c r="T1066" s="41"/>
      <c r="U1066" s="41"/>
      <c r="V1066" s="51"/>
    </row>
    <row r="1067" spans="2:22" x14ac:dyDescent="0.25">
      <c r="B1067" s="405"/>
      <c r="C1067" s="90">
        <v>2</v>
      </c>
      <c r="D1067" s="203" t="s">
        <v>309</v>
      </c>
      <c r="H1067" s="161" t="str">
        <f>CONCATENATE(L1067,"-",C1067,"-",LEFT(D1067,3),LEFT(I1067,3),"-",LEFT(J1067,6),"-",1)</f>
        <v>GGD-2-BRAKRI-BLACK-1</v>
      </c>
      <c r="I1067" s="167" t="s">
        <v>144</v>
      </c>
      <c r="J1067" s="168" t="s">
        <v>310</v>
      </c>
      <c r="K1067" s="169" t="s">
        <v>354</v>
      </c>
      <c r="L1067" s="166" t="s">
        <v>208</v>
      </c>
      <c r="M1067" s="431">
        <f>'[4]FORM ASET'!$F$78</f>
        <v>2</v>
      </c>
      <c r="N1067" s="41"/>
      <c r="O1067" s="284"/>
      <c r="P1067" s="105"/>
      <c r="Q1067" s="57"/>
      <c r="R1067" s="57"/>
      <c r="S1067" s="57"/>
      <c r="T1067" s="41"/>
      <c r="U1067" s="41"/>
      <c r="V1067" s="51"/>
    </row>
    <row r="1068" spans="2:22" x14ac:dyDescent="0.25">
      <c r="B1068" s="405"/>
      <c r="C1068" s="90">
        <v>2</v>
      </c>
      <c r="D1068" s="203" t="s">
        <v>309</v>
      </c>
      <c r="H1068" s="161" t="str">
        <f>CONCATENATE(L1068,"-",C1068,"-",LEFT(D1068,3),LEFT(I1068,3),"-",LEFT(J1068,6),"-",2)</f>
        <v>GGD-2-BRAKRI-BLACK-2</v>
      </c>
      <c r="I1068" s="167" t="s">
        <v>144</v>
      </c>
      <c r="J1068" s="168" t="s">
        <v>310</v>
      </c>
      <c r="K1068" s="169" t="s">
        <v>365</v>
      </c>
      <c r="L1068" s="166" t="s">
        <v>208</v>
      </c>
      <c r="M1068" s="433"/>
      <c r="N1068" s="41"/>
      <c r="O1068" s="284"/>
      <c r="P1068" s="105"/>
      <c r="Q1068" s="57"/>
      <c r="R1068" s="57"/>
      <c r="S1068" s="57"/>
      <c r="T1068" s="41"/>
      <c r="U1068" s="41"/>
      <c r="V1068" s="51"/>
    </row>
    <row r="1069" spans="2:22" x14ac:dyDescent="0.25">
      <c r="B1069" s="406"/>
      <c r="C1069" s="90">
        <v>2</v>
      </c>
      <c r="D1069" s="203" t="s">
        <v>294</v>
      </c>
      <c r="H1069" s="161" t="str">
        <f>CONCATENATE(L1069,"-",C1069,"-",LEFT(D1069,3),LEFT(I1069,3),"-",LEFT(J1069,6))</f>
        <v>GGD-2-BUFTV -WOOD</v>
      </c>
      <c r="I1069" s="167" t="s">
        <v>353</v>
      </c>
      <c r="J1069" s="168" t="s">
        <v>290</v>
      </c>
      <c r="K1069" s="347" t="s">
        <v>359</v>
      </c>
      <c r="L1069" s="166" t="s">
        <v>208</v>
      </c>
      <c r="M1069" s="277">
        <v>0</v>
      </c>
      <c r="N1069" s="41"/>
      <c r="O1069" s="284"/>
      <c r="P1069" s="105"/>
      <c r="Q1069" s="57"/>
      <c r="R1069" s="57"/>
      <c r="S1069" s="57"/>
      <c r="T1069" s="41"/>
      <c r="U1069" s="41"/>
      <c r="V1069" s="51"/>
    </row>
    <row r="1070" spans="2:22" x14ac:dyDescent="0.25">
      <c r="B1070" s="405">
        <v>3</v>
      </c>
      <c r="C1070" s="90">
        <v>3</v>
      </c>
      <c r="D1070" s="204" t="s">
        <v>179</v>
      </c>
      <c r="H1070" s="161" t="str">
        <f>CONCATENATE(L1070,"-",C1070,"-",LEFT(D1070,3),LEFT(I1070,3),"-",LEFT(J1070,6))</f>
        <v>GGD-3-CONKRI-3 DRAW</v>
      </c>
      <c r="I1070" s="167" t="s">
        <v>187</v>
      </c>
      <c r="J1070" s="168" t="s">
        <v>164</v>
      </c>
      <c r="K1070" s="347" t="s">
        <v>359</v>
      </c>
      <c r="L1070" s="166" t="s">
        <v>208</v>
      </c>
      <c r="M1070" s="277">
        <v>0</v>
      </c>
      <c r="N1070" s="41"/>
      <c r="O1070" s="284"/>
      <c r="P1070" s="105"/>
      <c r="Q1070" s="57"/>
      <c r="R1070" s="57"/>
      <c r="S1070" s="57"/>
      <c r="T1070" s="41"/>
      <c r="U1070" s="41"/>
      <c r="V1070" s="51"/>
    </row>
    <row r="1071" spans="2:22" x14ac:dyDescent="0.25">
      <c r="B1071" s="405"/>
      <c r="C1071" s="89">
        <v>3</v>
      </c>
      <c r="D1071" s="203" t="s">
        <v>180</v>
      </c>
      <c r="H1071" s="161" t="str">
        <f>CONCATENATE(L1071,"-",C1071,"-",LEFT(D1071,3),LEFT(I1071,3),"-",LEFT(J1071,6))</f>
        <v>GGD-3-WHISTA-BIG</v>
      </c>
      <c r="I1071" s="167" t="s">
        <v>194</v>
      </c>
      <c r="J1071" s="168" t="s">
        <v>218</v>
      </c>
      <c r="K1071" s="169" t="s">
        <v>374</v>
      </c>
      <c r="L1071" s="166" t="s">
        <v>208</v>
      </c>
      <c r="M1071" s="277">
        <v>1</v>
      </c>
      <c r="N1071" s="41"/>
      <c r="O1071" s="284"/>
      <c r="P1071" s="105"/>
      <c r="Q1071" s="57"/>
      <c r="R1071" s="57"/>
      <c r="S1071" s="57"/>
      <c r="T1071" s="41"/>
      <c r="U1071" s="41"/>
      <c r="V1071" s="51"/>
    </row>
    <row r="1072" spans="2:22" x14ac:dyDescent="0.25">
      <c r="B1072" s="405"/>
      <c r="C1072" s="89">
        <v>3</v>
      </c>
      <c r="D1072" s="203" t="s">
        <v>180</v>
      </c>
      <c r="H1072" s="161" t="str">
        <f>CONCATENATE(L1072,"-",C1072,"-",LEFT(D1072,3),LEFT(I1072,3),"-",LEFT(J1072,6),"-",1)</f>
        <v>GGD-3-WHIWAL-SMALL-1</v>
      </c>
      <c r="I1072" s="167" t="s">
        <v>199</v>
      </c>
      <c r="J1072" s="168" t="s">
        <v>138</v>
      </c>
      <c r="K1072" s="169" t="s">
        <v>374</v>
      </c>
      <c r="L1072" s="166" t="s">
        <v>208</v>
      </c>
      <c r="M1072" s="431">
        <v>3</v>
      </c>
      <c r="N1072" s="41"/>
      <c r="O1072" s="284"/>
      <c r="P1072" s="105"/>
      <c r="Q1072" s="57"/>
      <c r="R1072" s="57"/>
      <c r="S1072" s="57"/>
      <c r="T1072" s="41"/>
      <c r="U1072" s="41"/>
      <c r="V1072" s="51"/>
    </row>
    <row r="1073" spans="2:22" x14ac:dyDescent="0.25">
      <c r="B1073" s="405"/>
      <c r="C1073" s="89">
        <v>3</v>
      </c>
      <c r="D1073" s="203" t="s">
        <v>180</v>
      </c>
      <c r="H1073" s="161" t="str">
        <f>CONCATENATE(L1073,"-",C1073,"-",LEFT(D1073,3),LEFT(I1073,3),"-",LEFT(J1073,6),"-",2)</f>
        <v>GGD-3-WHIWAL-SMALL-2</v>
      </c>
      <c r="I1073" s="167" t="s">
        <v>199</v>
      </c>
      <c r="J1073" s="168" t="s">
        <v>138</v>
      </c>
      <c r="K1073" s="169" t="s">
        <v>365</v>
      </c>
      <c r="L1073" s="166" t="s">
        <v>208</v>
      </c>
      <c r="M1073" s="432"/>
      <c r="N1073" s="41"/>
      <c r="O1073" s="284"/>
      <c r="P1073" s="105"/>
      <c r="Q1073" s="57"/>
      <c r="R1073" s="57"/>
      <c r="S1073" s="57"/>
      <c r="T1073" s="41"/>
      <c r="U1073" s="41"/>
      <c r="V1073" s="51"/>
    </row>
    <row r="1074" spans="2:22" x14ac:dyDescent="0.25">
      <c r="B1074" s="405"/>
      <c r="C1074" s="89">
        <v>3</v>
      </c>
      <c r="D1074" s="203" t="s">
        <v>180</v>
      </c>
      <c r="H1074" s="161" t="str">
        <f>CONCATENATE(L1074,"-",C1074,"-",LEFT(D1074,3),LEFT(I1074,3),"-",LEFT(J1074,6),"-",3)</f>
        <v>GGD-3-WHIWAL-SMALL-3</v>
      </c>
      <c r="I1074" s="167" t="s">
        <v>199</v>
      </c>
      <c r="J1074" s="168" t="s">
        <v>138</v>
      </c>
      <c r="K1074" s="169" t="s">
        <v>362</v>
      </c>
      <c r="L1074" s="166" t="s">
        <v>208</v>
      </c>
      <c r="M1074" s="433"/>
      <c r="N1074" s="41"/>
      <c r="O1074" s="284"/>
      <c r="P1074" s="105"/>
      <c r="Q1074" s="57"/>
      <c r="R1074" s="57"/>
      <c r="S1074" s="57"/>
      <c r="T1074" s="41"/>
      <c r="U1074" s="41"/>
      <c r="V1074" s="51"/>
    </row>
    <row r="1075" spans="2:22" x14ac:dyDescent="0.25">
      <c r="B1075" s="405"/>
      <c r="C1075" s="89">
        <v>3</v>
      </c>
      <c r="D1075" s="203" t="s">
        <v>181</v>
      </c>
      <c r="H1075" s="161" t="str">
        <f>CONCATENATE(L1075,"-",C1075,"-",LEFT(D1075,3),LEFT(I1075,3),"-",LEFT(J1075,6),"-",1)</f>
        <v>GGD-3-POTMEJ-SMALL-1</v>
      </c>
      <c r="I1075" s="167" t="s">
        <v>146</v>
      </c>
      <c r="J1075" s="168" t="s">
        <v>138</v>
      </c>
      <c r="K1075" s="169" t="s">
        <v>358</v>
      </c>
      <c r="L1075" s="166" t="s">
        <v>208</v>
      </c>
      <c r="M1075" s="431">
        <f>'[4]FORM ASET'!$F$64</f>
        <v>15</v>
      </c>
      <c r="N1075" s="41"/>
      <c r="O1075" s="284"/>
      <c r="P1075" s="105"/>
      <c r="Q1075" s="57"/>
      <c r="R1075" s="57"/>
      <c r="S1075" s="57"/>
      <c r="T1075" s="41"/>
      <c r="U1075" s="41"/>
      <c r="V1075" s="51"/>
    </row>
    <row r="1076" spans="2:22" x14ac:dyDescent="0.25">
      <c r="B1076" s="405"/>
      <c r="C1076" s="89">
        <v>3</v>
      </c>
      <c r="D1076" s="203" t="s">
        <v>181</v>
      </c>
      <c r="H1076" s="161" t="str">
        <f>CONCATENATE(L1076,"-",C1076,"-",LEFT(D1076,3),LEFT(I1076,3),"-",LEFT(J1076,6),"-",2)</f>
        <v>GGD-3-POTMEJ-SMALL-2</v>
      </c>
      <c r="I1076" s="167" t="s">
        <v>146</v>
      </c>
      <c r="J1076" s="168" t="s">
        <v>138</v>
      </c>
      <c r="K1076" s="169" t="s">
        <v>358</v>
      </c>
      <c r="L1076" s="166" t="s">
        <v>208</v>
      </c>
      <c r="M1076" s="432"/>
      <c r="N1076" s="41"/>
      <c r="O1076" s="284"/>
      <c r="P1076" s="105"/>
      <c r="Q1076" s="57"/>
      <c r="R1076" s="57"/>
      <c r="S1076" s="57"/>
      <c r="T1076" s="41"/>
      <c r="U1076" s="41"/>
      <c r="V1076" s="51"/>
    </row>
    <row r="1077" spans="2:22" x14ac:dyDescent="0.25">
      <c r="B1077" s="405"/>
      <c r="C1077" s="89">
        <v>3</v>
      </c>
      <c r="D1077" s="203" t="s">
        <v>181</v>
      </c>
      <c r="H1077" s="161" t="str">
        <f>CONCATENATE(L1077,"-",C1077,"-",LEFT(D1077,3),LEFT(I1077,3),"-",LEFT(J1077,6),"-",3)</f>
        <v>GGD-3-POTMEJ-SMALL-3</v>
      </c>
      <c r="I1077" s="167" t="s">
        <v>146</v>
      </c>
      <c r="J1077" s="168" t="s">
        <v>138</v>
      </c>
      <c r="K1077" s="169" t="s">
        <v>358</v>
      </c>
      <c r="L1077" s="166" t="s">
        <v>208</v>
      </c>
      <c r="M1077" s="432"/>
      <c r="N1077" s="41"/>
      <c r="O1077" s="284"/>
      <c r="P1077" s="105"/>
      <c r="Q1077" s="57"/>
      <c r="R1077" s="57"/>
      <c r="S1077" s="57"/>
      <c r="T1077" s="41"/>
      <c r="U1077" s="41"/>
      <c r="V1077" s="51"/>
    </row>
    <row r="1078" spans="2:22" x14ac:dyDescent="0.25">
      <c r="B1078" s="405"/>
      <c r="C1078" s="89">
        <v>3</v>
      </c>
      <c r="D1078" s="203" t="s">
        <v>181</v>
      </c>
      <c r="H1078" s="161" t="str">
        <f>CONCATENATE(L1078,"-",C1078,"-",LEFT(D1078,3),LEFT(I1078,3),"-",LEFT(J1078,6),"-",4)</f>
        <v>GGD-3-POTMEJ-SMALL-4</v>
      </c>
      <c r="I1078" s="167" t="s">
        <v>146</v>
      </c>
      <c r="J1078" s="168" t="s">
        <v>138</v>
      </c>
      <c r="K1078" s="169" t="s">
        <v>358</v>
      </c>
      <c r="L1078" s="166" t="s">
        <v>208</v>
      </c>
      <c r="M1078" s="432"/>
      <c r="N1078" s="41"/>
      <c r="O1078" s="284"/>
      <c r="P1078" s="105"/>
      <c r="Q1078" s="57"/>
      <c r="R1078" s="57"/>
      <c r="S1078" s="57"/>
      <c r="T1078" s="41"/>
      <c r="U1078" s="41"/>
      <c r="V1078" s="51"/>
    </row>
    <row r="1079" spans="2:22" x14ac:dyDescent="0.25">
      <c r="B1079" s="405"/>
      <c r="C1079" s="89">
        <v>3</v>
      </c>
      <c r="D1079" s="203" t="s">
        <v>181</v>
      </c>
      <c r="H1079" s="161" t="str">
        <f>CONCATENATE(L1079,"-",C1079,"-",LEFT(D1079,3),LEFT(I1079,3),"-",LEFT(J1079,6),"-",5)</f>
        <v>GGD-3-POTMEJ-SMALL-5</v>
      </c>
      <c r="I1079" s="167" t="s">
        <v>146</v>
      </c>
      <c r="J1079" s="168" t="s">
        <v>138</v>
      </c>
      <c r="K1079" s="169" t="s">
        <v>356</v>
      </c>
      <c r="L1079" s="166" t="s">
        <v>208</v>
      </c>
      <c r="M1079" s="432"/>
      <c r="N1079" s="41"/>
      <c r="O1079" s="284"/>
      <c r="P1079" s="105"/>
      <c r="Q1079" s="57"/>
      <c r="R1079" s="57"/>
      <c r="S1079" s="57"/>
      <c r="T1079" s="41"/>
      <c r="U1079" s="41"/>
      <c r="V1079" s="51"/>
    </row>
    <row r="1080" spans="2:22" x14ac:dyDescent="0.25">
      <c r="B1080" s="405"/>
      <c r="C1080" s="89">
        <v>3</v>
      </c>
      <c r="D1080" s="203" t="s">
        <v>181</v>
      </c>
      <c r="H1080" s="161" t="str">
        <f>CONCATENATE(L1080,"-",C1080,"-",LEFT(D1080,3),LEFT(I1080,3),"-",LEFT(J1080,6),"-",6)</f>
        <v>GGD-3-POTMEJ-SMALL-6</v>
      </c>
      <c r="I1080" s="167" t="s">
        <v>146</v>
      </c>
      <c r="J1080" s="168" t="s">
        <v>138</v>
      </c>
      <c r="K1080" s="169" t="s">
        <v>356</v>
      </c>
      <c r="L1080" s="166" t="s">
        <v>208</v>
      </c>
      <c r="M1080" s="432"/>
      <c r="N1080" s="41"/>
      <c r="O1080" s="284"/>
      <c r="P1080" s="105"/>
      <c r="Q1080" s="57"/>
      <c r="R1080" s="57"/>
      <c r="S1080" s="57"/>
      <c r="T1080" s="41"/>
      <c r="U1080" s="41"/>
      <c r="V1080" s="51"/>
    </row>
    <row r="1081" spans="2:22" x14ac:dyDescent="0.25">
      <c r="B1081" s="405"/>
      <c r="C1081" s="89">
        <v>3</v>
      </c>
      <c r="D1081" s="203" t="s">
        <v>181</v>
      </c>
      <c r="H1081" s="161" t="str">
        <f>CONCATENATE(L1081,"-",C1081,"-",LEFT(D1081,3),LEFT(I1081,3),"-",LEFT(J1081,6),"-",7)</f>
        <v>GGD-3-POTMEJ-SMALL-7</v>
      </c>
      <c r="I1081" s="167" t="s">
        <v>146</v>
      </c>
      <c r="J1081" s="168" t="s">
        <v>138</v>
      </c>
      <c r="K1081" s="169" t="s">
        <v>362</v>
      </c>
      <c r="L1081" s="166" t="s">
        <v>208</v>
      </c>
      <c r="M1081" s="432"/>
      <c r="N1081" s="41"/>
      <c r="O1081" s="284"/>
      <c r="P1081" s="105"/>
      <c r="Q1081" s="57"/>
      <c r="R1081" s="57"/>
      <c r="S1081" s="57"/>
      <c r="T1081" s="41"/>
      <c r="U1081" s="41"/>
      <c r="V1081" s="51"/>
    </row>
    <row r="1082" spans="2:22" x14ac:dyDescent="0.25">
      <c r="B1082" s="405"/>
      <c r="C1082" s="89">
        <v>3</v>
      </c>
      <c r="D1082" s="203" t="s">
        <v>181</v>
      </c>
      <c r="H1082" s="161" t="str">
        <f>CONCATENATE(L1082,"-",C1082,"-",LEFT(D1082,3),LEFT(I1082,3),"-",LEFT(J1082,6),"-",8)</f>
        <v>GGD-3-POTMEJ-SMALL-8</v>
      </c>
      <c r="I1082" s="167" t="s">
        <v>146</v>
      </c>
      <c r="J1082" s="168" t="s">
        <v>138</v>
      </c>
      <c r="K1082" s="169" t="s">
        <v>354</v>
      </c>
      <c r="L1082" s="166" t="s">
        <v>208</v>
      </c>
      <c r="M1082" s="432"/>
      <c r="N1082" s="41"/>
      <c r="O1082" s="284"/>
      <c r="P1082" s="105"/>
      <c r="Q1082" s="57"/>
      <c r="R1082" s="57"/>
      <c r="S1082" s="57"/>
      <c r="T1082" s="41"/>
      <c r="U1082" s="41"/>
      <c r="V1082" s="51"/>
    </row>
    <row r="1083" spans="2:22" x14ac:dyDescent="0.25">
      <c r="B1083" s="405"/>
      <c r="C1083" s="89">
        <v>3</v>
      </c>
      <c r="D1083" s="203" t="s">
        <v>181</v>
      </c>
      <c r="H1083" s="161" t="str">
        <f>CONCATENATE(L1083,"-",C1083,"-",LEFT(D1083,3),LEFT(I1083,3),"-",LEFT(J1083,6),"-",9)</f>
        <v>GGD-3-POTMEJ-SMALL-9</v>
      </c>
      <c r="I1083" s="167" t="s">
        <v>146</v>
      </c>
      <c r="J1083" s="168" t="s">
        <v>138</v>
      </c>
      <c r="K1083" s="169" t="s">
        <v>354</v>
      </c>
      <c r="L1083" s="166" t="s">
        <v>208</v>
      </c>
      <c r="M1083" s="432"/>
      <c r="N1083" s="41"/>
      <c r="O1083" s="284"/>
      <c r="P1083" s="105"/>
      <c r="Q1083" s="57"/>
      <c r="R1083" s="57"/>
      <c r="S1083" s="57"/>
      <c r="T1083" s="41"/>
      <c r="U1083" s="41"/>
      <c r="V1083" s="51"/>
    </row>
    <row r="1084" spans="2:22" x14ac:dyDescent="0.25">
      <c r="B1084" s="405"/>
      <c r="C1084" s="89">
        <v>3</v>
      </c>
      <c r="D1084" s="203" t="s">
        <v>181</v>
      </c>
      <c r="H1084" s="161" t="str">
        <f>CONCATENATE(L1084,"-",C1084,"-",LEFT(D1084,3),LEFT(I1084,3),"-",LEFT(J1084,6),"-",10)</f>
        <v>GGD-3-POTMEJ-SMALL-10</v>
      </c>
      <c r="I1084" s="167" t="s">
        <v>146</v>
      </c>
      <c r="J1084" s="168" t="s">
        <v>138</v>
      </c>
      <c r="K1084" s="169" t="s">
        <v>354</v>
      </c>
      <c r="L1084" s="166" t="s">
        <v>208</v>
      </c>
      <c r="M1084" s="432"/>
      <c r="N1084" s="41"/>
      <c r="O1084" s="284"/>
      <c r="P1084" s="105"/>
      <c r="Q1084" s="57"/>
      <c r="R1084" s="57"/>
      <c r="S1084" s="57"/>
      <c r="T1084" s="41"/>
      <c r="U1084" s="41"/>
      <c r="V1084" s="51"/>
    </row>
    <row r="1085" spans="2:22" x14ac:dyDescent="0.25">
      <c r="B1085" s="405"/>
      <c r="C1085" s="89">
        <v>3</v>
      </c>
      <c r="D1085" s="203" t="s">
        <v>181</v>
      </c>
      <c r="H1085" s="161" t="str">
        <f>CONCATENATE(L1085,"-",C1085,"-",LEFT(D1085,3),LEFT(I1085,3),"-",LEFT(J1085,6),"-",11)</f>
        <v>GGD-3-POTMEJ-SMALL-11</v>
      </c>
      <c r="I1085" s="167" t="s">
        <v>146</v>
      </c>
      <c r="J1085" s="168" t="s">
        <v>138</v>
      </c>
      <c r="K1085" s="169" t="s">
        <v>360</v>
      </c>
      <c r="L1085" s="166" t="s">
        <v>208</v>
      </c>
      <c r="M1085" s="432"/>
      <c r="N1085" s="41"/>
      <c r="O1085" s="284"/>
      <c r="P1085" s="105"/>
      <c r="Q1085" s="57"/>
      <c r="R1085" s="57"/>
      <c r="S1085" s="57"/>
      <c r="T1085" s="41"/>
      <c r="U1085" s="41"/>
      <c r="V1085" s="51"/>
    </row>
    <row r="1086" spans="2:22" x14ac:dyDescent="0.25">
      <c r="B1086" s="405"/>
      <c r="C1086" s="89">
        <v>3</v>
      </c>
      <c r="D1086" s="203" t="s">
        <v>181</v>
      </c>
      <c r="H1086" s="161" t="str">
        <f>CONCATENATE(L1086,"-",C1086,"-",LEFT(D1086,3),LEFT(I1086,3),"-",LEFT(J1086,6),"-",12)</f>
        <v>GGD-3-POTMEJ-SMALL-12</v>
      </c>
      <c r="I1086" s="167" t="s">
        <v>146</v>
      </c>
      <c r="J1086" s="168" t="s">
        <v>138</v>
      </c>
      <c r="K1086" s="169" t="s">
        <v>360</v>
      </c>
      <c r="L1086" s="166" t="s">
        <v>208</v>
      </c>
      <c r="M1086" s="432"/>
      <c r="N1086" s="41"/>
      <c r="O1086" s="284"/>
      <c r="P1086" s="105"/>
      <c r="Q1086" s="57"/>
      <c r="R1086" s="57"/>
      <c r="S1086" s="57"/>
      <c r="T1086" s="41"/>
      <c r="U1086" s="41"/>
      <c r="V1086" s="51"/>
    </row>
    <row r="1087" spans="2:22" x14ac:dyDescent="0.25">
      <c r="B1087" s="405"/>
      <c r="C1087" s="89">
        <v>3</v>
      </c>
      <c r="D1087" s="203" t="s">
        <v>181</v>
      </c>
      <c r="H1087" s="161" t="str">
        <f>CONCATENATE(L1087,"-",C1087,"-",LEFT(D1087,3),LEFT(I1087,3),"-",LEFT(J1087,6),"-",13)</f>
        <v>GGD-3-POTMEJ-SMALL-13</v>
      </c>
      <c r="I1087" s="167" t="s">
        <v>146</v>
      </c>
      <c r="J1087" s="168" t="s">
        <v>138</v>
      </c>
      <c r="K1087" s="169" t="s">
        <v>360</v>
      </c>
      <c r="L1087" s="166" t="s">
        <v>208</v>
      </c>
      <c r="M1087" s="432"/>
      <c r="N1087" s="41"/>
      <c r="O1087" s="284"/>
      <c r="P1087" s="105"/>
      <c r="Q1087" s="57"/>
      <c r="R1087" s="57"/>
      <c r="S1087" s="57"/>
      <c r="T1087" s="41"/>
      <c r="U1087" s="41"/>
      <c r="V1087" s="51"/>
    </row>
    <row r="1088" spans="2:22" x14ac:dyDescent="0.25">
      <c r="B1088" s="405"/>
      <c r="C1088" s="89">
        <v>3</v>
      </c>
      <c r="D1088" s="203" t="s">
        <v>181</v>
      </c>
      <c r="H1088" s="161" t="str">
        <f>CONCATENATE(L1088,"-",C1088,"-",LEFT(D1088,3),LEFT(I1088,3),"-",LEFT(J1088,6),"-",14)</f>
        <v>GGD-3-POTMEJ-SMALL-14</v>
      </c>
      <c r="I1088" s="167" t="s">
        <v>146</v>
      </c>
      <c r="J1088" s="168" t="s">
        <v>138</v>
      </c>
      <c r="K1088" s="169" t="s">
        <v>375</v>
      </c>
      <c r="L1088" s="166" t="s">
        <v>208</v>
      </c>
      <c r="M1088" s="432"/>
      <c r="N1088" s="41"/>
      <c r="O1088" s="284"/>
      <c r="P1088" s="105"/>
      <c r="Q1088" s="57"/>
      <c r="R1088" s="57"/>
      <c r="S1088" s="57"/>
      <c r="T1088" s="41"/>
      <c r="U1088" s="41"/>
      <c r="V1088" s="51"/>
    </row>
    <row r="1089" spans="2:22" x14ac:dyDescent="0.25">
      <c r="B1089" s="405"/>
      <c r="C1089" s="89">
        <v>3</v>
      </c>
      <c r="D1089" s="203" t="s">
        <v>181</v>
      </c>
      <c r="H1089" s="161" t="str">
        <f>CONCATENATE(L1089,"-",C1089,"-",LEFT(D1089,3),LEFT(I1089,3),"-",LEFT(J1089,6),"-",15)</f>
        <v>GGD-3-POTMEJ-SMALL-15</v>
      </c>
      <c r="I1089" s="167" t="s">
        <v>146</v>
      </c>
      <c r="J1089" s="168" t="s">
        <v>138</v>
      </c>
      <c r="K1089" s="169" t="s">
        <v>376</v>
      </c>
      <c r="L1089" s="166" t="s">
        <v>208</v>
      </c>
      <c r="M1089" s="433"/>
      <c r="N1089" s="41"/>
      <c r="O1089" s="284"/>
      <c r="P1089" s="105"/>
      <c r="Q1089" s="57"/>
      <c r="R1089" s="57"/>
      <c r="S1089" s="57"/>
      <c r="T1089" s="41"/>
      <c r="U1089" s="41"/>
      <c r="V1089" s="51"/>
    </row>
    <row r="1090" spans="2:22" x14ac:dyDescent="0.25">
      <c r="B1090" s="405"/>
      <c r="C1090" s="89">
        <v>3</v>
      </c>
      <c r="D1090" s="203" t="s">
        <v>181</v>
      </c>
      <c r="H1090" s="161" t="str">
        <f>CONCATENATE(L1090,"-",C1090,"-",LEFT(D1090,3),LEFT(I1090,3),"-",LEFT(J1090,4),"-",1)</f>
        <v>GGD-3-POTKRI-SILV-1</v>
      </c>
      <c r="I1090" s="167" t="s">
        <v>196</v>
      </c>
      <c r="J1090" s="168" t="s">
        <v>332</v>
      </c>
      <c r="K1090" s="169" t="s">
        <v>355</v>
      </c>
      <c r="L1090" s="166" t="s">
        <v>208</v>
      </c>
      <c r="M1090" s="431">
        <f>'[4]FORM ASET'!$F$65</f>
        <v>3</v>
      </c>
      <c r="N1090" s="41"/>
      <c r="O1090" s="284"/>
      <c r="P1090" s="105"/>
      <c r="Q1090" s="57"/>
      <c r="R1090" s="57"/>
      <c r="S1090" s="57"/>
      <c r="T1090" s="41"/>
      <c r="U1090" s="41"/>
      <c r="V1090" s="51"/>
    </row>
    <row r="1091" spans="2:22" x14ac:dyDescent="0.25">
      <c r="B1091" s="405"/>
      <c r="C1091" s="89">
        <v>3</v>
      </c>
      <c r="D1091" s="203" t="s">
        <v>181</v>
      </c>
      <c r="H1091" s="161" t="str">
        <f>CONCATENATE(L1091,"-",C1091,"-",LEFT(D1091,3),LEFT(I1091,3),"-",LEFT(J1091,4),"-",2)</f>
        <v>GGD-3-POTKRI-SILV-2</v>
      </c>
      <c r="I1091" s="167" t="s">
        <v>196</v>
      </c>
      <c r="J1091" s="168" t="s">
        <v>332</v>
      </c>
      <c r="K1091" s="169" t="s">
        <v>356</v>
      </c>
      <c r="L1091" s="166" t="s">
        <v>208</v>
      </c>
      <c r="M1091" s="432"/>
      <c r="N1091" s="41"/>
      <c r="O1091" s="284"/>
      <c r="P1091" s="105"/>
      <c r="Q1091" s="57"/>
      <c r="R1091" s="57"/>
      <c r="S1091" s="57"/>
      <c r="T1091" s="41"/>
      <c r="U1091" s="41"/>
      <c r="V1091" s="51"/>
    </row>
    <row r="1092" spans="2:22" x14ac:dyDescent="0.25">
      <c r="B1092" s="405"/>
      <c r="C1092" s="89">
        <v>3</v>
      </c>
      <c r="D1092" s="203" t="s">
        <v>181</v>
      </c>
      <c r="H1092" s="161" t="str">
        <f>CONCATENATE(L1092,"-",C1092,"-",LEFT(D1092,3),LEFT(I1092,3),"-",LEFT(J1092,4),"-",3)</f>
        <v>GGD-3-POTKRI-SILV-3</v>
      </c>
      <c r="I1092" s="167" t="s">
        <v>196</v>
      </c>
      <c r="J1092" s="168" t="s">
        <v>332</v>
      </c>
      <c r="K1092" s="169" t="s">
        <v>354</v>
      </c>
      <c r="L1092" s="166" t="s">
        <v>208</v>
      </c>
      <c r="M1092" s="433"/>
      <c r="N1092" s="41"/>
      <c r="O1092" s="284"/>
      <c r="P1092" s="105"/>
      <c r="Q1092" s="57"/>
      <c r="R1092" s="57"/>
      <c r="S1092" s="57"/>
      <c r="T1092" s="41"/>
      <c r="U1092" s="41"/>
      <c r="V1092" s="51"/>
    </row>
    <row r="1093" spans="2:22" x14ac:dyDescent="0.25">
      <c r="B1093" s="405"/>
      <c r="C1093" s="89">
        <v>3</v>
      </c>
      <c r="D1093" s="203" t="s">
        <v>295</v>
      </c>
      <c r="H1093" s="161" t="str">
        <f>CONCATENATE(L1093,"-",C1093,"-",LEFT(D1093,3),LEFT(I1093,3),"-",LEFT(J1093,6),"-",1)</f>
        <v>GGD-3-PAIFRA-BIG-1</v>
      </c>
      <c r="I1093" s="167" t="s">
        <v>296</v>
      </c>
      <c r="J1093" s="168" t="s">
        <v>218</v>
      </c>
      <c r="K1093" s="169" t="s">
        <v>355</v>
      </c>
      <c r="L1093" s="166" t="s">
        <v>208</v>
      </c>
      <c r="M1093" s="431">
        <f>'[4]FORM ASET'!$F$59</f>
        <v>4</v>
      </c>
      <c r="N1093" s="41"/>
      <c r="O1093" s="284"/>
      <c r="P1093" s="105"/>
      <c r="Q1093" s="57"/>
      <c r="R1093" s="57"/>
      <c r="S1093" s="57"/>
      <c r="T1093" s="41"/>
      <c r="U1093" s="41"/>
      <c r="V1093" s="51"/>
    </row>
    <row r="1094" spans="2:22" x14ac:dyDescent="0.25">
      <c r="B1094" s="405"/>
      <c r="C1094" s="89">
        <v>3</v>
      </c>
      <c r="D1094" s="203" t="s">
        <v>295</v>
      </c>
      <c r="H1094" s="161" t="str">
        <f>CONCATENATE(L1094,"-",C1094,"-",LEFT(D1094,3),LEFT(I1094,3),"-",LEFT(J1094,6),"-",2)</f>
        <v>GGD-3-PAIFRA-BIG-2</v>
      </c>
      <c r="I1094" s="167" t="s">
        <v>296</v>
      </c>
      <c r="J1094" s="168" t="s">
        <v>218</v>
      </c>
      <c r="K1094" s="169" t="s">
        <v>354</v>
      </c>
      <c r="L1094" s="166" t="s">
        <v>208</v>
      </c>
      <c r="M1094" s="432"/>
      <c r="N1094" s="41"/>
      <c r="O1094" s="284"/>
      <c r="P1094" s="105"/>
      <c r="Q1094" s="57"/>
      <c r="R1094" s="57"/>
      <c r="S1094" s="57"/>
      <c r="T1094" s="41"/>
      <c r="U1094" s="41"/>
      <c r="V1094" s="51"/>
    </row>
    <row r="1095" spans="2:22" x14ac:dyDescent="0.25">
      <c r="B1095" s="405"/>
      <c r="C1095" s="89">
        <v>3</v>
      </c>
      <c r="D1095" s="203" t="s">
        <v>295</v>
      </c>
      <c r="H1095" s="161" t="str">
        <f>CONCATENATE(L1095,"-",C1095,"-",LEFT(D1095,3),LEFT(I1095,3),"-",LEFT(J1095,6),"-",3)</f>
        <v>GGD-3-PAIFRA-BIG-3</v>
      </c>
      <c r="I1095" s="167" t="s">
        <v>296</v>
      </c>
      <c r="J1095" s="168" t="s">
        <v>218</v>
      </c>
      <c r="K1095" s="169" t="s">
        <v>358</v>
      </c>
      <c r="L1095" s="166" t="s">
        <v>208</v>
      </c>
      <c r="M1095" s="432"/>
      <c r="N1095" s="41"/>
      <c r="O1095" s="284"/>
      <c r="P1095" s="105"/>
      <c r="Q1095" s="57"/>
      <c r="R1095" s="57"/>
      <c r="S1095" s="57"/>
      <c r="T1095" s="41"/>
      <c r="U1095" s="41"/>
      <c r="V1095" s="51"/>
    </row>
    <row r="1096" spans="2:22" x14ac:dyDescent="0.25">
      <c r="B1096" s="405"/>
      <c r="C1096" s="89">
        <v>3</v>
      </c>
      <c r="D1096" s="203" t="s">
        <v>295</v>
      </c>
      <c r="H1096" s="161" t="str">
        <f>CONCATENATE(L1096,"-",C1096,"-",LEFT(D1096,3),LEFT(I1096,3),"-",LEFT(J1096,6),"-",4)</f>
        <v>GGD-3-PAIFRA-BIG-4</v>
      </c>
      <c r="I1096" s="167" t="s">
        <v>296</v>
      </c>
      <c r="J1096" s="168" t="s">
        <v>218</v>
      </c>
      <c r="K1096" s="169" t="s">
        <v>358</v>
      </c>
      <c r="L1096" s="166" t="s">
        <v>208</v>
      </c>
      <c r="M1096" s="433"/>
      <c r="N1096" s="41"/>
      <c r="O1096" s="284"/>
      <c r="P1096" s="105"/>
      <c r="Q1096" s="57"/>
      <c r="R1096" s="57"/>
      <c r="S1096" s="57"/>
      <c r="T1096" s="41"/>
      <c r="U1096" s="41"/>
      <c r="V1096" s="51"/>
    </row>
    <row r="1097" spans="2:22" x14ac:dyDescent="0.25">
      <c r="B1097" s="405"/>
      <c r="C1097" s="89">
        <v>3</v>
      </c>
      <c r="D1097" s="203" t="s">
        <v>295</v>
      </c>
      <c r="H1097" s="161" t="str">
        <f>CONCATENATE(L1097,"-",C1097,"-",LEFT(D1097,3),LEFT(I1097,3),"-",LEFT(J1097,4),"-",1)</f>
        <v>GGD-3-PAIFRA-SMAL-1</v>
      </c>
      <c r="I1097" s="167" t="s">
        <v>296</v>
      </c>
      <c r="J1097" s="168" t="s">
        <v>138</v>
      </c>
      <c r="K1097" s="169" t="s">
        <v>356</v>
      </c>
      <c r="L1097" s="166" t="s">
        <v>208</v>
      </c>
      <c r="M1097" s="431">
        <f>'[4]FORM ASET'!$F$60</f>
        <v>3</v>
      </c>
      <c r="N1097" s="41"/>
      <c r="O1097" s="284"/>
      <c r="P1097" s="105"/>
      <c r="Q1097" s="57"/>
      <c r="R1097" s="57"/>
      <c r="S1097" s="57"/>
      <c r="T1097" s="41"/>
      <c r="U1097" s="41"/>
      <c r="V1097" s="51"/>
    </row>
    <row r="1098" spans="2:22" x14ac:dyDescent="0.25">
      <c r="B1098" s="405"/>
      <c r="C1098" s="89">
        <v>3</v>
      </c>
      <c r="D1098" s="203" t="s">
        <v>295</v>
      </c>
      <c r="H1098" s="161" t="str">
        <f>CONCATENATE(L1098,"-",C1098,"-",LEFT(D1098,3),LEFT(I1098,3),"-",LEFT(J1098,4),"-",2)</f>
        <v>GGD-3-PAIFRA-SMAL-2</v>
      </c>
      <c r="I1098" s="167" t="s">
        <v>296</v>
      </c>
      <c r="J1098" s="168" t="s">
        <v>138</v>
      </c>
      <c r="K1098" s="169" t="s">
        <v>356</v>
      </c>
      <c r="L1098" s="166" t="s">
        <v>208</v>
      </c>
      <c r="M1098" s="432"/>
      <c r="N1098" s="41"/>
      <c r="O1098" s="284"/>
      <c r="P1098" s="105"/>
      <c r="Q1098" s="57"/>
      <c r="R1098" s="57"/>
      <c r="S1098" s="57"/>
      <c r="T1098" s="41"/>
      <c r="U1098" s="41"/>
      <c r="V1098" s="51"/>
    </row>
    <row r="1099" spans="2:22" x14ac:dyDescent="0.25">
      <c r="B1099" s="405"/>
      <c r="C1099" s="89">
        <v>3</v>
      </c>
      <c r="D1099" s="203" t="s">
        <v>295</v>
      </c>
      <c r="H1099" s="161" t="str">
        <f>CONCATENATE(L1099,"-",C1099,"-",LEFT(D1099,3),LEFT(I1099,3),"-",LEFT(J1099,4),"-",3)</f>
        <v>GGD-3-PAIFRA-SMAL-3</v>
      </c>
      <c r="I1099" s="167" t="s">
        <v>296</v>
      </c>
      <c r="J1099" s="168" t="s">
        <v>138</v>
      </c>
      <c r="K1099" s="169" t="s">
        <v>356</v>
      </c>
      <c r="L1099" s="166" t="s">
        <v>208</v>
      </c>
      <c r="M1099" s="433"/>
      <c r="N1099" s="41"/>
      <c r="O1099" s="284"/>
      <c r="P1099" s="105"/>
      <c r="Q1099" s="57"/>
      <c r="R1099" s="57"/>
      <c r="S1099" s="57"/>
      <c r="T1099" s="41"/>
      <c r="U1099" s="41"/>
      <c r="V1099" s="51"/>
    </row>
    <row r="1100" spans="2:22" x14ac:dyDescent="0.25">
      <c r="B1100" s="405"/>
      <c r="C1100" s="89">
        <v>3</v>
      </c>
      <c r="D1100" s="203" t="s">
        <v>182</v>
      </c>
      <c r="H1100" s="161" t="str">
        <f t="shared" ref="H1100:H1108" si="16">CONCATENATE(L1100,"-",C1100,"-",LEFT(D1100,3),LEFT(I1100,3),"-",LEFT(J1100,6))</f>
        <v>GGD-3-TEL-RED</v>
      </c>
      <c r="I1100" s="167"/>
      <c r="J1100" s="168" t="s">
        <v>220</v>
      </c>
      <c r="K1100" s="347" t="s">
        <v>359</v>
      </c>
      <c r="L1100" s="166" t="s">
        <v>208</v>
      </c>
      <c r="M1100" s="277">
        <v>0</v>
      </c>
      <c r="N1100" s="41"/>
      <c r="O1100" s="284"/>
      <c r="P1100" s="105"/>
      <c r="Q1100" s="57"/>
      <c r="R1100" s="57"/>
      <c r="S1100" s="57"/>
      <c r="T1100" s="41"/>
      <c r="U1100" s="41"/>
      <c r="V1100" s="51"/>
    </row>
    <row r="1101" spans="2:22" x14ac:dyDescent="0.25">
      <c r="B1101" s="405"/>
      <c r="C1101" s="89">
        <v>3</v>
      </c>
      <c r="D1101" s="203" t="s">
        <v>183</v>
      </c>
      <c r="H1101" s="161" t="str">
        <f t="shared" si="16"/>
        <v>GGD-3-REMAC -SHARP</v>
      </c>
      <c r="I1101" s="167" t="s">
        <v>23</v>
      </c>
      <c r="J1101" s="168" t="s">
        <v>133</v>
      </c>
      <c r="K1101" s="347" t="s">
        <v>359</v>
      </c>
      <c r="L1101" s="166" t="s">
        <v>208</v>
      </c>
      <c r="M1101" s="277">
        <v>0</v>
      </c>
      <c r="N1101" s="41"/>
      <c r="O1101" s="284"/>
      <c r="P1101" s="105"/>
      <c r="Q1101" s="57"/>
      <c r="R1101" s="57"/>
      <c r="S1101" s="57"/>
      <c r="T1101" s="41"/>
      <c r="U1101" s="41"/>
      <c r="V1101" s="51"/>
    </row>
    <row r="1102" spans="2:22" x14ac:dyDescent="0.25">
      <c r="B1102" s="405"/>
      <c r="C1102" s="89">
        <v>3</v>
      </c>
      <c r="D1102" s="203" t="s">
        <v>183</v>
      </c>
      <c r="H1102" s="161" t="str">
        <f t="shared" si="16"/>
        <v>GGD-3-REMAC -GREE</v>
      </c>
      <c r="I1102" s="167" t="s">
        <v>23</v>
      </c>
      <c r="J1102" s="168" t="s">
        <v>135</v>
      </c>
      <c r="K1102" s="347" t="s">
        <v>359</v>
      </c>
      <c r="L1102" s="166" t="s">
        <v>208</v>
      </c>
      <c r="M1102" s="277">
        <v>0</v>
      </c>
      <c r="N1102" s="41"/>
      <c r="O1102" s="284"/>
      <c r="P1102" s="105"/>
      <c r="Q1102" s="57"/>
      <c r="R1102" s="57"/>
      <c r="S1102" s="57"/>
      <c r="T1102" s="41"/>
      <c r="U1102" s="41"/>
      <c r="V1102" s="51"/>
    </row>
    <row r="1103" spans="2:22" x14ac:dyDescent="0.25">
      <c r="B1103" s="405"/>
      <c r="C1103" s="89">
        <v>3</v>
      </c>
      <c r="D1103" s="203" t="s">
        <v>183</v>
      </c>
      <c r="H1103" s="161" t="str">
        <f t="shared" si="16"/>
        <v>GGD-3-REMAC -PANASO</v>
      </c>
      <c r="I1103" s="167" t="s">
        <v>23</v>
      </c>
      <c r="J1103" s="168" t="s">
        <v>134</v>
      </c>
      <c r="K1103" s="347" t="s">
        <v>359</v>
      </c>
      <c r="L1103" s="166" t="s">
        <v>208</v>
      </c>
      <c r="M1103" s="277">
        <v>0</v>
      </c>
      <c r="N1103" s="41"/>
      <c r="O1103" s="284"/>
      <c r="P1103" s="105"/>
      <c r="Q1103" s="57"/>
      <c r="R1103" s="57"/>
      <c r="S1103" s="57"/>
      <c r="T1103" s="41"/>
      <c r="U1103" s="41"/>
      <c r="V1103" s="51"/>
    </row>
    <row r="1104" spans="2:22" x14ac:dyDescent="0.25">
      <c r="B1104" s="405"/>
      <c r="C1104" s="89">
        <v>3</v>
      </c>
      <c r="D1104" s="203" t="s">
        <v>183</v>
      </c>
      <c r="H1104" s="161" t="str">
        <f t="shared" si="16"/>
        <v>GGD-3-REMAC -SANYO</v>
      </c>
      <c r="I1104" s="167" t="s">
        <v>23</v>
      </c>
      <c r="J1104" s="168" t="s">
        <v>136</v>
      </c>
      <c r="K1104" s="347" t="s">
        <v>359</v>
      </c>
      <c r="L1104" s="166" t="s">
        <v>208</v>
      </c>
      <c r="M1104" s="277">
        <v>0</v>
      </c>
      <c r="N1104" s="41"/>
      <c r="O1104" s="284"/>
      <c r="P1104" s="105"/>
      <c r="Q1104" s="57"/>
      <c r="R1104" s="57"/>
      <c r="S1104" s="57"/>
      <c r="T1104" s="41"/>
      <c r="U1104" s="41"/>
      <c r="V1104" s="51"/>
    </row>
    <row r="1105" spans="2:22" x14ac:dyDescent="0.25">
      <c r="B1105" s="405"/>
      <c r="C1105" s="89">
        <v>3</v>
      </c>
      <c r="D1105" s="203" t="s">
        <v>183</v>
      </c>
      <c r="H1105" s="161" t="str">
        <f t="shared" si="16"/>
        <v>GGD-3-REMAC -DAIKIN</v>
      </c>
      <c r="I1105" s="167" t="s">
        <v>23</v>
      </c>
      <c r="J1105" s="168" t="s">
        <v>137</v>
      </c>
      <c r="K1105" s="347" t="s">
        <v>359</v>
      </c>
      <c r="L1105" s="166" t="s">
        <v>208</v>
      </c>
      <c r="M1105" s="277">
        <v>0</v>
      </c>
      <c r="N1105" s="41"/>
      <c r="O1105" s="284"/>
      <c r="P1105" s="105"/>
      <c r="Q1105" s="57"/>
      <c r="R1105" s="57"/>
      <c r="S1105" s="57"/>
      <c r="T1105" s="41"/>
      <c r="U1105" s="41"/>
      <c r="V1105" s="51"/>
    </row>
    <row r="1106" spans="2:22" x14ac:dyDescent="0.25">
      <c r="B1106" s="405"/>
      <c r="C1106" s="89">
        <v>3</v>
      </c>
      <c r="D1106" s="203" t="s">
        <v>183</v>
      </c>
      <c r="H1106" s="161" t="str">
        <f t="shared" si="16"/>
        <v>GGD-3-REMAC -SAMSUN</v>
      </c>
      <c r="I1106" s="167" t="s">
        <v>23</v>
      </c>
      <c r="J1106" s="168" t="s">
        <v>221</v>
      </c>
      <c r="K1106" s="347" t="s">
        <v>359</v>
      </c>
      <c r="L1106" s="166" t="s">
        <v>208</v>
      </c>
      <c r="M1106" s="277">
        <v>0</v>
      </c>
      <c r="N1106" s="41"/>
      <c r="O1106" s="284"/>
      <c r="P1106" s="105"/>
      <c r="Q1106" s="57"/>
      <c r="R1106" s="57"/>
      <c r="S1106" s="57"/>
      <c r="T1106" s="41"/>
      <c r="U1106" s="41"/>
      <c r="V1106" s="51"/>
    </row>
    <row r="1107" spans="2:22" x14ac:dyDescent="0.25">
      <c r="B1107" s="405"/>
      <c r="C1107" s="89">
        <v>3</v>
      </c>
      <c r="D1107" s="203" t="s">
        <v>183</v>
      </c>
      <c r="H1107" s="161" t="str">
        <f t="shared" si="16"/>
        <v>GGD-3-REMAC -CHANGH</v>
      </c>
      <c r="I1107" s="167" t="s">
        <v>23</v>
      </c>
      <c r="J1107" s="168" t="s">
        <v>339</v>
      </c>
      <c r="K1107" s="347" t="s">
        <v>359</v>
      </c>
      <c r="L1107" s="166" t="s">
        <v>208</v>
      </c>
      <c r="M1107" s="277">
        <v>0</v>
      </c>
      <c r="N1107" s="41"/>
      <c r="O1107" s="284"/>
      <c r="P1107" s="105"/>
      <c r="Q1107" s="57"/>
      <c r="R1107" s="57"/>
      <c r="S1107" s="57"/>
      <c r="T1107" s="41"/>
      <c r="U1107" s="41"/>
      <c r="V1107" s="51"/>
    </row>
    <row r="1108" spans="2:22" x14ac:dyDescent="0.25">
      <c r="B1108" s="405"/>
      <c r="C1108" s="89">
        <v>3</v>
      </c>
      <c r="D1108" s="203" t="s">
        <v>57</v>
      </c>
      <c r="H1108" s="161" t="str">
        <f t="shared" si="16"/>
        <v>GGD-3-TVSHA-50 INC</v>
      </c>
      <c r="I1108" s="167" t="s">
        <v>133</v>
      </c>
      <c r="J1108" s="168" t="s">
        <v>184</v>
      </c>
      <c r="K1108" s="347" t="s">
        <v>359</v>
      </c>
      <c r="L1108" s="166" t="s">
        <v>208</v>
      </c>
      <c r="M1108" s="277">
        <v>0</v>
      </c>
      <c r="N1108" s="41"/>
      <c r="O1108" s="284"/>
      <c r="P1108" s="105"/>
      <c r="Q1108" s="57"/>
      <c r="R1108" s="57"/>
      <c r="S1108" s="57"/>
      <c r="T1108" s="41"/>
      <c r="U1108" s="41"/>
      <c r="V1108" s="51"/>
    </row>
    <row r="1109" spans="2:22" x14ac:dyDescent="0.25">
      <c r="B1109" s="405"/>
      <c r="C1109" s="89">
        <v>3</v>
      </c>
      <c r="D1109" s="203" t="s">
        <v>57</v>
      </c>
      <c r="H1109" s="161" t="str">
        <f>CONCATENATE(L1109,"-",C1109,"-",LEFT(D1109,3),LEFT(I1109,3),"-",LEFT(J1109,6),"-",1)</f>
        <v>GGD-3-TVPOL-32 INC-1</v>
      </c>
      <c r="I1109" s="167" t="s">
        <v>305</v>
      </c>
      <c r="J1109" s="168" t="s">
        <v>307</v>
      </c>
      <c r="K1109" s="169" t="s">
        <v>355</v>
      </c>
      <c r="L1109" s="166" t="s">
        <v>208</v>
      </c>
      <c r="M1109" s="431">
        <v>2</v>
      </c>
      <c r="N1109" s="41"/>
      <c r="O1109" s="284"/>
      <c r="P1109" s="105"/>
      <c r="Q1109" s="57"/>
      <c r="R1109" s="57"/>
      <c r="S1109" s="57"/>
      <c r="T1109" s="41"/>
      <c r="U1109" s="41"/>
      <c r="V1109" s="51"/>
    </row>
    <row r="1110" spans="2:22" x14ac:dyDescent="0.25">
      <c r="B1110" s="405"/>
      <c r="C1110" s="89">
        <v>3</v>
      </c>
      <c r="D1110" s="203" t="s">
        <v>57</v>
      </c>
      <c r="H1110" s="161" t="str">
        <f>CONCATENATE(L1110,"-",C1110,"-",LEFT(D1110,3),LEFT(I1110,3),"-",LEFT(J1110,6),"-",2)</f>
        <v>GGD-3-TVPOL-32 INC-2</v>
      </c>
      <c r="I1110" s="167" t="s">
        <v>305</v>
      </c>
      <c r="J1110" s="168" t="s">
        <v>307</v>
      </c>
      <c r="K1110" s="169" t="s">
        <v>365</v>
      </c>
      <c r="L1110" s="166" t="s">
        <v>208</v>
      </c>
      <c r="M1110" s="433"/>
      <c r="N1110" s="41"/>
      <c r="O1110" s="284"/>
      <c r="P1110" s="105"/>
      <c r="Q1110" s="57"/>
      <c r="R1110" s="57"/>
      <c r="S1110" s="57"/>
      <c r="T1110" s="41"/>
      <c r="U1110" s="41"/>
      <c r="V1110" s="51"/>
    </row>
    <row r="1111" spans="2:22" x14ac:dyDescent="0.25">
      <c r="B1111" s="405"/>
      <c r="C1111" s="89">
        <v>3</v>
      </c>
      <c r="D1111" s="203" t="s">
        <v>57</v>
      </c>
      <c r="H1111" s="161" t="str">
        <f>CONCATENATE(L1111,"-",C1111,"-",LEFT(D1111,3),LEFT(I1111,3),"-",LEFT(J1111,6))</f>
        <v>GGD-3-TVHIS-58 INC</v>
      </c>
      <c r="I1111" s="167" t="s">
        <v>306</v>
      </c>
      <c r="J1111" s="168" t="s">
        <v>308</v>
      </c>
      <c r="K1111" s="169" t="s">
        <v>354</v>
      </c>
      <c r="L1111" s="166" t="s">
        <v>208</v>
      </c>
      <c r="M1111" s="277">
        <v>1</v>
      </c>
      <c r="N1111" s="41"/>
      <c r="O1111" s="284"/>
      <c r="P1111" s="105"/>
      <c r="Q1111" s="57"/>
      <c r="R1111" s="57"/>
      <c r="S1111" s="57"/>
      <c r="T1111" s="41"/>
      <c r="U1111" s="41"/>
      <c r="V1111" s="51"/>
    </row>
    <row r="1112" spans="2:22" x14ac:dyDescent="0.25">
      <c r="B1112" s="405"/>
      <c r="C1112" s="89">
        <v>3</v>
      </c>
      <c r="D1112" s="203" t="s">
        <v>57</v>
      </c>
      <c r="H1112" s="161" t="str">
        <f>CONCATENATE(L1112,"-",C1112,"-",LEFT(D1112,3),LEFT(I1112,3),"-",LEFT(J1112,6))</f>
        <v>GGD-3-TVPAN-32 INC</v>
      </c>
      <c r="I1112" s="167" t="s">
        <v>134</v>
      </c>
      <c r="J1112" s="168" t="s">
        <v>307</v>
      </c>
      <c r="K1112" s="347" t="s">
        <v>359</v>
      </c>
      <c r="L1112" s="166" t="s">
        <v>208</v>
      </c>
      <c r="M1112" s="277">
        <v>0</v>
      </c>
      <c r="N1112" s="41"/>
      <c r="O1112" s="284"/>
      <c r="P1112" s="105"/>
      <c r="Q1112" s="57"/>
      <c r="R1112" s="57"/>
      <c r="S1112" s="57"/>
      <c r="T1112" s="41"/>
      <c r="U1112" s="41"/>
      <c r="V1112" s="51"/>
    </row>
    <row r="1113" spans="2:22" x14ac:dyDescent="0.25">
      <c r="B1113" s="405"/>
      <c r="C1113" s="89">
        <v>3</v>
      </c>
      <c r="D1113" s="203" t="s">
        <v>57</v>
      </c>
      <c r="H1113" s="161" t="str">
        <f>CONCATENATE(L1113,"-",C1113,"-",LEFT(D1113,3),LEFT(I1113,3),"-",LEFT(J1113,6))</f>
        <v>GGD-3-TVAKA-50 INC</v>
      </c>
      <c r="I1113" s="167" t="s">
        <v>338</v>
      </c>
      <c r="J1113" s="168" t="s">
        <v>184</v>
      </c>
      <c r="K1113" s="347" t="s">
        <v>359</v>
      </c>
      <c r="L1113" s="166" t="s">
        <v>208</v>
      </c>
      <c r="M1113" s="277">
        <v>0</v>
      </c>
      <c r="N1113" s="41"/>
      <c r="O1113" s="284"/>
      <c r="P1113" s="105"/>
      <c r="Q1113" s="57"/>
      <c r="R1113" s="57"/>
      <c r="S1113" s="57"/>
      <c r="T1113" s="41"/>
      <c r="U1113" s="41"/>
      <c r="V1113" s="51"/>
    </row>
    <row r="1114" spans="2:22" x14ac:dyDescent="0.25">
      <c r="B1114" s="405"/>
      <c r="C1114" s="89">
        <v>3</v>
      </c>
      <c r="D1114" s="203" t="s">
        <v>185</v>
      </c>
      <c r="H1114" s="161" t="str">
        <f>CONCATENATE(L1114,"-",C1114,"-",LEFT(D1114,3),LEFT(I1114,3),"-",LEFT(J1114,6))</f>
        <v>GGD-3-DISKRI-PUTIH</v>
      </c>
      <c r="I1114" s="167" t="s">
        <v>187</v>
      </c>
      <c r="J1114" s="168" t="s">
        <v>186</v>
      </c>
      <c r="K1114" s="169" t="s">
        <v>364</v>
      </c>
      <c r="L1114" s="166" t="s">
        <v>208</v>
      </c>
      <c r="M1114" s="277">
        <f>'[4]FORM ASET'!$F$81</f>
        <v>1</v>
      </c>
      <c r="N1114" s="41"/>
      <c r="O1114" s="284"/>
      <c r="P1114" s="105"/>
      <c r="Q1114" s="57"/>
      <c r="R1114" s="57"/>
      <c r="S1114" s="57"/>
      <c r="T1114" s="41"/>
      <c r="U1114" s="41"/>
      <c r="V1114" s="51"/>
    </row>
    <row r="1115" spans="2:22" x14ac:dyDescent="0.25">
      <c r="B1115" s="405"/>
      <c r="C1115" s="89">
        <v>3</v>
      </c>
      <c r="D1115" s="203" t="s">
        <v>185</v>
      </c>
      <c r="H1115" s="161" t="str">
        <f>CONCATENATE(L1115,"-",C1115,"-",LEFT(D1115,3),LEFT(I1115,3),"-",LEFT(J1115,6))</f>
        <v>GGD-3-DISMIY-KECIL</v>
      </c>
      <c r="I1115" s="167" t="s">
        <v>330</v>
      </c>
      <c r="J1115" s="168" t="s">
        <v>331</v>
      </c>
      <c r="K1115" s="347" t="s">
        <v>359</v>
      </c>
      <c r="L1115" s="166" t="s">
        <v>208</v>
      </c>
      <c r="M1115" s="277">
        <v>0</v>
      </c>
      <c r="N1115" s="41"/>
      <c r="O1115" s="284"/>
      <c r="P1115" s="105"/>
      <c r="Q1115" s="57"/>
      <c r="R1115" s="57"/>
      <c r="S1115" s="57"/>
      <c r="T1115" s="41"/>
      <c r="U1115" s="41"/>
      <c r="V1115" s="51"/>
    </row>
    <row r="1116" spans="2:22" x14ac:dyDescent="0.25">
      <c r="B1116" s="405"/>
      <c r="C1116" s="89">
        <v>3</v>
      </c>
      <c r="D1116" s="203" t="s">
        <v>320</v>
      </c>
      <c r="H1116" s="161" t="str">
        <f>CONCATENATE(L1116,"-",C1116,"-",LEFT(D1116,3),LEFT(I1116,3),"-",LEFT(J1116,3),"-",1)</f>
        <v>GGD-3-COFKLA-ORA-1</v>
      </c>
      <c r="I1116" s="167" t="s">
        <v>321</v>
      </c>
      <c r="J1116" s="168" t="s">
        <v>371</v>
      </c>
      <c r="K1116" s="169" t="s">
        <v>364</v>
      </c>
      <c r="L1116" s="166" t="s">
        <v>208</v>
      </c>
      <c r="M1116" s="431">
        <f>'[4]FORM ASET'!$F$82</f>
        <v>2</v>
      </c>
      <c r="N1116" s="41"/>
      <c r="O1116" s="284"/>
      <c r="P1116" s="105"/>
      <c r="Q1116" s="57"/>
      <c r="R1116" s="57"/>
      <c r="S1116" s="57"/>
      <c r="T1116" s="41"/>
      <c r="U1116" s="41"/>
      <c r="V1116" s="51"/>
    </row>
    <row r="1117" spans="2:22" x14ac:dyDescent="0.25">
      <c r="B1117" s="405"/>
      <c r="C1117" s="89">
        <v>3</v>
      </c>
      <c r="D1117" s="203" t="s">
        <v>320</v>
      </c>
      <c r="H1117" s="161" t="str">
        <f>CONCATENATE(L1117,"-",C1117,"-",LEFT(D1117,3),LEFT(I1117,3),"-",LEFT(J1117,3),"-",2)</f>
        <v>GGD-3-COFKLA-BLA-2</v>
      </c>
      <c r="I1117" s="167" t="s">
        <v>321</v>
      </c>
      <c r="J1117" s="168" t="s">
        <v>310</v>
      </c>
      <c r="K1117" s="169" t="s">
        <v>355</v>
      </c>
      <c r="L1117" s="166" t="s">
        <v>208</v>
      </c>
      <c r="M1117" s="433"/>
      <c r="N1117" s="41"/>
      <c r="O1117" s="284"/>
      <c r="P1117" s="105"/>
      <c r="Q1117" s="57"/>
      <c r="R1117" s="57"/>
      <c r="S1117" s="57"/>
      <c r="T1117" s="41"/>
      <c r="U1117" s="41"/>
      <c r="V1117" s="51"/>
    </row>
    <row r="1118" spans="2:22" x14ac:dyDescent="0.25">
      <c r="B1118" s="405"/>
      <c r="C1118" s="89">
        <v>3</v>
      </c>
      <c r="D1118" s="203" t="s">
        <v>188</v>
      </c>
      <c r="H1118" s="161" t="str">
        <f>CONCATENATE(L1118,"-",C1118,"-",LEFT(D1118,3),LEFT(I1118,3),"-",LEFT(J1118,6))</f>
        <v>GGD-3-MICKRI-BLACK/</v>
      </c>
      <c r="I1118" s="167" t="s">
        <v>187</v>
      </c>
      <c r="J1118" s="168" t="s">
        <v>351</v>
      </c>
      <c r="K1118" s="169" t="s">
        <v>364</v>
      </c>
      <c r="L1118" s="166" t="s">
        <v>208</v>
      </c>
      <c r="M1118" s="277">
        <f>'[4]FORM ASET'!$F$83</f>
        <v>1</v>
      </c>
      <c r="N1118" s="41"/>
      <c r="O1118" s="284"/>
      <c r="P1118" s="105"/>
      <c r="Q1118" s="57"/>
      <c r="R1118" s="57"/>
      <c r="S1118" s="57"/>
      <c r="T1118" s="41"/>
      <c r="U1118" s="41"/>
      <c r="V1118" s="51"/>
    </row>
    <row r="1119" spans="2:22" x14ac:dyDescent="0.25">
      <c r="B1119" s="405"/>
      <c r="C1119" s="89">
        <v>3</v>
      </c>
      <c r="D1119" s="203" t="s">
        <v>342</v>
      </c>
      <c r="H1119" s="161" t="str">
        <f>CONCATENATE(L1119,"-",C1119,"-",LEFT(D1119,3),LEFT(I1119,3),"-",LEFT(J1119,6))</f>
        <v>GGD-3-STECON-RAKIT</v>
      </c>
      <c r="I1119" s="167" t="s">
        <v>179</v>
      </c>
      <c r="J1119" s="168" t="s">
        <v>343</v>
      </c>
      <c r="K1119" s="169" t="s">
        <v>364</v>
      </c>
      <c r="L1119" s="166" t="s">
        <v>208</v>
      </c>
      <c r="M1119" s="277">
        <f>'[4]FORM ASET'!$F$94</f>
        <v>1</v>
      </c>
      <c r="N1119" s="41"/>
      <c r="O1119" s="284"/>
      <c r="P1119" s="105"/>
      <c r="Q1119" s="57"/>
      <c r="R1119" s="57"/>
      <c r="S1119" s="57"/>
      <c r="T1119" s="41"/>
      <c r="U1119" s="41"/>
      <c r="V1119" s="51"/>
    </row>
    <row r="1120" spans="2:22" x14ac:dyDescent="0.25">
      <c r="B1120" s="405"/>
      <c r="C1120" s="89">
        <v>3</v>
      </c>
      <c r="D1120" s="203" t="s">
        <v>189</v>
      </c>
      <c r="H1120" s="161" t="str">
        <f>CONCATENATE(L1120,"-",C1120,"-",LEFT(D1120,3),LEFT(I1120,3),"-",LEFT(J1120,3))</f>
        <v>GGD-3-REF3 P-TOS</v>
      </c>
      <c r="I1120" s="167" t="s">
        <v>190</v>
      </c>
      <c r="J1120" s="168" t="s">
        <v>191</v>
      </c>
      <c r="K1120" s="347" t="s">
        <v>359</v>
      </c>
      <c r="L1120" s="166" t="s">
        <v>208</v>
      </c>
      <c r="M1120" s="277">
        <v>0</v>
      </c>
      <c r="N1120" s="41"/>
      <c r="O1120" s="284"/>
      <c r="P1120" s="105"/>
      <c r="Q1120" s="57"/>
      <c r="R1120" s="57"/>
      <c r="S1120" s="57"/>
      <c r="T1120" s="41"/>
      <c r="U1120" s="41"/>
      <c r="V1120" s="51"/>
    </row>
    <row r="1121" spans="2:22" x14ac:dyDescent="0.25">
      <c r="B1121" s="405"/>
      <c r="C1121" s="89">
        <v>3</v>
      </c>
      <c r="D1121" s="203" t="s">
        <v>189</v>
      </c>
      <c r="H1121" s="161" t="str">
        <f>CONCATENATE(L1121,"-",C1121,"-",LEFT(D1121,3),LEFT(I1121,3),"-",LEFT(J1121,3))</f>
        <v>GGD-3-REF1 P-TOS</v>
      </c>
      <c r="I1121" s="167" t="s">
        <v>315</v>
      </c>
      <c r="J1121" s="168" t="s">
        <v>191</v>
      </c>
      <c r="K1121" s="169" t="s">
        <v>355</v>
      </c>
      <c r="L1121" s="166" t="s">
        <v>208</v>
      </c>
      <c r="M1121" s="277">
        <v>1</v>
      </c>
      <c r="N1121" s="41"/>
      <c r="O1121" s="284"/>
      <c r="P1121" s="105"/>
      <c r="Q1121" s="57"/>
      <c r="R1121" s="57"/>
      <c r="S1121" s="57"/>
      <c r="T1121" s="41"/>
      <c r="U1121" s="41"/>
      <c r="V1121" s="51"/>
    </row>
    <row r="1122" spans="2:22" x14ac:dyDescent="0.25">
      <c r="B1122" s="405"/>
      <c r="C1122" s="89">
        <v>3</v>
      </c>
      <c r="D1122" s="203" t="s">
        <v>189</v>
      </c>
      <c r="H1122" s="161" t="str">
        <f>CONCATENATE(L1122,"-",C1122,"-",LEFT(D1122,3),LEFT(I1122,3),"-",LEFT(J1122,3))</f>
        <v>GGD-3-REF1 P-SHA</v>
      </c>
      <c r="I1122" s="167" t="s">
        <v>315</v>
      </c>
      <c r="J1122" s="168" t="s">
        <v>133</v>
      </c>
      <c r="K1122" s="169" t="s">
        <v>364</v>
      </c>
      <c r="L1122" s="166" t="s">
        <v>208</v>
      </c>
      <c r="M1122" s="277">
        <v>1</v>
      </c>
      <c r="N1122" s="41"/>
      <c r="O1122" s="284"/>
      <c r="P1122" s="105"/>
      <c r="Q1122" s="57"/>
      <c r="R1122" s="57"/>
      <c r="S1122" s="57"/>
      <c r="T1122" s="41"/>
      <c r="U1122" s="41"/>
      <c r="V1122" s="51"/>
    </row>
    <row r="1123" spans="2:22" x14ac:dyDescent="0.25">
      <c r="B1123" s="405"/>
      <c r="C1123" s="89">
        <v>3</v>
      </c>
      <c r="D1123" s="203" t="s">
        <v>189</v>
      </c>
      <c r="H1123" s="161" t="str">
        <f>CONCATENATE(L1123,"-",C1123,"-",LEFT(D1123,3),LEFT(I1123,3),"-",LEFT(J1123,3))</f>
        <v>GGD-3-REF2 P-SAM</v>
      </c>
      <c r="I1123" s="167" t="s">
        <v>324</v>
      </c>
      <c r="J1123" s="168" t="s">
        <v>221</v>
      </c>
      <c r="K1123" s="347" t="s">
        <v>359</v>
      </c>
      <c r="L1123" s="166" t="s">
        <v>208</v>
      </c>
      <c r="M1123" s="277">
        <v>0</v>
      </c>
      <c r="N1123" s="41"/>
      <c r="O1123" s="284"/>
      <c r="P1123" s="105"/>
      <c r="Q1123" s="57"/>
      <c r="R1123" s="57"/>
      <c r="S1123" s="57"/>
      <c r="T1123" s="41"/>
      <c r="U1123" s="41"/>
      <c r="V1123" s="51"/>
    </row>
    <row r="1124" spans="2:22" x14ac:dyDescent="0.25">
      <c r="B1124" s="405"/>
      <c r="C1124" s="89">
        <v>3</v>
      </c>
      <c r="D1124" s="203" t="s">
        <v>312</v>
      </c>
      <c r="H1124" s="161" t="str">
        <f>CONCATENATE(L1124,"-",C1124,"-",LEFT(D1124,3),LEFT(I1124,3),"-",LEFT(J1124,3),"-",1)</f>
        <v>GGD-3-HUMKRI-PUT-1</v>
      </c>
      <c r="I1124" s="167" t="s">
        <v>314</v>
      </c>
      <c r="J1124" s="168" t="s">
        <v>186</v>
      </c>
      <c r="K1124" s="169" t="s">
        <v>354</v>
      </c>
      <c r="L1124" s="166" t="s">
        <v>208</v>
      </c>
      <c r="M1124" s="431">
        <f>'[4]FORM ASET'!$F$79</f>
        <v>5</v>
      </c>
      <c r="N1124" s="41"/>
      <c r="O1124" s="284"/>
      <c r="P1124" s="105"/>
      <c r="Q1124" s="57"/>
      <c r="R1124" s="57"/>
      <c r="S1124" s="57"/>
      <c r="T1124" s="41"/>
      <c r="U1124" s="41"/>
      <c r="V1124" s="51"/>
    </row>
    <row r="1125" spans="2:22" x14ac:dyDescent="0.25">
      <c r="B1125" s="405"/>
      <c r="C1125" s="89">
        <v>3</v>
      </c>
      <c r="D1125" s="203" t="s">
        <v>312</v>
      </c>
      <c r="H1125" s="161" t="str">
        <f>CONCATENATE(L1125,"-",C1125,"-",LEFT(D1125,3),LEFT(I1125,3),"-",LEFT(J1125,3),"-",2)</f>
        <v>GGD-3-HUMKRI-PUT-2</v>
      </c>
      <c r="I1125" s="167" t="s">
        <v>314</v>
      </c>
      <c r="J1125" s="168" t="s">
        <v>186</v>
      </c>
      <c r="K1125" s="169" t="s">
        <v>358</v>
      </c>
      <c r="L1125" s="166" t="s">
        <v>208</v>
      </c>
      <c r="M1125" s="432"/>
      <c r="N1125" s="41"/>
      <c r="O1125" s="284"/>
      <c r="P1125" s="105"/>
      <c r="Q1125" s="57"/>
      <c r="R1125" s="57"/>
      <c r="S1125" s="57"/>
      <c r="T1125" s="41"/>
      <c r="U1125" s="41"/>
      <c r="V1125" s="51"/>
    </row>
    <row r="1126" spans="2:22" x14ac:dyDescent="0.25">
      <c r="B1126" s="405"/>
      <c r="C1126" s="89">
        <v>3</v>
      </c>
      <c r="D1126" s="203" t="s">
        <v>312</v>
      </c>
      <c r="H1126" s="161" t="str">
        <f>CONCATENATE(L1126,"-",C1126,"-",LEFT(D1126,3),LEFT(I1126,3),"-",LEFT(J1126,3),"-",3)</f>
        <v>GGD-3-HUMSHA-PUT-3</v>
      </c>
      <c r="I1126" s="167" t="s">
        <v>369</v>
      </c>
      <c r="J1126" s="168" t="s">
        <v>186</v>
      </c>
      <c r="K1126" s="169" t="s">
        <v>355</v>
      </c>
      <c r="L1126" s="166" t="s">
        <v>208</v>
      </c>
      <c r="M1126" s="432"/>
      <c r="N1126" s="41"/>
      <c r="O1126" s="284"/>
      <c r="P1126" s="105"/>
      <c r="Q1126" s="57"/>
      <c r="R1126" s="57"/>
      <c r="S1126" s="57"/>
      <c r="T1126" s="41"/>
      <c r="U1126" s="41"/>
      <c r="V1126" s="51"/>
    </row>
    <row r="1127" spans="2:22" x14ac:dyDescent="0.25">
      <c r="B1127" s="405"/>
      <c r="C1127" s="89">
        <v>3</v>
      </c>
      <c r="D1127" s="203" t="s">
        <v>312</v>
      </c>
      <c r="H1127" s="161" t="str">
        <f>CONCATENATE(L1127,"-",C1127,"-",LEFT(D1127,3),LEFT(I1127,3),"-",LEFT(J1127,3),"-",4)</f>
        <v>GGD-3-HUMSHA-PUT-4</v>
      </c>
      <c r="I1127" s="167" t="s">
        <v>133</v>
      </c>
      <c r="J1127" s="168" t="s">
        <v>186</v>
      </c>
      <c r="K1127" s="169" t="s">
        <v>356</v>
      </c>
      <c r="L1127" s="166" t="s">
        <v>208</v>
      </c>
      <c r="M1127" s="432"/>
      <c r="N1127" s="41"/>
      <c r="O1127" s="284"/>
      <c r="P1127" s="105"/>
      <c r="Q1127" s="57"/>
      <c r="R1127" s="57"/>
      <c r="S1127" s="57"/>
      <c r="T1127" s="41"/>
      <c r="U1127" s="41"/>
      <c r="V1127" s="51"/>
    </row>
    <row r="1128" spans="2:22" x14ac:dyDescent="0.25">
      <c r="B1128" s="405"/>
      <c r="C1128" s="89">
        <v>3</v>
      </c>
      <c r="D1128" s="203" t="s">
        <v>312</v>
      </c>
      <c r="H1128" s="161" t="str">
        <f>CONCATENATE(L1128,"-",C1128,"-",LEFT(D1128,3),LEFT(I1128,3),"-",LEFT(J1128,3),"-",5)</f>
        <v>GGD-3-HUMCLA-PUT-5</v>
      </c>
      <c r="I1128" s="167" t="s">
        <v>370</v>
      </c>
      <c r="J1128" s="168" t="s">
        <v>186</v>
      </c>
      <c r="K1128" s="169" t="s">
        <v>362</v>
      </c>
      <c r="L1128" s="166" t="s">
        <v>208</v>
      </c>
      <c r="M1128" s="433"/>
      <c r="N1128" s="41"/>
      <c r="O1128" s="284"/>
      <c r="P1128" s="105"/>
      <c r="Q1128" s="57"/>
      <c r="R1128" s="57"/>
      <c r="S1128" s="57"/>
      <c r="T1128" s="41"/>
      <c r="U1128" s="41"/>
      <c r="V1128" s="51"/>
    </row>
    <row r="1129" spans="2:22" x14ac:dyDescent="0.25">
      <c r="B1129" s="405"/>
      <c r="C1129" s="89">
        <v>3</v>
      </c>
      <c r="D1129" s="203" t="s">
        <v>317</v>
      </c>
      <c r="H1129" s="161" t="str">
        <f>CONCATENATE(L1129,"-",C1129,"-",LEFT(D1129,3),LEFT(I1129,3),"-",LEFT(J1129,3),"-",1)</f>
        <v>GGD-3-SOUSON-POR-1</v>
      </c>
      <c r="I1129" s="167" t="s">
        <v>366</v>
      </c>
      <c r="J1129" s="168" t="s">
        <v>367</v>
      </c>
      <c r="K1129" s="169" t="s">
        <v>354</v>
      </c>
      <c r="L1129" s="166" t="s">
        <v>208</v>
      </c>
      <c r="M1129" s="431">
        <f>'[4]FORM ASET'!$F$80</f>
        <v>2</v>
      </c>
      <c r="N1129" s="41"/>
      <c r="O1129" s="284"/>
      <c r="P1129" s="105"/>
      <c r="Q1129" s="57"/>
      <c r="R1129" s="57"/>
      <c r="S1129" s="57"/>
      <c r="T1129" s="41"/>
      <c r="U1129" s="41"/>
      <c r="V1129" s="51"/>
    </row>
    <row r="1130" spans="2:22" x14ac:dyDescent="0.25">
      <c r="B1130" s="405"/>
      <c r="C1130" s="89">
        <v>3</v>
      </c>
      <c r="D1130" s="203" t="s">
        <v>317</v>
      </c>
      <c r="H1130" s="161" t="str">
        <f>CONCATENATE(L1130,"-",C1130,"-",LEFT(D1130,3),LEFT(I1130,3),"-",LEFT(J1130,3),"-",1)</f>
        <v>GGD-3-SOUJAB-HIT-1</v>
      </c>
      <c r="I1130" s="167" t="s">
        <v>368</v>
      </c>
      <c r="J1130" s="168" t="s">
        <v>319</v>
      </c>
      <c r="K1130" s="169" t="s">
        <v>354</v>
      </c>
      <c r="L1130" s="166" t="s">
        <v>208</v>
      </c>
      <c r="M1130" s="433"/>
      <c r="N1130" s="41"/>
      <c r="O1130" s="284"/>
      <c r="P1130" s="105"/>
      <c r="Q1130" s="57"/>
      <c r="R1130" s="57"/>
      <c r="S1130" s="57"/>
      <c r="T1130" s="41"/>
      <c r="U1130" s="41"/>
      <c r="V1130" s="51"/>
    </row>
    <row r="1131" spans="2:22" x14ac:dyDescent="0.25">
      <c r="B1131" s="405"/>
      <c r="C1131" s="89">
        <v>3</v>
      </c>
      <c r="D1131" s="203" t="s">
        <v>192</v>
      </c>
      <c r="H1131" s="161" t="str">
        <f>CONCATENATE(L1131,"-",C1131,"-",LEFT(D1131,3),LEFT(I1131,3),"-",LEFT(J1131,5))</f>
        <v>GGD-3-LAMREA-STAND</v>
      </c>
      <c r="I1131" s="167" t="s">
        <v>193</v>
      </c>
      <c r="J1131" s="168" t="s">
        <v>194</v>
      </c>
      <c r="K1131" s="169" t="s">
        <v>362</v>
      </c>
      <c r="L1131" s="166" t="s">
        <v>208</v>
      </c>
      <c r="M1131" s="277">
        <f>'[4]FORM ASET'!$F$24</f>
        <v>1</v>
      </c>
      <c r="N1131" s="41"/>
      <c r="O1131" s="284"/>
      <c r="P1131" s="105"/>
      <c r="Q1131" s="57"/>
      <c r="R1131" s="57"/>
      <c r="S1131" s="57"/>
      <c r="T1131" s="41"/>
      <c r="U1131" s="41"/>
      <c r="V1131" s="51"/>
    </row>
    <row r="1132" spans="2:22" x14ac:dyDescent="0.25">
      <c r="B1132" s="405"/>
      <c r="C1132" s="89">
        <v>3</v>
      </c>
      <c r="D1132" s="203" t="s">
        <v>192</v>
      </c>
      <c r="H1132" s="161" t="str">
        <f>CONCATENATE(L1132,"-",C1132,"-",LEFT(D1132,3),LEFT(I1132,3),"-",LEFT(J1132,6),"-",1)</f>
        <v>GGD-3-LAMBLU-KRIS-1</v>
      </c>
      <c r="I1132" s="167" t="s">
        <v>195</v>
      </c>
      <c r="J1132" s="168" t="s">
        <v>196</v>
      </c>
      <c r="K1132" s="169" t="s">
        <v>358</v>
      </c>
      <c r="L1132" s="166" t="s">
        <v>208</v>
      </c>
      <c r="M1132" s="431">
        <f>'[4]FORM ASET'!$F$23</f>
        <v>8</v>
      </c>
      <c r="N1132" s="41"/>
      <c r="O1132" s="284"/>
      <c r="P1132" s="105"/>
      <c r="Q1132" s="57"/>
      <c r="R1132" s="57"/>
      <c r="S1132" s="57"/>
      <c r="T1132" s="41"/>
      <c r="U1132" s="41"/>
      <c r="V1132" s="51"/>
    </row>
    <row r="1133" spans="2:22" x14ac:dyDescent="0.25">
      <c r="B1133" s="405"/>
      <c r="C1133" s="89">
        <v>3</v>
      </c>
      <c r="D1133" s="203" t="s">
        <v>192</v>
      </c>
      <c r="H1133" s="161" t="str">
        <f>CONCATENATE(L1133,"-",C1133,"-",LEFT(D1133,3),LEFT(I1133,3),"-",LEFT(J1133,6),"-",2)</f>
        <v>GGD-3-LAMBLU-KRIS-2</v>
      </c>
      <c r="I1133" s="167" t="s">
        <v>195</v>
      </c>
      <c r="J1133" s="168" t="s">
        <v>196</v>
      </c>
      <c r="K1133" s="169" t="s">
        <v>358</v>
      </c>
      <c r="L1133" s="166" t="s">
        <v>208</v>
      </c>
      <c r="M1133" s="432"/>
      <c r="N1133" s="41"/>
      <c r="O1133" s="284"/>
      <c r="P1133" s="105"/>
      <c r="Q1133" s="57"/>
      <c r="R1133" s="57"/>
      <c r="S1133" s="57"/>
      <c r="T1133" s="41"/>
      <c r="U1133" s="41"/>
      <c r="V1133" s="51"/>
    </row>
    <row r="1134" spans="2:22" x14ac:dyDescent="0.25">
      <c r="B1134" s="405"/>
      <c r="C1134" s="89">
        <v>3</v>
      </c>
      <c r="D1134" s="203" t="s">
        <v>192</v>
      </c>
      <c r="H1134" s="161" t="str">
        <f>CONCATENATE(L1134,"-",C1134,"-",LEFT(D1134,3),LEFT(I1134,3),"-",LEFT(J1134,6),"-",3)</f>
        <v>GGD-3-LAMBLU-KRIS-3</v>
      </c>
      <c r="I1134" s="167" t="s">
        <v>195</v>
      </c>
      <c r="J1134" s="168" t="s">
        <v>196</v>
      </c>
      <c r="K1134" s="169" t="s">
        <v>354</v>
      </c>
      <c r="L1134" s="166" t="s">
        <v>208</v>
      </c>
      <c r="M1134" s="432"/>
      <c r="N1134" s="41"/>
      <c r="O1134" s="284"/>
      <c r="P1134" s="105"/>
      <c r="Q1134" s="57"/>
      <c r="R1134" s="57"/>
      <c r="S1134" s="57"/>
      <c r="T1134" s="41"/>
      <c r="U1134" s="41"/>
      <c r="V1134" s="51"/>
    </row>
    <row r="1135" spans="2:22" x14ac:dyDescent="0.25">
      <c r="B1135" s="405"/>
      <c r="C1135" s="89">
        <v>3</v>
      </c>
      <c r="D1135" s="203" t="s">
        <v>192</v>
      </c>
      <c r="H1135" s="161" t="str">
        <f>CONCATENATE(L1135,"-",C1135,"-",LEFT(D1135,3),LEFT(I1135,3),"-",LEFT(J1135,6),"-",4)</f>
        <v>GGD-3-LAMBLU-KRIS-4</v>
      </c>
      <c r="I1135" s="167" t="s">
        <v>195</v>
      </c>
      <c r="J1135" s="168" t="s">
        <v>196</v>
      </c>
      <c r="K1135" s="169" t="s">
        <v>355</v>
      </c>
      <c r="L1135" s="166" t="s">
        <v>208</v>
      </c>
      <c r="M1135" s="432"/>
      <c r="N1135" s="41"/>
      <c r="O1135" s="284"/>
      <c r="P1135" s="105"/>
      <c r="Q1135" s="57"/>
      <c r="R1135" s="57"/>
      <c r="S1135" s="57"/>
      <c r="T1135" s="41"/>
      <c r="U1135" s="41"/>
      <c r="V1135" s="51"/>
    </row>
    <row r="1136" spans="2:22" x14ac:dyDescent="0.25">
      <c r="B1136" s="405"/>
      <c r="C1136" s="89">
        <v>3</v>
      </c>
      <c r="D1136" s="203" t="s">
        <v>192</v>
      </c>
      <c r="H1136" s="161" t="str">
        <f>CONCATENATE(L1136,"-",C1136,"-",LEFT(D1136,3),LEFT(I1136,3),"-",LEFT(J1136,6),"-",5)</f>
        <v>GGD-3-LAMBLU-KRIS-5</v>
      </c>
      <c r="I1136" s="167" t="s">
        <v>195</v>
      </c>
      <c r="J1136" s="168" t="s">
        <v>196</v>
      </c>
      <c r="K1136" s="169" t="s">
        <v>356</v>
      </c>
      <c r="L1136" s="166" t="s">
        <v>208</v>
      </c>
      <c r="M1136" s="432"/>
      <c r="N1136" s="41"/>
      <c r="O1136" s="284"/>
      <c r="P1136" s="105"/>
      <c r="Q1136" s="57"/>
      <c r="R1136" s="57"/>
      <c r="S1136" s="57"/>
      <c r="T1136" s="41"/>
      <c r="U1136" s="41"/>
      <c r="V1136" s="51"/>
    </row>
    <row r="1137" spans="2:22" x14ac:dyDescent="0.25">
      <c r="B1137" s="405"/>
      <c r="C1137" s="89">
        <v>3</v>
      </c>
      <c r="D1137" s="203" t="s">
        <v>192</v>
      </c>
      <c r="H1137" s="161" t="str">
        <f>CONCATENATE(L1137,"-",C1137,"-",LEFT(D1137,3),LEFT(I1137,3),"-",LEFT(J1137,6),"-",6)</f>
        <v>GGD-3-LAMBLU-KRIS-6</v>
      </c>
      <c r="I1137" s="167" t="s">
        <v>195</v>
      </c>
      <c r="J1137" s="168" t="s">
        <v>196</v>
      </c>
      <c r="K1137" s="169" t="s">
        <v>362</v>
      </c>
      <c r="L1137" s="166" t="s">
        <v>208</v>
      </c>
      <c r="M1137" s="432"/>
      <c r="N1137" s="41"/>
      <c r="O1137" s="284"/>
      <c r="P1137" s="105"/>
      <c r="Q1137" s="57"/>
      <c r="R1137" s="57"/>
      <c r="S1137" s="57"/>
      <c r="T1137" s="41"/>
      <c r="U1137" s="41"/>
      <c r="V1137" s="51"/>
    </row>
    <row r="1138" spans="2:22" x14ac:dyDescent="0.25">
      <c r="B1138" s="405"/>
      <c r="C1138" s="89">
        <v>3</v>
      </c>
      <c r="D1138" s="203" t="s">
        <v>192</v>
      </c>
      <c r="H1138" s="161" t="str">
        <f>CONCATENATE(L1138,"-",C1138,"-",LEFT(D1138,3),LEFT(I1138,3),"-",LEFT(J1138,6),"-",7)</f>
        <v>GGD-3-LAMBLU-KRIS-7</v>
      </c>
      <c r="I1138" s="167" t="s">
        <v>195</v>
      </c>
      <c r="J1138" s="168" t="s">
        <v>196</v>
      </c>
      <c r="K1138" s="169" t="s">
        <v>364</v>
      </c>
      <c r="L1138" s="166" t="s">
        <v>208</v>
      </c>
      <c r="M1138" s="432"/>
      <c r="N1138" s="41"/>
      <c r="O1138" s="284"/>
      <c r="P1138" s="105"/>
      <c r="Q1138" s="57"/>
      <c r="R1138" s="57"/>
      <c r="S1138" s="57"/>
      <c r="T1138" s="41"/>
      <c r="U1138" s="41"/>
      <c r="V1138" s="51"/>
    </row>
    <row r="1139" spans="2:22" x14ac:dyDescent="0.25">
      <c r="B1139" s="405"/>
      <c r="C1139" s="89">
        <v>3</v>
      </c>
      <c r="D1139" s="203" t="s">
        <v>192</v>
      </c>
      <c r="H1139" s="161" t="str">
        <f>CONCATENATE(L1139,"-",C1139,"-",LEFT(D1139,3),LEFT(I1139,3),"-",LEFT(J1139,6),"-",8)</f>
        <v>GGD-3-LAMBLU-KRIS-8</v>
      </c>
      <c r="I1139" s="167" t="s">
        <v>195</v>
      </c>
      <c r="J1139" s="168" t="s">
        <v>196</v>
      </c>
      <c r="K1139" s="169" t="s">
        <v>365</v>
      </c>
      <c r="L1139" s="166" t="s">
        <v>208</v>
      </c>
      <c r="M1139" s="433"/>
      <c r="N1139" s="41"/>
      <c r="O1139" s="284"/>
      <c r="P1139" s="105"/>
      <c r="Q1139" s="57"/>
      <c r="R1139" s="57"/>
      <c r="S1139" s="57"/>
      <c r="T1139" s="41"/>
      <c r="U1139" s="41"/>
      <c r="V1139" s="51"/>
    </row>
    <row r="1140" spans="2:22" x14ac:dyDescent="0.25">
      <c r="B1140" s="405"/>
      <c r="C1140" s="89">
        <v>3</v>
      </c>
      <c r="D1140" s="203" t="s">
        <v>298</v>
      </c>
      <c r="H1140" s="161" t="str">
        <f>CONCATENATE(L1140,"-",C1140,"-",LEFT(D1140,3),LEFT(I1140,3),"-",LEFT(J1140,3),"-",1)</f>
        <v>GGD-3-DIEAIR-DEC-1</v>
      </c>
      <c r="I1140" s="167" t="s">
        <v>299</v>
      </c>
      <c r="J1140" s="168" t="s">
        <v>300</v>
      </c>
      <c r="K1140" s="169" t="s">
        <v>354</v>
      </c>
      <c r="L1140" s="166" t="s">
        <v>208</v>
      </c>
      <c r="M1140" s="431">
        <f>'[4]FORM ASET'!$F$68</f>
        <v>7</v>
      </c>
      <c r="N1140" s="41"/>
      <c r="O1140" s="284"/>
      <c r="P1140" s="105"/>
      <c r="Q1140" s="57"/>
      <c r="R1140" s="57"/>
      <c r="S1140" s="57"/>
      <c r="T1140" s="41"/>
      <c r="U1140" s="41"/>
      <c r="V1140" s="51"/>
    </row>
    <row r="1141" spans="2:22" x14ac:dyDescent="0.25">
      <c r="B1141" s="405"/>
      <c r="C1141" s="89">
        <v>3</v>
      </c>
      <c r="D1141" s="203" t="s">
        <v>298</v>
      </c>
      <c r="H1141" s="161" t="str">
        <f>CONCATENATE(L1141,"-",C1141,"-",LEFT(D1141,3),LEFT(I1141,3),"-",LEFT(J1141,3),"-",2)</f>
        <v>GGD-3-DIEAIR-DEC-2</v>
      </c>
      <c r="I1141" s="167" t="s">
        <v>299</v>
      </c>
      <c r="J1141" s="168" t="s">
        <v>300</v>
      </c>
      <c r="K1141" s="169" t="s">
        <v>354</v>
      </c>
      <c r="L1141" s="166" t="s">
        <v>208</v>
      </c>
      <c r="M1141" s="432"/>
      <c r="N1141" s="41"/>
      <c r="O1141" s="284"/>
      <c r="P1141" s="105"/>
      <c r="Q1141" s="57"/>
      <c r="R1141" s="57"/>
      <c r="S1141" s="57"/>
      <c r="T1141" s="41"/>
      <c r="U1141" s="41"/>
      <c r="V1141" s="51"/>
    </row>
    <row r="1142" spans="2:22" x14ac:dyDescent="0.25">
      <c r="B1142" s="405"/>
      <c r="C1142" s="89">
        <v>3</v>
      </c>
      <c r="D1142" s="203" t="s">
        <v>298</v>
      </c>
      <c r="H1142" s="161" t="str">
        <f>CONCATENATE(L1142,"-",C1142,"-",LEFT(D1142,3),LEFT(I1142,3),"-",LEFT(J1142,3),"-",3)</f>
        <v>GGD-3-DIEAIR-DEC-3</v>
      </c>
      <c r="I1142" s="167" t="s">
        <v>299</v>
      </c>
      <c r="J1142" s="168" t="s">
        <v>300</v>
      </c>
      <c r="K1142" s="169" t="s">
        <v>354</v>
      </c>
      <c r="L1142" s="166" t="s">
        <v>208</v>
      </c>
      <c r="M1142" s="432"/>
      <c r="N1142" s="41"/>
      <c r="O1142" s="284"/>
      <c r="P1142" s="105"/>
      <c r="Q1142" s="57"/>
      <c r="R1142" s="57"/>
      <c r="S1142" s="57"/>
      <c r="T1142" s="41"/>
      <c r="U1142" s="41"/>
      <c r="V1142" s="51"/>
    </row>
    <row r="1143" spans="2:22" x14ac:dyDescent="0.25">
      <c r="B1143" s="405"/>
      <c r="C1143" s="89">
        <v>3</v>
      </c>
      <c r="D1143" s="203" t="s">
        <v>298</v>
      </c>
      <c r="H1143" s="161" t="str">
        <f>CONCATENATE(L1143,"-",C1143,"-",LEFT(D1143,3),LEFT(I1143,3),"-",LEFT(J1143,3),"-",4)</f>
        <v>GGD-3-DIEAIR-DEC-4</v>
      </c>
      <c r="I1143" s="167" t="s">
        <v>299</v>
      </c>
      <c r="J1143" s="168" t="s">
        <v>300</v>
      </c>
      <c r="K1143" s="169" t="s">
        <v>354</v>
      </c>
      <c r="L1143" s="166" t="s">
        <v>208</v>
      </c>
      <c r="M1143" s="432"/>
      <c r="N1143" s="41"/>
      <c r="O1143" s="284"/>
      <c r="P1143" s="105"/>
      <c r="Q1143" s="57"/>
      <c r="R1143" s="57"/>
      <c r="S1143" s="57"/>
      <c r="T1143" s="41"/>
      <c r="U1143" s="41"/>
      <c r="V1143" s="51"/>
    </row>
    <row r="1144" spans="2:22" x14ac:dyDescent="0.25">
      <c r="B1144" s="405"/>
      <c r="C1144" s="89">
        <v>3</v>
      </c>
      <c r="D1144" s="203" t="s">
        <v>298</v>
      </c>
      <c r="H1144" s="161" t="str">
        <f>CONCATENATE(L1144,"-",C1144,"-",LEFT(D1144,3),LEFT(I1144,3),"-",LEFT(J1144,3),"-",5)</f>
        <v>GGD-3-DIEAIR-DEC-5</v>
      </c>
      <c r="I1144" s="167" t="s">
        <v>299</v>
      </c>
      <c r="J1144" s="168" t="s">
        <v>300</v>
      </c>
      <c r="K1144" s="169" t="s">
        <v>354</v>
      </c>
      <c r="L1144" s="166" t="s">
        <v>208</v>
      </c>
      <c r="M1144" s="432"/>
      <c r="N1144" s="41"/>
      <c r="O1144" s="284"/>
      <c r="P1144" s="105"/>
      <c r="Q1144" s="57"/>
      <c r="R1144" s="57"/>
      <c r="S1144" s="57"/>
      <c r="T1144" s="41"/>
      <c r="U1144" s="41"/>
      <c r="V1144" s="51"/>
    </row>
    <row r="1145" spans="2:22" x14ac:dyDescent="0.25">
      <c r="B1145" s="405"/>
      <c r="C1145" s="89">
        <v>3</v>
      </c>
      <c r="D1145" s="203" t="s">
        <v>298</v>
      </c>
      <c r="H1145" s="161" t="str">
        <f>CONCATENATE(L1145,"-",C1145,"-",LEFT(D1145,3),LEFT(I1145,3),"-",LEFT(J1145,3),"-",6)</f>
        <v>GGD-3-DIEAIR-DEC-6</v>
      </c>
      <c r="I1145" s="167" t="s">
        <v>299</v>
      </c>
      <c r="J1145" s="168" t="s">
        <v>300</v>
      </c>
      <c r="K1145" s="169" t="s">
        <v>362</v>
      </c>
      <c r="L1145" s="166" t="s">
        <v>208</v>
      </c>
      <c r="M1145" s="432"/>
      <c r="N1145" s="41"/>
      <c r="O1145" s="284"/>
      <c r="P1145" s="105"/>
      <c r="Q1145" s="57"/>
      <c r="R1145" s="57"/>
      <c r="S1145" s="57"/>
      <c r="T1145" s="41"/>
      <c r="U1145" s="41"/>
      <c r="V1145" s="51"/>
    </row>
    <row r="1146" spans="2:22" x14ac:dyDescent="0.25">
      <c r="B1146" s="405"/>
      <c r="C1146" s="89">
        <v>3</v>
      </c>
      <c r="D1146" s="203" t="s">
        <v>298</v>
      </c>
      <c r="H1146" s="161" t="str">
        <f>CONCATENATE(L1146,"-",C1146,"-",LEFT(D1146,3),LEFT(I1146,3),"-",LEFT(J1146,3),"-",7)</f>
        <v>GGD-3-DIEAIR-DEC-7</v>
      </c>
      <c r="I1146" s="167" t="s">
        <v>299</v>
      </c>
      <c r="J1146" s="168" t="s">
        <v>300</v>
      </c>
      <c r="K1146" s="169" t="s">
        <v>356</v>
      </c>
      <c r="L1146" s="166" t="s">
        <v>208</v>
      </c>
      <c r="M1146" s="433"/>
      <c r="N1146" s="41"/>
      <c r="O1146" s="284"/>
      <c r="P1146" s="105"/>
      <c r="Q1146" s="57"/>
      <c r="R1146" s="57"/>
      <c r="S1146" s="57"/>
      <c r="T1146" s="41"/>
      <c r="U1146" s="41"/>
      <c r="V1146" s="51"/>
    </row>
    <row r="1147" spans="2:22" x14ac:dyDescent="0.25">
      <c r="B1147" s="405"/>
      <c r="C1147" s="89">
        <v>3</v>
      </c>
      <c r="D1147" s="203" t="s">
        <v>301</v>
      </c>
      <c r="H1147" s="161" t="str">
        <f>CONCATENATE(L1147,"-",C1147,"-",LEFT(D1147,3),LEFT(I1147,3),"-",LEFT(J1147,3))</f>
        <v>GGD-3-PLAPLA-AIR</v>
      </c>
      <c r="I1147" s="167" t="s">
        <v>301</v>
      </c>
      <c r="J1147" s="168" t="s">
        <v>302</v>
      </c>
      <c r="K1147" s="169" t="s">
        <v>362</v>
      </c>
      <c r="L1147" s="166" t="s">
        <v>208</v>
      </c>
      <c r="M1147" s="277">
        <f>'[4]FORM ASET'!$F$69</f>
        <v>1</v>
      </c>
      <c r="N1147" s="41"/>
      <c r="O1147" s="284"/>
      <c r="P1147" s="105"/>
      <c r="Q1147" s="57"/>
      <c r="R1147" s="57"/>
      <c r="S1147" s="57"/>
      <c r="T1147" s="41"/>
      <c r="U1147" s="41"/>
      <c r="V1147" s="51"/>
    </row>
    <row r="1148" spans="2:22" x14ac:dyDescent="0.25">
      <c r="B1148" s="405"/>
      <c r="C1148" s="89">
        <v>3</v>
      </c>
      <c r="D1148" s="203" t="s">
        <v>379</v>
      </c>
      <c r="H1148" s="161" t="str">
        <f>CONCATENATE(L1148,"-",C1148,"-",LEFT(D1148,3),LEFT(I1148,3),"-",LEFT(J1148,3))</f>
        <v>GGD-3-ALAALA-REF</v>
      </c>
      <c r="I1148" s="167" t="s">
        <v>380</v>
      </c>
      <c r="J1148" s="168" t="s">
        <v>381</v>
      </c>
      <c r="K1148" s="169" t="s">
        <v>355</v>
      </c>
      <c r="L1148" s="166" t="s">
        <v>208</v>
      </c>
      <c r="M1148" s="277">
        <v>1</v>
      </c>
      <c r="N1148" s="41"/>
      <c r="O1148" s="284"/>
      <c r="P1148" s="105"/>
      <c r="Q1148" s="57"/>
      <c r="R1148" s="57"/>
      <c r="S1148" s="57"/>
      <c r="T1148" s="41"/>
      <c r="U1148" s="41"/>
      <c r="V1148" s="51"/>
    </row>
    <row r="1149" spans="2:22" x14ac:dyDescent="0.25">
      <c r="B1149" s="405"/>
      <c r="C1149" s="89">
        <v>3</v>
      </c>
      <c r="D1149" s="203" t="s">
        <v>303</v>
      </c>
      <c r="H1149" s="161" t="str">
        <f>CONCATENATE(L1149,"-",C1149,"-",LEFT(D1149,3),LEFT(I1149,3),"-",LEFT(J1149,6))</f>
        <v>GGD-3-TIRSEK-PEMBAT</v>
      </c>
      <c r="I1149" s="167" t="s">
        <v>352</v>
      </c>
      <c r="J1149" s="168" t="s">
        <v>304</v>
      </c>
      <c r="K1149" s="169" t="s">
        <v>358</v>
      </c>
      <c r="L1149" s="166" t="s">
        <v>208</v>
      </c>
      <c r="M1149" s="277">
        <f>'[4]FORM ASET'!$F$70</f>
        <v>1</v>
      </c>
      <c r="N1149" s="41"/>
      <c r="O1149" s="284"/>
      <c r="P1149" s="105"/>
      <c r="Q1149" s="57"/>
      <c r="R1149" s="57"/>
      <c r="S1149" s="57"/>
      <c r="T1149" s="41"/>
      <c r="U1149" s="41"/>
      <c r="V1149" s="51"/>
    </row>
    <row r="1150" spans="2:22" ht="4.5" customHeight="1" thickBot="1" x14ac:dyDescent="0.3">
      <c r="B1150" s="322"/>
      <c r="C1150" s="252"/>
      <c r="D1150" s="252"/>
      <c r="E1150" s="248"/>
      <c r="F1150" s="248"/>
      <c r="G1150" s="248"/>
      <c r="H1150" s="323"/>
      <c r="I1150" s="254"/>
      <c r="J1150" s="324"/>
      <c r="K1150" s="324"/>
      <c r="L1150" s="324"/>
      <c r="M1150" s="321"/>
      <c r="N1150" s="290"/>
      <c r="O1150" s="273"/>
      <c r="P1150" s="291"/>
      <c r="Q1150" s="292"/>
      <c r="R1150" s="292"/>
      <c r="S1150" s="292"/>
      <c r="T1150" s="290"/>
      <c r="U1150" s="290"/>
      <c r="V1150" s="293"/>
    </row>
    <row r="1151" spans="2:22" x14ac:dyDescent="0.25">
      <c r="B1151" s="404">
        <v>1</v>
      </c>
      <c r="C1151" s="90">
        <v>1</v>
      </c>
      <c r="D1151" s="204" t="s">
        <v>128</v>
      </c>
      <c r="E1151" s="286"/>
      <c r="F1151" s="286"/>
      <c r="G1151" s="286"/>
      <c r="H1151" s="329" t="str">
        <f>CONCATENATE(LEFT(L1151,3),"-",C1151,"-",LEFT(D1151,3),LEFT(I1151,3),"-",LEFT(J1151,6))</f>
        <v>RUK-1-ACSHA-1/2 PK</v>
      </c>
      <c r="I1151" s="330" t="s">
        <v>133</v>
      </c>
      <c r="J1151" s="331" t="s">
        <v>177</v>
      </c>
      <c r="K1151" s="363" t="s">
        <v>359</v>
      </c>
      <c r="L1151" s="331" t="s">
        <v>349</v>
      </c>
      <c r="M1151" s="332">
        <v>0</v>
      </c>
      <c r="N1151" s="280"/>
      <c r="O1151" s="279"/>
      <c r="P1151" s="281"/>
      <c r="Q1151" s="282"/>
      <c r="R1151" s="282"/>
      <c r="S1151" s="282"/>
      <c r="T1151" s="280"/>
      <c r="U1151" s="280"/>
      <c r="V1151" s="320"/>
    </row>
    <row r="1152" spans="2:22" x14ac:dyDescent="0.25">
      <c r="B1152" s="405"/>
      <c r="C1152" s="89">
        <v>1</v>
      </c>
      <c r="D1152" s="203" t="s">
        <v>128</v>
      </c>
      <c r="E1152" s="265"/>
      <c r="F1152" s="265"/>
      <c r="G1152" s="265"/>
      <c r="H1152" s="329" t="str">
        <f t="shared" ref="H1152:H1211" si="17">CONCATENATE(LEFT(L1152,3),"-",C1152,"-",LEFT(D1152,3),LEFT(I1152,3),"-",LEFT(J1152,6))</f>
        <v>RUK-1-ACSHA-3/4 PK</v>
      </c>
      <c r="I1152" s="333" t="s">
        <v>133</v>
      </c>
      <c r="J1152" s="334" t="s">
        <v>217</v>
      </c>
      <c r="K1152" s="363" t="s">
        <v>359</v>
      </c>
      <c r="L1152" s="331" t="s">
        <v>349</v>
      </c>
      <c r="M1152" s="332">
        <v>0</v>
      </c>
      <c r="N1152" s="41"/>
      <c r="O1152" s="284"/>
      <c r="P1152" s="105"/>
      <c r="Q1152" s="57"/>
      <c r="R1152" s="57"/>
      <c r="S1152" s="57"/>
      <c r="T1152" s="41"/>
      <c r="U1152" s="41"/>
      <c r="V1152" s="51"/>
    </row>
    <row r="1153" spans="2:22" x14ac:dyDescent="0.25">
      <c r="B1153" s="405"/>
      <c r="C1153" s="89">
        <v>1</v>
      </c>
      <c r="D1153" s="203" t="s">
        <v>128</v>
      </c>
      <c r="E1153" s="265"/>
      <c r="F1153" s="265"/>
      <c r="G1153" s="265"/>
      <c r="H1153" s="329" t="str">
        <f t="shared" si="17"/>
        <v>RUK-1-ACSHA-1 PK</v>
      </c>
      <c r="I1153" s="333" t="s">
        <v>133</v>
      </c>
      <c r="J1153" s="335" t="s">
        <v>129</v>
      </c>
      <c r="K1153" s="363" t="s">
        <v>359</v>
      </c>
      <c r="L1153" s="331" t="s">
        <v>349</v>
      </c>
      <c r="M1153" s="332">
        <v>0</v>
      </c>
      <c r="N1153" s="41"/>
      <c r="O1153" s="284"/>
      <c r="P1153" s="105"/>
      <c r="Q1153" s="57"/>
      <c r="R1153" s="57"/>
      <c r="S1153" s="57"/>
      <c r="T1153" s="41"/>
      <c r="U1153" s="41"/>
      <c r="V1153" s="51"/>
    </row>
    <row r="1154" spans="2:22" x14ac:dyDescent="0.25">
      <c r="B1154" s="405"/>
      <c r="C1154" s="89">
        <v>1</v>
      </c>
      <c r="D1154" s="203" t="s">
        <v>128</v>
      </c>
      <c r="E1154" s="265"/>
      <c r="F1154" s="265"/>
      <c r="G1154" s="265"/>
      <c r="H1154" s="329" t="str">
        <f t="shared" si="17"/>
        <v>RUK-1-ACSHA-1,5 PK</v>
      </c>
      <c r="I1154" s="333" t="s">
        <v>133</v>
      </c>
      <c r="J1154" s="335" t="s">
        <v>130</v>
      </c>
      <c r="K1154" s="363" t="s">
        <v>359</v>
      </c>
      <c r="L1154" s="331" t="s">
        <v>349</v>
      </c>
      <c r="M1154" s="332">
        <v>0</v>
      </c>
      <c r="N1154" s="41"/>
      <c r="O1154" s="284"/>
      <c r="P1154" s="105"/>
      <c r="Q1154" s="57"/>
      <c r="R1154" s="57"/>
      <c r="S1154" s="57"/>
      <c r="T1154" s="41"/>
      <c r="U1154" s="41"/>
      <c r="V1154" s="51"/>
    </row>
    <row r="1155" spans="2:22" x14ac:dyDescent="0.25">
      <c r="B1155" s="405"/>
      <c r="C1155" s="89">
        <v>1</v>
      </c>
      <c r="D1155" s="203" t="s">
        <v>128</v>
      </c>
      <c r="E1155" s="265"/>
      <c r="F1155" s="265"/>
      <c r="G1155" s="265"/>
      <c r="H1155" s="329" t="str">
        <f t="shared" si="17"/>
        <v>RUK-1-ACSHA-2 PK</v>
      </c>
      <c r="I1155" s="333" t="s">
        <v>133</v>
      </c>
      <c r="J1155" s="337" t="s">
        <v>131</v>
      </c>
      <c r="K1155" s="331" t="s">
        <v>467</v>
      </c>
      <c r="L1155" s="331" t="s">
        <v>349</v>
      </c>
      <c r="M1155" s="332">
        <v>1</v>
      </c>
      <c r="N1155" s="41"/>
      <c r="O1155" s="284"/>
      <c r="P1155" s="105"/>
      <c r="Q1155" s="57"/>
      <c r="R1155" s="57"/>
      <c r="S1155" s="57"/>
      <c r="T1155" s="41"/>
      <c r="U1155" s="41"/>
      <c r="V1155" s="51"/>
    </row>
    <row r="1156" spans="2:22" x14ac:dyDescent="0.25">
      <c r="B1156" s="405"/>
      <c r="C1156" s="89">
        <v>1</v>
      </c>
      <c r="D1156" s="203" t="s">
        <v>128</v>
      </c>
      <c r="E1156" s="265"/>
      <c r="F1156" s="265"/>
      <c r="G1156" s="265"/>
      <c r="H1156" s="329" t="str">
        <f t="shared" si="17"/>
        <v>RUK-1-ACSHA-5 PK</v>
      </c>
      <c r="I1156" s="333" t="s">
        <v>133</v>
      </c>
      <c r="J1156" s="335" t="s">
        <v>132</v>
      </c>
      <c r="K1156" s="363" t="s">
        <v>359</v>
      </c>
      <c r="L1156" s="331" t="s">
        <v>349</v>
      </c>
      <c r="M1156" s="332">
        <v>0</v>
      </c>
      <c r="N1156" s="41"/>
      <c r="O1156" s="284"/>
      <c r="P1156" s="105"/>
      <c r="Q1156" s="57"/>
      <c r="R1156" s="57"/>
      <c r="S1156" s="57"/>
      <c r="T1156" s="41"/>
      <c r="U1156" s="41"/>
      <c r="V1156" s="51"/>
    </row>
    <row r="1157" spans="2:22" x14ac:dyDescent="0.25">
      <c r="B1157" s="405"/>
      <c r="C1157" s="89">
        <v>1</v>
      </c>
      <c r="D1157" s="203" t="s">
        <v>128</v>
      </c>
      <c r="E1157" s="265"/>
      <c r="F1157" s="265"/>
      <c r="G1157" s="265"/>
      <c r="H1157" s="329" t="str">
        <f t="shared" si="17"/>
        <v>RUK-1-ACPAN-1/2 PK</v>
      </c>
      <c r="I1157" s="333" t="s">
        <v>134</v>
      </c>
      <c r="J1157" s="331" t="s">
        <v>177</v>
      </c>
      <c r="K1157" s="363" t="s">
        <v>359</v>
      </c>
      <c r="L1157" s="331" t="s">
        <v>349</v>
      </c>
      <c r="M1157" s="332">
        <v>0</v>
      </c>
      <c r="N1157" s="41"/>
      <c r="O1157" s="284"/>
      <c r="P1157" s="105"/>
      <c r="Q1157" s="57"/>
      <c r="R1157" s="57"/>
      <c r="S1157" s="57"/>
      <c r="T1157" s="41"/>
      <c r="U1157" s="41"/>
      <c r="V1157" s="51"/>
    </row>
    <row r="1158" spans="2:22" x14ac:dyDescent="0.25">
      <c r="B1158" s="405"/>
      <c r="C1158" s="89">
        <v>1</v>
      </c>
      <c r="D1158" s="203" t="s">
        <v>128</v>
      </c>
      <c r="E1158" s="265"/>
      <c r="F1158" s="265"/>
      <c r="G1158" s="265"/>
      <c r="H1158" s="329" t="str">
        <f t="shared" si="17"/>
        <v>RUK-1-ACPAN-3/4 PK</v>
      </c>
      <c r="I1158" s="333" t="s">
        <v>134</v>
      </c>
      <c r="J1158" s="334" t="s">
        <v>217</v>
      </c>
      <c r="K1158" s="363" t="s">
        <v>359</v>
      </c>
      <c r="L1158" s="331" t="s">
        <v>349</v>
      </c>
      <c r="M1158" s="332">
        <v>0</v>
      </c>
      <c r="N1158" s="41"/>
      <c r="O1158" s="284"/>
      <c r="P1158" s="105"/>
      <c r="Q1158" s="57"/>
      <c r="R1158" s="57"/>
      <c r="S1158" s="57"/>
      <c r="T1158" s="41"/>
      <c r="U1158" s="41"/>
      <c r="V1158" s="51"/>
    </row>
    <row r="1159" spans="2:22" x14ac:dyDescent="0.25">
      <c r="B1159" s="405"/>
      <c r="C1159" s="89">
        <v>1</v>
      </c>
      <c r="D1159" s="203" t="s">
        <v>128</v>
      </c>
      <c r="E1159" s="265"/>
      <c r="F1159" s="265"/>
      <c r="G1159" s="265"/>
      <c r="H1159" s="329" t="str">
        <f t="shared" si="17"/>
        <v>RUK-1-ACPAN-1 PK</v>
      </c>
      <c r="I1159" s="333" t="s">
        <v>134</v>
      </c>
      <c r="J1159" s="335" t="s">
        <v>129</v>
      </c>
      <c r="K1159" s="363" t="s">
        <v>359</v>
      </c>
      <c r="L1159" s="331" t="s">
        <v>349</v>
      </c>
      <c r="M1159" s="332">
        <v>0</v>
      </c>
      <c r="N1159" s="41"/>
      <c r="O1159" s="284"/>
      <c r="P1159" s="105"/>
      <c r="Q1159" s="57"/>
      <c r="R1159" s="57"/>
      <c r="S1159" s="57"/>
      <c r="T1159" s="41"/>
      <c r="U1159" s="41"/>
      <c r="V1159" s="51"/>
    </row>
    <row r="1160" spans="2:22" x14ac:dyDescent="0.25">
      <c r="B1160" s="405"/>
      <c r="C1160" s="89">
        <v>1</v>
      </c>
      <c r="D1160" s="203" t="s">
        <v>128</v>
      </c>
      <c r="E1160" s="265"/>
      <c r="F1160" s="265"/>
      <c r="G1160" s="265"/>
      <c r="H1160" s="329" t="str">
        <f t="shared" si="17"/>
        <v>RUK-1-ACPAN-1,5 PK</v>
      </c>
      <c r="I1160" s="333" t="s">
        <v>134</v>
      </c>
      <c r="J1160" s="335" t="s">
        <v>130</v>
      </c>
      <c r="K1160" s="363" t="s">
        <v>359</v>
      </c>
      <c r="L1160" s="331" t="s">
        <v>349</v>
      </c>
      <c r="M1160" s="332">
        <v>0</v>
      </c>
      <c r="N1160" s="41"/>
      <c r="O1160" s="284"/>
      <c r="P1160" s="105"/>
      <c r="Q1160" s="57"/>
      <c r="R1160" s="57"/>
      <c r="S1160" s="57"/>
      <c r="T1160" s="41"/>
      <c r="U1160" s="41"/>
      <c r="V1160" s="51"/>
    </row>
    <row r="1161" spans="2:22" x14ac:dyDescent="0.25">
      <c r="B1161" s="405"/>
      <c r="C1161" s="89">
        <v>1</v>
      </c>
      <c r="D1161" s="203" t="s">
        <v>128</v>
      </c>
      <c r="E1161" s="265"/>
      <c r="F1161" s="265"/>
      <c r="G1161" s="265"/>
      <c r="H1161" s="329" t="str">
        <f t="shared" si="17"/>
        <v>RUK-1-ACPAN-2 PK</v>
      </c>
      <c r="I1161" s="333" t="s">
        <v>134</v>
      </c>
      <c r="J1161" s="337" t="s">
        <v>131</v>
      </c>
      <c r="K1161" s="336" t="s">
        <v>358</v>
      </c>
      <c r="L1161" s="331" t="s">
        <v>349</v>
      </c>
      <c r="M1161" s="332">
        <v>1</v>
      </c>
      <c r="N1161" s="41"/>
      <c r="O1161" s="284"/>
      <c r="P1161" s="105"/>
      <c r="Q1161" s="57"/>
      <c r="R1161" s="57"/>
      <c r="S1161" s="57"/>
      <c r="T1161" s="41"/>
      <c r="U1161" s="41"/>
      <c r="V1161" s="51"/>
    </row>
    <row r="1162" spans="2:22" x14ac:dyDescent="0.25">
      <c r="B1162" s="405"/>
      <c r="C1162" s="89">
        <v>1</v>
      </c>
      <c r="D1162" s="203" t="s">
        <v>128</v>
      </c>
      <c r="E1162" s="265"/>
      <c r="F1162" s="265"/>
      <c r="G1162" s="265"/>
      <c r="H1162" s="329" t="str">
        <f t="shared" si="17"/>
        <v>RUK-1-ACPAN-5 PK</v>
      </c>
      <c r="I1162" s="333" t="s">
        <v>134</v>
      </c>
      <c r="J1162" s="335" t="s">
        <v>132</v>
      </c>
      <c r="K1162" s="363" t="s">
        <v>359</v>
      </c>
      <c r="L1162" s="331" t="s">
        <v>349</v>
      </c>
      <c r="M1162" s="332">
        <v>0</v>
      </c>
      <c r="N1162" s="41"/>
      <c r="O1162" s="284"/>
      <c r="P1162" s="105"/>
      <c r="Q1162" s="57"/>
      <c r="R1162" s="57"/>
      <c r="S1162" s="57"/>
      <c r="T1162" s="41"/>
      <c r="U1162" s="41"/>
      <c r="V1162" s="51"/>
    </row>
    <row r="1163" spans="2:22" x14ac:dyDescent="0.25">
      <c r="B1163" s="405"/>
      <c r="C1163" s="89">
        <v>1</v>
      </c>
      <c r="D1163" s="203" t="s">
        <v>128</v>
      </c>
      <c r="E1163" s="265"/>
      <c r="F1163" s="265"/>
      <c r="G1163" s="265"/>
      <c r="H1163" s="329" t="str">
        <f t="shared" si="17"/>
        <v>RUK-1-ACCHA-1/2 PK</v>
      </c>
      <c r="I1163" s="333" t="s">
        <v>339</v>
      </c>
      <c r="J1163" s="331" t="s">
        <v>177</v>
      </c>
      <c r="K1163" s="363" t="s">
        <v>359</v>
      </c>
      <c r="L1163" s="331" t="s">
        <v>349</v>
      </c>
      <c r="M1163" s="332">
        <v>0</v>
      </c>
      <c r="N1163" s="41"/>
      <c r="O1163" s="284"/>
      <c r="P1163" s="105"/>
      <c r="Q1163" s="57"/>
      <c r="R1163" s="57"/>
      <c r="S1163" s="57"/>
      <c r="T1163" s="41"/>
      <c r="U1163" s="41"/>
      <c r="V1163" s="51"/>
    </row>
    <row r="1164" spans="2:22" x14ac:dyDescent="0.25">
      <c r="B1164" s="405"/>
      <c r="C1164" s="89">
        <v>1</v>
      </c>
      <c r="D1164" s="203" t="s">
        <v>128</v>
      </c>
      <c r="E1164" s="265"/>
      <c r="F1164" s="265"/>
      <c r="G1164" s="265"/>
      <c r="H1164" s="329" t="str">
        <f t="shared" si="17"/>
        <v>RUK-1-ACCHA-3/4 PK</v>
      </c>
      <c r="I1164" s="333" t="s">
        <v>339</v>
      </c>
      <c r="J1164" s="334" t="s">
        <v>217</v>
      </c>
      <c r="K1164" s="363" t="s">
        <v>359</v>
      </c>
      <c r="L1164" s="331" t="s">
        <v>349</v>
      </c>
      <c r="M1164" s="332">
        <v>0</v>
      </c>
      <c r="N1164" s="41"/>
      <c r="O1164" s="284"/>
      <c r="P1164" s="105"/>
      <c r="Q1164" s="57"/>
      <c r="R1164" s="57"/>
      <c r="S1164" s="57"/>
      <c r="T1164" s="41"/>
      <c r="U1164" s="41"/>
      <c r="V1164" s="51"/>
    </row>
    <row r="1165" spans="2:22" x14ac:dyDescent="0.25">
      <c r="B1165" s="405"/>
      <c r="C1165" s="89">
        <v>1</v>
      </c>
      <c r="D1165" s="203" t="s">
        <v>128</v>
      </c>
      <c r="E1165" s="265"/>
      <c r="F1165" s="265"/>
      <c r="G1165" s="265"/>
      <c r="H1165" s="329" t="str">
        <f t="shared" si="17"/>
        <v>RUK-1-ACCHA-1 PK</v>
      </c>
      <c r="I1165" s="333" t="s">
        <v>339</v>
      </c>
      <c r="J1165" s="335" t="s">
        <v>129</v>
      </c>
      <c r="K1165" s="363" t="s">
        <v>359</v>
      </c>
      <c r="L1165" s="331" t="s">
        <v>349</v>
      </c>
      <c r="M1165" s="332">
        <v>0</v>
      </c>
      <c r="N1165" s="41"/>
      <c r="O1165" s="284"/>
      <c r="P1165" s="105"/>
      <c r="Q1165" s="57"/>
      <c r="R1165" s="57"/>
      <c r="S1165" s="57"/>
      <c r="T1165" s="41"/>
      <c r="U1165" s="41"/>
      <c r="V1165" s="51"/>
    </row>
    <row r="1166" spans="2:22" x14ac:dyDescent="0.25">
      <c r="B1166" s="405"/>
      <c r="C1166" s="89">
        <v>1</v>
      </c>
      <c r="D1166" s="203" t="s">
        <v>128</v>
      </c>
      <c r="E1166" s="265"/>
      <c r="F1166" s="265"/>
      <c r="G1166" s="265"/>
      <c r="H1166" s="329" t="str">
        <f t="shared" si="17"/>
        <v>RUK-1-ACCHA-1,5 PK</v>
      </c>
      <c r="I1166" s="333" t="s">
        <v>339</v>
      </c>
      <c r="J1166" s="335" t="s">
        <v>130</v>
      </c>
      <c r="K1166" s="363" t="s">
        <v>359</v>
      </c>
      <c r="L1166" s="331" t="s">
        <v>349</v>
      </c>
      <c r="M1166" s="332">
        <v>0</v>
      </c>
      <c r="N1166" s="41"/>
      <c r="O1166" s="284"/>
      <c r="P1166" s="105"/>
      <c r="Q1166" s="57"/>
      <c r="R1166" s="57"/>
      <c r="S1166" s="57"/>
      <c r="T1166" s="41"/>
      <c r="U1166" s="41"/>
      <c r="V1166" s="51"/>
    </row>
    <row r="1167" spans="2:22" x14ac:dyDescent="0.25">
      <c r="B1167" s="405"/>
      <c r="C1167" s="89">
        <v>1</v>
      </c>
      <c r="D1167" s="203" t="s">
        <v>128</v>
      </c>
      <c r="E1167" s="265"/>
      <c r="F1167" s="265"/>
      <c r="G1167" s="265"/>
      <c r="H1167" s="329" t="str">
        <f t="shared" si="17"/>
        <v>RUK-1-ACCHA-2 PK</v>
      </c>
      <c r="I1167" s="333" t="s">
        <v>339</v>
      </c>
      <c r="J1167" s="337" t="s">
        <v>131</v>
      </c>
      <c r="K1167" s="363" t="s">
        <v>359</v>
      </c>
      <c r="L1167" s="331" t="s">
        <v>349</v>
      </c>
      <c r="M1167" s="332">
        <v>0</v>
      </c>
      <c r="N1167" s="41"/>
      <c r="O1167" s="284"/>
      <c r="P1167" s="105"/>
      <c r="Q1167" s="57"/>
      <c r="R1167" s="57"/>
      <c r="S1167" s="57"/>
      <c r="T1167" s="41"/>
      <c r="U1167" s="41"/>
      <c r="V1167" s="51"/>
    </row>
    <row r="1168" spans="2:22" x14ac:dyDescent="0.25">
      <c r="B1168" s="405"/>
      <c r="C1168" s="89">
        <v>1</v>
      </c>
      <c r="D1168" s="203" t="s">
        <v>128</v>
      </c>
      <c r="E1168" s="265"/>
      <c r="F1168" s="265"/>
      <c r="G1168" s="265"/>
      <c r="H1168" s="329" t="str">
        <f t="shared" si="17"/>
        <v>RUK-1-ACCHA-5 PK</v>
      </c>
      <c r="I1168" s="333" t="s">
        <v>339</v>
      </c>
      <c r="J1168" s="335" t="s">
        <v>132</v>
      </c>
      <c r="K1168" s="363" t="s">
        <v>359</v>
      </c>
      <c r="L1168" s="331" t="s">
        <v>349</v>
      </c>
      <c r="M1168" s="332">
        <v>0</v>
      </c>
      <c r="N1168" s="41"/>
      <c r="O1168" s="284"/>
      <c r="P1168" s="105"/>
      <c r="Q1168" s="57"/>
      <c r="R1168" s="57"/>
      <c r="S1168" s="57"/>
      <c r="T1168" s="41"/>
      <c r="U1168" s="41"/>
      <c r="V1168" s="51"/>
    </row>
    <row r="1169" spans="2:22" x14ac:dyDescent="0.25">
      <c r="B1169" s="405"/>
      <c r="C1169" s="89">
        <v>1</v>
      </c>
      <c r="D1169" s="203" t="s">
        <v>128</v>
      </c>
      <c r="E1169" s="265"/>
      <c r="F1169" s="265"/>
      <c r="G1169" s="265"/>
      <c r="H1169" s="329" t="str">
        <f t="shared" si="17"/>
        <v>RUK-1-ACGRE-1/2 PK</v>
      </c>
      <c r="I1169" s="333" t="s">
        <v>135</v>
      </c>
      <c r="J1169" s="331" t="s">
        <v>177</v>
      </c>
      <c r="K1169" s="363" t="s">
        <v>359</v>
      </c>
      <c r="L1169" s="331" t="s">
        <v>349</v>
      </c>
      <c r="M1169" s="332">
        <v>0</v>
      </c>
      <c r="N1169" s="41"/>
      <c r="O1169" s="284"/>
      <c r="P1169" s="105"/>
      <c r="Q1169" s="57"/>
      <c r="R1169" s="57"/>
      <c r="S1169" s="57"/>
      <c r="T1169" s="41"/>
      <c r="U1169" s="41"/>
      <c r="V1169" s="51"/>
    </row>
    <row r="1170" spans="2:22" x14ac:dyDescent="0.25">
      <c r="B1170" s="405"/>
      <c r="C1170" s="89">
        <v>1</v>
      </c>
      <c r="D1170" s="203" t="s">
        <v>128</v>
      </c>
      <c r="E1170" s="265"/>
      <c r="F1170" s="265"/>
      <c r="G1170" s="265"/>
      <c r="H1170" s="329" t="str">
        <f t="shared" si="17"/>
        <v>RUK-1-ACGRE-3/4 PK</v>
      </c>
      <c r="I1170" s="333" t="s">
        <v>135</v>
      </c>
      <c r="J1170" s="334" t="s">
        <v>217</v>
      </c>
      <c r="K1170" s="363" t="s">
        <v>359</v>
      </c>
      <c r="L1170" s="331" t="s">
        <v>349</v>
      </c>
      <c r="M1170" s="332">
        <v>0</v>
      </c>
      <c r="N1170" s="41"/>
      <c r="O1170" s="284"/>
      <c r="P1170" s="105"/>
      <c r="Q1170" s="57"/>
      <c r="R1170" s="57"/>
      <c r="S1170" s="57"/>
      <c r="T1170" s="41"/>
      <c r="U1170" s="41"/>
      <c r="V1170" s="51"/>
    </row>
    <row r="1171" spans="2:22" x14ac:dyDescent="0.25">
      <c r="B1171" s="405"/>
      <c r="C1171" s="89">
        <v>1</v>
      </c>
      <c r="D1171" s="203" t="s">
        <v>128</v>
      </c>
      <c r="E1171" s="265"/>
      <c r="F1171" s="265"/>
      <c r="G1171" s="265"/>
      <c r="H1171" s="329" t="str">
        <f t="shared" si="17"/>
        <v>RUK-1-ACGRE-1 PK</v>
      </c>
      <c r="I1171" s="333" t="s">
        <v>135</v>
      </c>
      <c r="J1171" s="335" t="s">
        <v>129</v>
      </c>
      <c r="K1171" s="363" t="s">
        <v>359</v>
      </c>
      <c r="L1171" s="331" t="s">
        <v>349</v>
      </c>
      <c r="M1171" s="332">
        <v>0</v>
      </c>
      <c r="N1171" s="41"/>
      <c r="O1171" s="284"/>
      <c r="P1171" s="105"/>
      <c r="Q1171" s="57"/>
      <c r="R1171" s="57"/>
      <c r="S1171" s="57"/>
      <c r="T1171" s="41"/>
      <c r="U1171" s="41"/>
      <c r="V1171" s="51"/>
    </row>
    <row r="1172" spans="2:22" x14ac:dyDescent="0.25">
      <c r="B1172" s="405"/>
      <c r="C1172" s="89">
        <v>1</v>
      </c>
      <c r="D1172" s="203" t="s">
        <v>128</v>
      </c>
      <c r="E1172" s="265"/>
      <c r="F1172" s="265"/>
      <c r="G1172" s="265"/>
      <c r="H1172" s="329" t="str">
        <f t="shared" si="17"/>
        <v>RUK-1-ACGRE-1,5 PK</v>
      </c>
      <c r="I1172" s="333" t="s">
        <v>135</v>
      </c>
      <c r="J1172" s="335" t="s">
        <v>130</v>
      </c>
      <c r="K1172" s="363" t="s">
        <v>359</v>
      </c>
      <c r="L1172" s="331" t="s">
        <v>349</v>
      </c>
      <c r="M1172" s="332">
        <v>0</v>
      </c>
      <c r="N1172" s="41"/>
      <c r="O1172" s="284"/>
      <c r="P1172" s="105"/>
      <c r="Q1172" s="57"/>
      <c r="R1172" s="57"/>
      <c r="S1172" s="57"/>
      <c r="T1172" s="41"/>
      <c r="U1172" s="41"/>
      <c r="V1172" s="51"/>
    </row>
    <row r="1173" spans="2:22" x14ac:dyDescent="0.25">
      <c r="B1173" s="405"/>
      <c r="C1173" s="89">
        <v>1</v>
      </c>
      <c r="D1173" s="203" t="s">
        <v>128</v>
      </c>
      <c r="E1173" s="265"/>
      <c r="F1173" s="265"/>
      <c r="G1173" s="265"/>
      <c r="H1173" s="329" t="str">
        <f t="shared" si="17"/>
        <v>RUK-1-ACGRE-2 PK</v>
      </c>
      <c r="I1173" s="333" t="s">
        <v>135</v>
      </c>
      <c r="J1173" s="337" t="s">
        <v>131</v>
      </c>
      <c r="K1173" s="363" t="s">
        <v>359</v>
      </c>
      <c r="L1173" s="331" t="s">
        <v>349</v>
      </c>
      <c r="M1173" s="332">
        <v>0</v>
      </c>
      <c r="N1173" s="41"/>
      <c r="O1173" s="284"/>
      <c r="P1173" s="105"/>
      <c r="Q1173" s="57"/>
      <c r="R1173" s="57"/>
      <c r="S1173" s="57"/>
      <c r="T1173" s="41"/>
      <c r="U1173" s="41"/>
      <c r="V1173" s="51"/>
    </row>
    <row r="1174" spans="2:22" x14ac:dyDescent="0.25">
      <c r="B1174" s="405"/>
      <c r="C1174" s="89">
        <v>1</v>
      </c>
      <c r="D1174" s="203" t="s">
        <v>128</v>
      </c>
      <c r="E1174" s="265"/>
      <c r="F1174" s="265"/>
      <c r="G1174" s="265"/>
      <c r="H1174" s="329" t="str">
        <f t="shared" si="17"/>
        <v>RUK-1-ACGRE-5 PK</v>
      </c>
      <c r="I1174" s="333" t="s">
        <v>135</v>
      </c>
      <c r="J1174" s="335" t="s">
        <v>132</v>
      </c>
      <c r="K1174" s="363" t="s">
        <v>359</v>
      </c>
      <c r="L1174" s="331" t="s">
        <v>349</v>
      </c>
      <c r="M1174" s="332">
        <v>0</v>
      </c>
      <c r="N1174" s="41"/>
      <c r="O1174" s="284"/>
      <c r="P1174" s="105"/>
      <c r="Q1174" s="57"/>
      <c r="R1174" s="57"/>
      <c r="S1174" s="57"/>
      <c r="T1174" s="41"/>
      <c r="U1174" s="41"/>
      <c r="V1174" s="51"/>
    </row>
    <row r="1175" spans="2:22" x14ac:dyDescent="0.25">
      <c r="B1175" s="405"/>
      <c r="C1175" s="89">
        <v>1</v>
      </c>
      <c r="D1175" s="203" t="s">
        <v>128</v>
      </c>
      <c r="E1175" s="265"/>
      <c r="F1175" s="265"/>
      <c r="G1175" s="265"/>
      <c r="H1175" s="329" t="str">
        <f t="shared" si="17"/>
        <v>RUK-1-ACSAN-1/2 PK</v>
      </c>
      <c r="I1175" s="333" t="s">
        <v>136</v>
      </c>
      <c r="J1175" s="331" t="s">
        <v>177</v>
      </c>
      <c r="K1175" s="363" t="s">
        <v>359</v>
      </c>
      <c r="L1175" s="331" t="s">
        <v>349</v>
      </c>
      <c r="M1175" s="332">
        <v>0</v>
      </c>
      <c r="N1175" s="41"/>
      <c r="O1175" s="284"/>
      <c r="P1175" s="105"/>
      <c r="Q1175" s="57"/>
      <c r="R1175" s="57"/>
      <c r="S1175" s="57"/>
      <c r="T1175" s="41"/>
      <c r="U1175" s="41"/>
      <c r="V1175" s="51"/>
    </row>
    <row r="1176" spans="2:22" x14ac:dyDescent="0.25">
      <c r="B1176" s="405"/>
      <c r="C1176" s="89">
        <v>1</v>
      </c>
      <c r="D1176" s="203" t="s">
        <v>128</v>
      </c>
      <c r="E1176" s="265"/>
      <c r="F1176" s="265"/>
      <c r="G1176" s="265"/>
      <c r="H1176" s="329" t="str">
        <f t="shared" si="17"/>
        <v>RUK-1-ACSAN-3/4 PK</v>
      </c>
      <c r="I1176" s="333" t="s">
        <v>136</v>
      </c>
      <c r="J1176" s="334" t="s">
        <v>217</v>
      </c>
      <c r="K1176" s="363" t="s">
        <v>359</v>
      </c>
      <c r="L1176" s="331" t="s">
        <v>349</v>
      </c>
      <c r="M1176" s="332">
        <v>0</v>
      </c>
      <c r="N1176" s="41"/>
      <c r="O1176" s="284"/>
      <c r="P1176" s="105"/>
      <c r="Q1176" s="57"/>
      <c r="R1176" s="57"/>
      <c r="S1176" s="57"/>
      <c r="T1176" s="41"/>
      <c r="U1176" s="41"/>
      <c r="V1176" s="51"/>
    </row>
    <row r="1177" spans="2:22" x14ac:dyDescent="0.25">
      <c r="B1177" s="405"/>
      <c r="C1177" s="89">
        <v>1</v>
      </c>
      <c r="D1177" s="203" t="s">
        <v>128</v>
      </c>
      <c r="E1177" s="265"/>
      <c r="F1177" s="265"/>
      <c r="G1177" s="265"/>
      <c r="H1177" s="329" t="str">
        <f t="shared" si="17"/>
        <v>RUK-1-ACSAN-1 PK</v>
      </c>
      <c r="I1177" s="333" t="s">
        <v>136</v>
      </c>
      <c r="J1177" s="335" t="s">
        <v>129</v>
      </c>
      <c r="K1177" s="363" t="s">
        <v>359</v>
      </c>
      <c r="L1177" s="331" t="s">
        <v>349</v>
      </c>
      <c r="M1177" s="332">
        <v>0</v>
      </c>
      <c r="N1177" s="41"/>
      <c r="O1177" s="284"/>
      <c r="P1177" s="105"/>
      <c r="Q1177" s="57"/>
      <c r="R1177" s="57"/>
      <c r="S1177" s="57"/>
      <c r="T1177" s="41"/>
      <c r="U1177" s="41"/>
      <c r="V1177" s="51"/>
    </row>
    <row r="1178" spans="2:22" x14ac:dyDescent="0.25">
      <c r="B1178" s="405"/>
      <c r="C1178" s="89">
        <v>1</v>
      </c>
      <c r="D1178" s="203" t="s">
        <v>128</v>
      </c>
      <c r="E1178" s="265"/>
      <c r="F1178" s="265"/>
      <c r="G1178" s="265"/>
      <c r="H1178" s="329" t="str">
        <f t="shared" si="17"/>
        <v>RUK-1-ACSAN-1,5 PK</v>
      </c>
      <c r="I1178" s="333" t="s">
        <v>136</v>
      </c>
      <c r="J1178" s="335" t="s">
        <v>130</v>
      </c>
      <c r="K1178" s="363" t="s">
        <v>359</v>
      </c>
      <c r="L1178" s="331" t="s">
        <v>349</v>
      </c>
      <c r="M1178" s="332">
        <v>0</v>
      </c>
      <c r="N1178" s="41"/>
      <c r="O1178" s="284"/>
      <c r="P1178" s="105"/>
      <c r="Q1178" s="57"/>
      <c r="R1178" s="57"/>
      <c r="S1178" s="57"/>
      <c r="T1178" s="41"/>
      <c r="U1178" s="41"/>
      <c r="V1178" s="51"/>
    </row>
    <row r="1179" spans="2:22" x14ac:dyDescent="0.25">
      <c r="B1179" s="405"/>
      <c r="C1179" s="89">
        <v>1</v>
      </c>
      <c r="D1179" s="203" t="s">
        <v>128</v>
      </c>
      <c r="E1179" s="265"/>
      <c r="F1179" s="265"/>
      <c r="G1179" s="265"/>
      <c r="H1179" s="329" t="str">
        <f t="shared" si="17"/>
        <v>RUK-1-ACSAN-2 PK</v>
      </c>
      <c r="I1179" s="333" t="s">
        <v>136</v>
      </c>
      <c r="J1179" s="337" t="s">
        <v>131</v>
      </c>
      <c r="K1179" s="363" t="s">
        <v>359</v>
      </c>
      <c r="L1179" s="331" t="s">
        <v>349</v>
      </c>
      <c r="M1179" s="332">
        <v>0</v>
      </c>
      <c r="N1179" s="41"/>
      <c r="O1179" s="284"/>
      <c r="P1179" s="105"/>
      <c r="Q1179" s="57"/>
      <c r="R1179" s="57"/>
      <c r="S1179" s="57"/>
      <c r="T1179" s="41"/>
      <c r="U1179" s="41"/>
      <c r="V1179" s="51"/>
    </row>
    <row r="1180" spans="2:22" x14ac:dyDescent="0.25">
      <c r="B1180" s="405"/>
      <c r="C1180" s="89">
        <v>1</v>
      </c>
      <c r="D1180" s="203" t="s">
        <v>128</v>
      </c>
      <c r="E1180" s="265"/>
      <c r="F1180" s="265"/>
      <c r="G1180" s="265"/>
      <c r="H1180" s="329" t="str">
        <f t="shared" si="17"/>
        <v>RUK-1-ACSAN-5 PK</v>
      </c>
      <c r="I1180" s="333" t="s">
        <v>136</v>
      </c>
      <c r="J1180" s="335" t="s">
        <v>132</v>
      </c>
      <c r="K1180" s="363" t="s">
        <v>359</v>
      </c>
      <c r="L1180" s="331" t="s">
        <v>349</v>
      </c>
      <c r="M1180" s="332">
        <v>0</v>
      </c>
      <c r="N1180" s="41"/>
      <c r="O1180" s="284"/>
      <c r="P1180" s="105"/>
      <c r="Q1180" s="57"/>
      <c r="R1180" s="57"/>
      <c r="S1180" s="57"/>
      <c r="T1180" s="41"/>
      <c r="U1180" s="41"/>
      <c r="V1180" s="51"/>
    </row>
    <row r="1181" spans="2:22" x14ac:dyDescent="0.25">
      <c r="B1181" s="405"/>
      <c r="C1181" s="89">
        <v>1</v>
      </c>
      <c r="D1181" s="203" t="s">
        <v>128</v>
      </c>
      <c r="E1181" s="265"/>
      <c r="F1181" s="265"/>
      <c r="G1181" s="265"/>
      <c r="H1181" s="329" t="str">
        <f t="shared" si="17"/>
        <v>RUK-1-ACDAI-1/2 PK</v>
      </c>
      <c r="I1181" s="333" t="s">
        <v>137</v>
      </c>
      <c r="J1181" s="331" t="s">
        <v>177</v>
      </c>
      <c r="K1181" s="363" t="s">
        <v>359</v>
      </c>
      <c r="L1181" s="331" t="s">
        <v>349</v>
      </c>
      <c r="M1181" s="332">
        <v>0</v>
      </c>
      <c r="N1181" s="41"/>
      <c r="O1181" s="284"/>
      <c r="P1181" s="105"/>
      <c r="Q1181" s="57"/>
      <c r="R1181" s="57"/>
      <c r="S1181" s="57"/>
      <c r="T1181" s="41"/>
      <c r="U1181" s="41"/>
      <c r="V1181" s="51"/>
    </row>
    <row r="1182" spans="2:22" x14ac:dyDescent="0.25">
      <c r="B1182" s="405"/>
      <c r="C1182" s="89">
        <v>1</v>
      </c>
      <c r="D1182" s="203" t="s">
        <v>128</v>
      </c>
      <c r="E1182" s="265"/>
      <c r="F1182" s="265"/>
      <c r="G1182" s="265"/>
      <c r="H1182" s="329" t="str">
        <f t="shared" si="17"/>
        <v>RUK-1-ACDAI-3/4 PK</v>
      </c>
      <c r="I1182" s="333" t="s">
        <v>137</v>
      </c>
      <c r="J1182" s="334" t="s">
        <v>217</v>
      </c>
      <c r="K1182" s="363" t="s">
        <v>359</v>
      </c>
      <c r="L1182" s="331" t="s">
        <v>349</v>
      </c>
      <c r="M1182" s="332">
        <v>0</v>
      </c>
      <c r="N1182" s="41"/>
      <c r="O1182" s="284"/>
      <c r="P1182" s="105"/>
      <c r="Q1182" s="57"/>
      <c r="R1182" s="57"/>
      <c r="S1182" s="57"/>
      <c r="T1182" s="41"/>
      <c r="U1182" s="41"/>
      <c r="V1182" s="51"/>
    </row>
    <row r="1183" spans="2:22" x14ac:dyDescent="0.25">
      <c r="B1183" s="405"/>
      <c r="C1183" s="89">
        <v>1</v>
      </c>
      <c r="D1183" s="203" t="s">
        <v>128</v>
      </c>
      <c r="E1183" s="265"/>
      <c r="F1183" s="265"/>
      <c r="G1183" s="265"/>
      <c r="H1183" s="329" t="str">
        <f t="shared" si="17"/>
        <v>RUK-1-ACDAI-1 PK</v>
      </c>
      <c r="I1183" s="333" t="s">
        <v>137</v>
      </c>
      <c r="J1183" s="335" t="s">
        <v>129</v>
      </c>
      <c r="K1183" s="363" t="s">
        <v>359</v>
      </c>
      <c r="L1183" s="331" t="s">
        <v>349</v>
      </c>
      <c r="M1183" s="332">
        <v>0</v>
      </c>
      <c r="N1183" s="41"/>
      <c r="O1183" s="284"/>
      <c r="P1183" s="105"/>
      <c r="Q1183" s="57"/>
      <c r="R1183" s="57"/>
      <c r="S1183" s="57"/>
      <c r="T1183" s="41"/>
      <c r="U1183" s="41"/>
      <c r="V1183" s="51"/>
    </row>
    <row r="1184" spans="2:22" x14ac:dyDescent="0.25">
      <c r="B1184" s="405"/>
      <c r="C1184" s="89">
        <v>1</v>
      </c>
      <c r="D1184" s="203" t="s">
        <v>128</v>
      </c>
      <c r="E1184" s="265"/>
      <c r="F1184" s="265"/>
      <c r="G1184" s="265"/>
      <c r="H1184" s="329" t="str">
        <f t="shared" si="17"/>
        <v>RUK-1-ACDAI-1,5 PK</v>
      </c>
      <c r="I1184" s="333" t="s">
        <v>137</v>
      </c>
      <c r="J1184" s="335" t="s">
        <v>130</v>
      </c>
      <c r="K1184" s="363" t="s">
        <v>359</v>
      </c>
      <c r="L1184" s="331" t="s">
        <v>349</v>
      </c>
      <c r="M1184" s="332">
        <v>0</v>
      </c>
      <c r="N1184" s="41"/>
      <c r="O1184" s="284"/>
      <c r="P1184" s="105"/>
      <c r="Q1184" s="57"/>
      <c r="R1184" s="57"/>
      <c r="S1184" s="57"/>
      <c r="T1184" s="41"/>
      <c r="U1184" s="41"/>
      <c r="V1184" s="51"/>
    </row>
    <row r="1185" spans="2:22" x14ac:dyDescent="0.25">
      <c r="B1185" s="405"/>
      <c r="C1185" s="89">
        <v>1</v>
      </c>
      <c r="D1185" s="203" t="s">
        <v>128</v>
      </c>
      <c r="E1185" s="265"/>
      <c r="F1185" s="265"/>
      <c r="G1185" s="265"/>
      <c r="H1185" s="329" t="str">
        <f t="shared" si="17"/>
        <v>RUK-1-ACDAI-2 PK</v>
      </c>
      <c r="I1185" s="333" t="s">
        <v>137</v>
      </c>
      <c r="J1185" s="335" t="s">
        <v>131</v>
      </c>
      <c r="K1185" s="363" t="s">
        <v>359</v>
      </c>
      <c r="L1185" s="331" t="s">
        <v>349</v>
      </c>
      <c r="M1185" s="332">
        <v>0</v>
      </c>
      <c r="N1185" s="41"/>
      <c r="O1185" s="284"/>
      <c r="P1185" s="105"/>
      <c r="Q1185" s="57"/>
      <c r="R1185" s="57"/>
      <c r="S1185" s="57"/>
      <c r="T1185" s="41"/>
      <c r="U1185" s="41"/>
      <c r="V1185" s="51"/>
    </row>
    <row r="1186" spans="2:22" x14ac:dyDescent="0.25">
      <c r="B1186" s="405"/>
      <c r="C1186" s="89">
        <v>1</v>
      </c>
      <c r="D1186" s="203" t="s">
        <v>128</v>
      </c>
      <c r="E1186" s="265"/>
      <c r="F1186" s="265"/>
      <c r="G1186" s="265"/>
      <c r="H1186" s="329" t="str">
        <f t="shared" si="17"/>
        <v>RUK-1-ACDAI-5 PK</v>
      </c>
      <c r="I1186" s="333" t="s">
        <v>137</v>
      </c>
      <c r="J1186" s="335" t="s">
        <v>132</v>
      </c>
      <c r="K1186" s="363" t="s">
        <v>359</v>
      </c>
      <c r="L1186" s="331" t="s">
        <v>349</v>
      </c>
      <c r="M1186" s="332">
        <v>0</v>
      </c>
      <c r="N1186" s="41"/>
      <c r="O1186" s="284"/>
      <c r="P1186" s="105"/>
      <c r="Q1186" s="57"/>
      <c r="R1186" s="57"/>
      <c r="S1186" s="57"/>
      <c r="T1186" s="41"/>
      <c r="U1186" s="41"/>
      <c r="V1186" s="51"/>
    </row>
    <row r="1187" spans="2:22" x14ac:dyDescent="0.25">
      <c r="B1187" s="405"/>
      <c r="C1187" s="89">
        <v>1</v>
      </c>
      <c r="D1187" s="203" t="s">
        <v>128</v>
      </c>
      <c r="E1187" s="265"/>
      <c r="F1187" s="265"/>
      <c r="G1187" s="265"/>
      <c r="H1187" s="329" t="str">
        <f t="shared" si="17"/>
        <v>RUK-1-ACSAM-1/2 PK</v>
      </c>
      <c r="I1187" s="333" t="s">
        <v>221</v>
      </c>
      <c r="J1187" s="331" t="s">
        <v>177</v>
      </c>
      <c r="K1187" s="363" t="s">
        <v>359</v>
      </c>
      <c r="L1187" s="331" t="s">
        <v>349</v>
      </c>
      <c r="M1187" s="332">
        <v>0</v>
      </c>
      <c r="N1187" s="41"/>
      <c r="O1187" s="284"/>
      <c r="P1187" s="105"/>
      <c r="Q1187" s="57"/>
      <c r="R1187" s="57"/>
      <c r="S1187" s="57"/>
      <c r="T1187" s="41"/>
      <c r="U1187" s="41"/>
      <c r="V1187" s="51"/>
    </row>
    <row r="1188" spans="2:22" x14ac:dyDescent="0.25">
      <c r="B1188" s="405"/>
      <c r="C1188" s="89">
        <v>1</v>
      </c>
      <c r="D1188" s="203" t="s">
        <v>128</v>
      </c>
      <c r="E1188" s="265"/>
      <c r="F1188" s="265"/>
      <c r="G1188" s="265"/>
      <c r="H1188" s="329" t="str">
        <f t="shared" si="17"/>
        <v>RUK-1-ACSAM-3/4 PK</v>
      </c>
      <c r="I1188" s="333" t="s">
        <v>221</v>
      </c>
      <c r="J1188" s="334" t="s">
        <v>217</v>
      </c>
      <c r="K1188" s="363" t="s">
        <v>359</v>
      </c>
      <c r="L1188" s="331" t="s">
        <v>349</v>
      </c>
      <c r="M1188" s="332">
        <v>0</v>
      </c>
      <c r="N1188" s="41"/>
      <c r="O1188" s="284"/>
      <c r="P1188" s="105"/>
      <c r="Q1188" s="57"/>
      <c r="R1188" s="57"/>
      <c r="S1188" s="57"/>
      <c r="T1188" s="41"/>
      <c r="U1188" s="41"/>
      <c r="V1188" s="51"/>
    </row>
    <row r="1189" spans="2:22" x14ac:dyDescent="0.25">
      <c r="B1189" s="405"/>
      <c r="C1189" s="89">
        <v>1</v>
      </c>
      <c r="D1189" s="203" t="s">
        <v>128</v>
      </c>
      <c r="E1189" s="265"/>
      <c r="F1189" s="265"/>
      <c r="G1189" s="265"/>
      <c r="H1189" s="329" t="str">
        <f t="shared" si="17"/>
        <v>RUK-1-ACSAM-1 PK</v>
      </c>
      <c r="I1189" s="333" t="s">
        <v>221</v>
      </c>
      <c r="J1189" s="335" t="s">
        <v>129</v>
      </c>
      <c r="K1189" s="363" t="s">
        <v>359</v>
      </c>
      <c r="L1189" s="331" t="s">
        <v>349</v>
      </c>
      <c r="M1189" s="332">
        <v>0</v>
      </c>
      <c r="N1189" s="41"/>
      <c r="O1189" s="284"/>
      <c r="P1189" s="105"/>
      <c r="Q1189" s="57"/>
      <c r="R1189" s="57"/>
      <c r="S1189" s="57"/>
      <c r="T1189" s="41"/>
      <c r="U1189" s="41"/>
      <c r="V1189" s="51"/>
    </row>
    <row r="1190" spans="2:22" x14ac:dyDescent="0.25">
      <c r="B1190" s="405"/>
      <c r="C1190" s="89">
        <v>1</v>
      </c>
      <c r="D1190" s="203" t="s">
        <v>128</v>
      </c>
      <c r="E1190" s="265"/>
      <c r="F1190" s="265"/>
      <c r="G1190" s="265"/>
      <c r="H1190" s="329" t="str">
        <f t="shared" si="17"/>
        <v>RUK-1-ACSAM-1,5 PK</v>
      </c>
      <c r="I1190" s="333" t="s">
        <v>221</v>
      </c>
      <c r="J1190" s="335" t="s">
        <v>130</v>
      </c>
      <c r="K1190" s="363" t="s">
        <v>359</v>
      </c>
      <c r="L1190" s="331" t="s">
        <v>349</v>
      </c>
      <c r="M1190" s="332">
        <v>0</v>
      </c>
      <c r="N1190" s="41"/>
      <c r="O1190" s="284"/>
      <c r="P1190" s="105"/>
      <c r="Q1190" s="57"/>
      <c r="R1190" s="57"/>
      <c r="S1190" s="57"/>
      <c r="T1190" s="41"/>
      <c r="U1190" s="41"/>
      <c r="V1190" s="51"/>
    </row>
    <row r="1191" spans="2:22" x14ac:dyDescent="0.25">
      <c r="B1191" s="405"/>
      <c r="C1191" s="89">
        <v>1</v>
      </c>
      <c r="D1191" s="203" t="s">
        <v>128</v>
      </c>
      <c r="E1191" s="265"/>
      <c r="F1191" s="265"/>
      <c r="G1191" s="265"/>
      <c r="H1191" s="329" t="str">
        <f t="shared" si="17"/>
        <v>RUK-1-ACSAM-2 PK</v>
      </c>
      <c r="I1191" s="333" t="s">
        <v>221</v>
      </c>
      <c r="J1191" s="335" t="s">
        <v>131</v>
      </c>
      <c r="K1191" s="363" t="s">
        <v>359</v>
      </c>
      <c r="L1191" s="331" t="s">
        <v>349</v>
      </c>
      <c r="M1191" s="332">
        <v>0</v>
      </c>
      <c r="N1191" s="41"/>
      <c r="O1191" s="284"/>
      <c r="P1191" s="105"/>
      <c r="Q1191" s="57"/>
      <c r="R1191" s="57"/>
      <c r="S1191" s="57"/>
      <c r="T1191" s="41"/>
      <c r="U1191" s="41"/>
      <c r="V1191" s="51"/>
    </row>
    <row r="1192" spans="2:22" x14ac:dyDescent="0.25">
      <c r="B1192" s="405"/>
      <c r="C1192" s="89">
        <v>1</v>
      </c>
      <c r="D1192" s="203" t="s">
        <v>128</v>
      </c>
      <c r="E1192" s="265"/>
      <c r="F1192" s="265"/>
      <c r="G1192" s="265"/>
      <c r="H1192" s="329" t="str">
        <f t="shared" si="17"/>
        <v>RUK-1-ACSAM-5 PK</v>
      </c>
      <c r="I1192" s="333" t="s">
        <v>221</v>
      </c>
      <c r="J1192" s="335" t="s">
        <v>132</v>
      </c>
      <c r="K1192" s="363" t="s">
        <v>359</v>
      </c>
      <c r="L1192" s="331" t="s">
        <v>349</v>
      </c>
      <c r="M1192" s="332">
        <v>0</v>
      </c>
      <c r="N1192" s="41"/>
      <c r="O1192" s="284"/>
      <c r="P1192" s="105"/>
      <c r="Q1192" s="57"/>
      <c r="R1192" s="57"/>
      <c r="S1192" s="57"/>
      <c r="T1192" s="41"/>
      <c r="U1192" s="41"/>
      <c r="V1192" s="51"/>
    </row>
    <row r="1193" spans="2:22" x14ac:dyDescent="0.25">
      <c r="B1193" s="405"/>
      <c r="C1193" s="89">
        <v>1</v>
      </c>
      <c r="D1193" s="203" t="s">
        <v>297</v>
      </c>
      <c r="E1193" s="265"/>
      <c r="F1193" s="265"/>
      <c r="G1193" s="265"/>
      <c r="H1193" s="329" t="str">
        <f t="shared" si="17"/>
        <v>RUK-1-VERBLI-SMALL</v>
      </c>
      <c r="I1193" s="333" t="s">
        <v>224</v>
      </c>
      <c r="J1193" s="335" t="s">
        <v>138</v>
      </c>
      <c r="K1193" s="363" t="s">
        <v>359</v>
      </c>
      <c r="L1193" s="331" t="s">
        <v>349</v>
      </c>
      <c r="M1193" s="332">
        <f>'[4]FORM ASET'!$F$67</f>
        <v>0</v>
      </c>
      <c r="N1193" s="41"/>
      <c r="O1193" s="284"/>
      <c r="P1193" s="105"/>
      <c r="Q1193" s="57"/>
      <c r="R1193" s="57"/>
      <c r="S1193" s="57"/>
      <c r="T1193" s="41"/>
      <c r="U1193" s="41"/>
      <c r="V1193" s="51"/>
    </row>
    <row r="1194" spans="2:22" x14ac:dyDescent="0.25">
      <c r="B1194" s="405"/>
      <c r="C1194" s="89">
        <v>1</v>
      </c>
      <c r="D1194" s="203" t="s">
        <v>297</v>
      </c>
      <c r="E1194" s="265"/>
      <c r="F1194" s="265"/>
      <c r="G1194" s="265"/>
      <c r="H1194" s="329" t="str">
        <f t="shared" si="17"/>
        <v>RUK-1-VERBLI-LARGE</v>
      </c>
      <c r="I1194" s="333" t="s">
        <v>224</v>
      </c>
      <c r="J1194" s="335" t="s">
        <v>139</v>
      </c>
      <c r="K1194" s="363" t="s">
        <v>359</v>
      </c>
      <c r="L1194" s="331" t="s">
        <v>349</v>
      </c>
      <c r="M1194" s="332">
        <f>'[4]FORM ASET'!$F$67</f>
        <v>0</v>
      </c>
      <c r="N1194" s="41"/>
      <c r="O1194" s="284"/>
      <c r="P1194" s="105"/>
      <c r="Q1194" s="57"/>
      <c r="R1194" s="57"/>
      <c r="S1194" s="57"/>
      <c r="T1194" s="41"/>
      <c r="U1194" s="41"/>
      <c r="V1194" s="51"/>
    </row>
    <row r="1195" spans="2:22" x14ac:dyDescent="0.25">
      <c r="B1195" s="405"/>
      <c r="C1195" s="299">
        <v>1</v>
      </c>
      <c r="D1195" s="208" t="s">
        <v>225</v>
      </c>
      <c r="E1195" s="315"/>
      <c r="F1195" s="315"/>
      <c r="G1195" s="315"/>
      <c r="H1195" s="329" t="str">
        <f t="shared" si="17"/>
        <v>RUK-1-LAMPHI-NEON</v>
      </c>
      <c r="I1195" s="338" t="s">
        <v>226</v>
      </c>
      <c r="J1195" s="339" t="s">
        <v>140</v>
      </c>
      <c r="K1195" s="363" t="s">
        <v>359</v>
      </c>
      <c r="L1195" s="331" t="s">
        <v>349</v>
      </c>
      <c r="M1195" s="340">
        <v>0</v>
      </c>
      <c r="N1195" s="41"/>
      <c r="O1195" s="284"/>
      <c r="P1195" s="105"/>
      <c r="Q1195" s="57"/>
      <c r="R1195" s="57"/>
      <c r="S1195" s="57"/>
      <c r="T1195" s="41"/>
      <c r="U1195" s="41"/>
      <c r="V1195" s="51"/>
    </row>
    <row r="1196" spans="2:22" x14ac:dyDescent="0.25">
      <c r="B1196" s="405"/>
      <c r="C1196" s="299">
        <v>1</v>
      </c>
      <c r="D1196" s="208" t="s">
        <v>225</v>
      </c>
      <c r="E1196" s="315"/>
      <c r="F1196" s="315"/>
      <c r="G1196" s="315"/>
      <c r="H1196" s="329" t="str">
        <f t="shared" si="17"/>
        <v>RUK-1-LAMPHI-BULB</v>
      </c>
      <c r="I1196" s="338" t="s">
        <v>226</v>
      </c>
      <c r="J1196" s="339" t="s">
        <v>141</v>
      </c>
      <c r="K1196" s="363" t="s">
        <v>359</v>
      </c>
      <c r="L1196" s="331" t="s">
        <v>349</v>
      </c>
      <c r="M1196" s="340">
        <v>7</v>
      </c>
      <c r="N1196" s="41"/>
      <c r="O1196" s="284"/>
      <c r="P1196" s="105"/>
      <c r="Q1196" s="57"/>
      <c r="R1196" s="57"/>
      <c r="S1196" s="57"/>
      <c r="T1196" s="41"/>
      <c r="U1196" s="41"/>
      <c r="V1196" s="51"/>
    </row>
    <row r="1197" spans="2:22" x14ac:dyDescent="0.25">
      <c r="B1197" s="405"/>
      <c r="C1197" s="299">
        <v>1</v>
      </c>
      <c r="D1197" s="208" t="s">
        <v>228</v>
      </c>
      <c r="E1197" s="315"/>
      <c r="F1197" s="315"/>
      <c r="G1197" s="315"/>
      <c r="H1197" s="329" t="str">
        <f>CONCATENATE(LEFT(L1197,3),"-",C1197,"-",LEFT(D1197,3),LEFT(I1197,3),"-",LEFT(J1197,4))</f>
        <v>RUK-1-ELEELE-SOCK</v>
      </c>
      <c r="I1197" s="341" t="s">
        <v>227</v>
      </c>
      <c r="J1197" s="342" t="s">
        <v>229</v>
      </c>
      <c r="K1197" s="363" t="s">
        <v>359</v>
      </c>
      <c r="L1197" s="331" t="s">
        <v>349</v>
      </c>
      <c r="M1197" s="340">
        <v>4</v>
      </c>
      <c r="N1197" s="41"/>
      <c r="O1197" s="284"/>
      <c r="P1197" s="105"/>
      <c r="Q1197" s="57"/>
      <c r="R1197" s="57"/>
      <c r="S1197" s="57"/>
      <c r="T1197" s="41"/>
      <c r="U1197" s="41"/>
      <c r="V1197" s="51"/>
    </row>
    <row r="1198" spans="2:22" x14ac:dyDescent="0.25">
      <c r="B1198" s="405"/>
      <c r="C1198" s="299">
        <v>1</v>
      </c>
      <c r="D1198" s="305" t="s">
        <v>230</v>
      </c>
      <c r="E1198" s="315"/>
      <c r="F1198" s="315"/>
      <c r="G1198" s="315"/>
      <c r="H1198" s="329" t="str">
        <f t="shared" si="17"/>
        <v>RUK-1-SWISIN-SINGLE</v>
      </c>
      <c r="I1198" s="338" t="s">
        <v>142</v>
      </c>
      <c r="J1198" s="339" t="s">
        <v>142</v>
      </c>
      <c r="K1198" s="363" t="s">
        <v>359</v>
      </c>
      <c r="L1198" s="331" t="s">
        <v>349</v>
      </c>
      <c r="M1198" s="340">
        <v>3</v>
      </c>
      <c r="N1198" s="41"/>
      <c r="O1198" s="284"/>
      <c r="P1198" s="105"/>
      <c r="Q1198" s="57"/>
      <c r="R1198" s="57"/>
      <c r="S1198" s="57"/>
      <c r="T1198" s="41"/>
      <c r="U1198" s="41"/>
      <c r="V1198" s="51"/>
    </row>
    <row r="1199" spans="2:22" x14ac:dyDescent="0.25">
      <c r="B1199" s="405"/>
      <c r="C1199" s="299">
        <v>1</v>
      </c>
      <c r="D1199" s="305" t="s">
        <v>230</v>
      </c>
      <c r="E1199" s="315"/>
      <c r="F1199" s="315"/>
      <c r="G1199" s="315"/>
      <c r="H1199" s="329" t="str">
        <f t="shared" si="17"/>
        <v>RUK-1-SWIDOU-DOUBLE</v>
      </c>
      <c r="I1199" s="338" t="s">
        <v>143</v>
      </c>
      <c r="J1199" s="339" t="s">
        <v>143</v>
      </c>
      <c r="K1199" s="363" t="s">
        <v>359</v>
      </c>
      <c r="L1199" s="331" t="s">
        <v>349</v>
      </c>
      <c r="M1199" s="340">
        <v>2</v>
      </c>
      <c r="N1199" s="41"/>
      <c r="O1199" s="284"/>
      <c r="P1199" s="105"/>
      <c r="Q1199" s="57"/>
      <c r="R1199" s="57"/>
      <c r="S1199" s="57"/>
      <c r="T1199" s="41"/>
      <c r="U1199" s="41"/>
      <c r="V1199" s="51"/>
    </row>
    <row r="1200" spans="2:22" x14ac:dyDescent="0.25">
      <c r="B1200" s="405"/>
      <c r="C1200" s="89">
        <v>1</v>
      </c>
      <c r="D1200" s="203" t="s">
        <v>198</v>
      </c>
      <c r="E1200" s="265"/>
      <c r="F1200" s="265"/>
      <c r="G1200" s="265"/>
      <c r="H1200" s="329" t="str">
        <f>CONCATENATE(LEFT(L1200,3),"-",C1200,"-",LEFT(D1200,3),LEFT(I1200,3),"-",LEFT(J1200,3))</f>
        <v>RUK-1-RAKWAL-TRI</v>
      </c>
      <c r="I1200" s="333" t="s">
        <v>199</v>
      </c>
      <c r="J1200" s="335" t="s">
        <v>231</v>
      </c>
      <c r="K1200" s="363" t="s">
        <v>359</v>
      </c>
      <c r="L1200" s="331" t="s">
        <v>349</v>
      </c>
      <c r="M1200" s="332">
        <f>'[4]FORM ASET'!$F$67</f>
        <v>0</v>
      </c>
      <c r="N1200" s="41"/>
      <c r="O1200" s="284"/>
      <c r="P1200" s="105"/>
      <c r="Q1200" s="57"/>
      <c r="R1200" s="57"/>
      <c r="S1200" s="57"/>
      <c r="T1200" s="41"/>
      <c r="U1200" s="41"/>
      <c r="V1200" s="51"/>
    </row>
    <row r="1201" spans="2:22" x14ac:dyDescent="0.25">
      <c r="B1201" s="405"/>
      <c r="C1201" s="89">
        <v>1</v>
      </c>
      <c r="D1201" s="203" t="s">
        <v>198</v>
      </c>
      <c r="E1201" s="265"/>
      <c r="F1201" s="265"/>
      <c r="G1201" s="265"/>
      <c r="H1201" s="329" t="str">
        <f t="shared" ref="H1201:H1203" si="18">CONCATENATE(LEFT(L1201,3),"-",C1201,"-",LEFT(D1201,3),LEFT(I1201,3),"-",LEFT(J1201,3))</f>
        <v>RUK-1-RAKWAL-HEX</v>
      </c>
      <c r="I1201" s="333" t="s">
        <v>199</v>
      </c>
      <c r="J1201" s="335" t="s">
        <v>232</v>
      </c>
      <c r="K1201" s="363" t="s">
        <v>359</v>
      </c>
      <c r="L1201" s="331" t="s">
        <v>349</v>
      </c>
      <c r="M1201" s="332">
        <f>'[4]FORM ASET'!$F$67</f>
        <v>0</v>
      </c>
      <c r="N1201" s="41"/>
      <c r="O1201" s="284"/>
      <c r="P1201" s="105"/>
      <c r="Q1201" s="57"/>
      <c r="R1201" s="57"/>
      <c r="S1201" s="57"/>
      <c r="T1201" s="41"/>
      <c r="U1201" s="41"/>
      <c r="V1201" s="51"/>
    </row>
    <row r="1202" spans="2:22" x14ac:dyDescent="0.25">
      <c r="B1202" s="405"/>
      <c r="C1202" s="89">
        <v>1</v>
      </c>
      <c r="D1202" s="203" t="s">
        <v>198</v>
      </c>
      <c r="E1202" s="265"/>
      <c r="F1202" s="265"/>
      <c r="G1202" s="265"/>
      <c r="H1202" s="329" t="str">
        <f t="shared" si="18"/>
        <v>RUK-1-RAKWAL-REC</v>
      </c>
      <c r="I1202" s="333" t="s">
        <v>199</v>
      </c>
      <c r="J1202" s="335" t="s">
        <v>233</v>
      </c>
      <c r="K1202" s="363" t="s">
        <v>359</v>
      </c>
      <c r="L1202" s="331" t="s">
        <v>349</v>
      </c>
      <c r="M1202" s="332">
        <f>'[4]FORM ASET'!$F$67</f>
        <v>0</v>
      </c>
      <c r="N1202" s="41"/>
      <c r="O1202" s="284"/>
      <c r="P1202" s="105"/>
      <c r="Q1202" s="57"/>
      <c r="R1202" s="57"/>
      <c r="S1202" s="57"/>
      <c r="T1202" s="41"/>
      <c r="U1202" s="41"/>
      <c r="V1202" s="51"/>
    </row>
    <row r="1203" spans="2:22" x14ac:dyDescent="0.25">
      <c r="B1203" s="405"/>
      <c r="C1203" s="89">
        <v>1</v>
      </c>
      <c r="D1203" s="203" t="s">
        <v>145</v>
      </c>
      <c r="E1203" s="265"/>
      <c r="F1203" s="265"/>
      <c r="G1203" s="265"/>
      <c r="H1203" s="329" t="str">
        <f t="shared" si="18"/>
        <v>RUK-1-JAM-DIN</v>
      </c>
      <c r="I1203" s="343"/>
      <c r="J1203" s="344" t="s">
        <v>197</v>
      </c>
      <c r="K1203" s="363" t="s">
        <v>359</v>
      </c>
      <c r="L1203" s="331" t="s">
        <v>349</v>
      </c>
      <c r="M1203" s="332">
        <f>'[4]FORM ASET'!$F$67</f>
        <v>0</v>
      </c>
      <c r="N1203" s="41"/>
      <c r="O1203" s="284"/>
      <c r="P1203" s="105"/>
      <c r="Q1203" s="57"/>
      <c r="R1203" s="57"/>
      <c r="S1203" s="57"/>
      <c r="T1203" s="41"/>
      <c r="U1203" s="41"/>
      <c r="V1203" s="51"/>
    </row>
    <row r="1204" spans="2:22" x14ac:dyDescent="0.25">
      <c r="B1204" s="427">
        <v>2</v>
      </c>
      <c r="C1204" s="89">
        <v>2</v>
      </c>
      <c r="D1204" s="204" t="s">
        <v>146</v>
      </c>
      <c r="H1204" s="329" t="str">
        <f>CONCATENATE(LEFT(L1204,3),"-",C1204,"-",LEFT(D1204,3),LEFT(I1204,3),"-",LEFT(J1204,5))</f>
        <v>RUK-2-MEJKER-1 BIR</v>
      </c>
      <c r="I1204" s="330" t="s">
        <v>147</v>
      </c>
      <c r="J1204" s="336" t="s">
        <v>175</v>
      </c>
      <c r="K1204" s="336" t="s">
        <v>467</v>
      </c>
      <c r="L1204" s="331" t="s">
        <v>349</v>
      </c>
      <c r="M1204" s="332">
        <v>1</v>
      </c>
      <c r="N1204" s="41"/>
      <c r="O1204" s="284"/>
      <c r="P1204" s="105"/>
      <c r="Q1204" s="57"/>
      <c r="R1204" s="57"/>
      <c r="S1204" s="57"/>
      <c r="T1204" s="41"/>
      <c r="U1204" s="41"/>
      <c r="V1204" s="51"/>
    </row>
    <row r="1205" spans="2:22" x14ac:dyDescent="0.25">
      <c r="B1205" s="405"/>
      <c r="C1205" s="90">
        <v>2</v>
      </c>
      <c r="D1205" s="204" t="s">
        <v>146</v>
      </c>
      <c r="H1205" s="329" t="str">
        <f>CONCATENATE(LEFT(L1205,3),"-",C1205,"-",LEFT(D1205,3),LEFT(I1205,3),"-",LEFT(J1205,3))</f>
        <v>RUK-2-MEJKER-CRE</v>
      </c>
      <c r="I1205" s="330" t="s">
        <v>147</v>
      </c>
      <c r="J1205" s="336" t="s">
        <v>149</v>
      </c>
      <c r="K1205" s="363" t="s">
        <v>359</v>
      </c>
      <c r="L1205" s="331" t="s">
        <v>349</v>
      </c>
      <c r="M1205" s="332">
        <f>'[4]FORM ASET'!$F$67</f>
        <v>0</v>
      </c>
      <c r="N1205" s="41"/>
      <c r="O1205" s="284"/>
      <c r="P1205" s="105"/>
      <c r="Q1205" s="57"/>
      <c r="R1205" s="57"/>
      <c r="S1205" s="57"/>
      <c r="T1205" s="41"/>
      <c r="U1205" s="41"/>
      <c r="V1205" s="51"/>
    </row>
    <row r="1206" spans="2:22" x14ac:dyDescent="0.25">
      <c r="B1206" s="405"/>
      <c r="C1206" s="90">
        <v>2</v>
      </c>
      <c r="D1206" s="203" t="s">
        <v>146</v>
      </c>
      <c r="H1206" s="329" t="str">
        <f t="shared" si="17"/>
        <v>RUK-2-MEJRAP-BIG</v>
      </c>
      <c r="I1206" s="333" t="s">
        <v>174</v>
      </c>
      <c r="J1206" s="335" t="s">
        <v>218</v>
      </c>
      <c r="K1206" s="363" t="s">
        <v>359</v>
      </c>
      <c r="L1206" s="331" t="s">
        <v>349</v>
      </c>
      <c r="M1206" s="332">
        <f>'[4]FORM ASET'!$F$67</f>
        <v>0</v>
      </c>
      <c r="N1206" s="41"/>
      <c r="O1206" s="284"/>
      <c r="P1206" s="105"/>
      <c r="Q1206" s="57"/>
      <c r="R1206" s="57"/>
      <c r="S1206" s="57"/>
      <c r="T1206" s="41"/>
      <c r="U1206" s="41"/>
      <c r="V1206" s="51"/>
    </row>
    <row r="1207" spans="2:22" x14ac:dyDescent="0.25">
      <c r="B1207" s="405"/>
      <c r="C1207" s="90">
        <v>2</v>
      </c>
      <c r="D1207" s="203" t="s">
        <v>146</v>
      </c>
      <c r="H1207" s="329" t="str">
        <f t="shared" si="17"/>
        <v>RUK-2-MEJRAP-SMALL</v>
      </c>
      <c r="I1207" s="333" t="s">
        <v>174</v>
      </c>
      <c r="J1207" s="335" t="s">
        <v>138</v>
      </c>
      <c r="K1207" s="363" t="s">
        <v>359</v>
      </c>
      <c r="L1207" s="331" t="s">
        <v>349</v>
      </c>
      <c r="M1207" s="332">
        <f>'[4]FORM ASET'!$F$67</f>
        <v>0</v>
      </c>
      <c r="N1207" s="41"/>
      <c r="O1207" s="284"/>
      <c r="P1207" s="105"/>
      <c r="Q1207" s="57"/>
      <c r="R1207" s="57"/>
      <c r="S1207" s="57"/>
      <c r="T1207" s="41"/>
      <c r="U1207" s="41"/>
      <c r="V1207" s="51"/>
    </row>
    <row r="1208" spans="2:22" x14ac:dyDescent="0.25">
      <c r="B1208" s="405"/>
      <c r="C1208" s="90">
        <v>2</v>
      </c>
      <c r="D1208" s="203" t="s">
        <v>146</v>
      </c>
      <c r="H1208" s="329" t="str">
        <f>CONCATENATE(LEFT(L1208,3),"-",C1208,"-",LEFT(D1208,3),LEFT(I1208,3),"-",LEFT(J1208,3))</f>
        <v>RUK-2-MEJBUL-MED</v>
      </c>
      <c r="I1208" s="333" t="s">
        <v>148</v>
      </c>
      <c r="J1208" s="335" t="s">
        <v>219</v>
      </c>
      <c r="K1208" s="331" t="s">
        <v>467</v>
      </c>
      <c r="L1208" s="331" t="s">
        <v>349</v>
      </c>
      <c r="M1208" s="332">
        <f>'[4]FORM ASET'!$F$67</f>
        <v>0</v>
      </c>
      <c r="N1208" s="41"/>
      <c r="O1208" s="284"/>
      <c r="P1208" s="105"/>
      <c r="Q1208" s="57"/>
      <c r="R1208" s="57"/>
      <c r="S1208" s="57"/>
      <c r="T1208" s="41"/>
      <c r="U1208" s="41"/>
      <c r="V1208" s="51" t="s">
        <v>469</v>
      </c>
    </row>
    <row r="1209" spans="2:22" x14ac:dyDescent="0.25">
      <c r="B1209" s="405"/>
      <c r="C1209" s="90">
        <v>2</v>
      </c>
      <c r="D1209" s="203" t="s">
        <v>146</v>
      </c>
      <c r="H1209" s="329" t="str">
        <f t="shared" ref="H1209:H1210" si="19">CONCATENATE(LEFT(L1209,3),"-",C1209,"-",LEFT(D1209,3),LEFT(I1209,3),"-",LEFT(J1209,3))</f>
        <v>RUK-2-MEJTRI-SMA</v>
      </c>
      <c r="I1209" s="333" t="s">
        <v>231</v>
      </c>
      <c r="J1209" s="335" t="s">
        <v>138</v>
      </c>
      <c r="K1209" s="363" t="s">
        <v>359</v>
      </c>
      <c r="L1209" s="331" t="s">
        <v>349</v>
      </c>
      <c r="M1209" s="332">
        <f>'[4]FORM ASET'!$F$67</f>
        <v>0</v>
      </c>
      <c r="N1209" s="41"/>
      <c r="O1209" s="284"/>
      <c r="P1209" s="105"/>
      <c r="Q1209" s="57"/>
      <c r="R1209" s="57"/>
      <c r="S1209" s="57"/>
      <c r="T1209" s="41"/>
      <c r="U1209" s="41"/>
      <c r="V1209" s="51"/>
    </row>
    <row r="1210" spans="2:22" x14ac:dyDescent="0.25">
      <c r="B1210" s="405"/>
      <c r="C1210" s="90">
        <v>2</v>
      </c>
      <c r="D1210" s="203" t="s">
        <v>150</v>
      </c>
      <c r="H1210" s="329" t="str">
        <f t="shared" si="19"/>
        <v>RUK-2-KURDIR-DIR</v>
      </c>
      <c r="I1210" s="333" t="s">
        <v>151</v>
      </c>
      <c r="J1210" s="335" t="s">
        <v>151</v>
      </c>
      <c r="K1210" s="363" t="s">
        <v>359</v>
      </c>
      <c r="L1210" s="331" t="s">
        <v>349</v>
      </c>
      <c r="M1210" s="332">
        <f>'[4]FORM ASET'!$F$67</f>
        <v>0</v>
      </c>
      <c r="N1210" s="41"/>
      <c r="O1210" s="284"/>
      <c r="P1210" s="105"/>
      <c r="Q1210" s="57"/>
      <c r="R1210" s="57"/>
      <c r="S1210" s="57"/>
      <c r="T1210" s="41"/>
      <c r="U1210" s="41"/>
      <c r="V1210" s="51"/>
    </row>
    <row r="1211" spans="2:22" x14ac:dyDescent="0.25">
      <c r="B1211" s="405"/>
      <c r="C1211" s="90">
        <v>2</v>
      </c>
      <c r="D1211" s="203" t="s">
        <v>150</v>
      </c>
      <c r="H1211" s="329" t="str">
        <f t="shared" si="17"/>
        <v>RUK-2-KURHAD-</v>
      </c>
      <c r="I1211" s="333" t="s">
        <v>153</v>
      </c>
      <c r="J1211" s="335"/>
      <c r="K1211" s="363" t="s">
        <v>359</v>
      </c>
      <c r="L1211" s="331" t="s">
        <v>349</v>
      </c>
      <c r="M1211" s="332">
        <f>'[4]FORM ASET'!$F$67</f>
        <v>0</v>
      </c>
      <c r="N1211" s="41"/>
      <c r="O1211" s="284"/>
      <c r="P1211" s="105"/>
      <c r="Q1211" s="57"/>
      <c r="R1211" s="57"/>
      <c r="S1211" s="57"/>
      <c r="T1211" s="41"/>
      <c r="U1211" s="41"/>
      <c r="V1211" s="51"/>
    </row>
    <row r="1212" spans="2:22" x14ac:dyDescent="0.25">
      <c r="B1212" s="405"/>
      <c r="C1212" s="90">
        <v>2</v>
      </c>
      <c r="D1212" s="203" t="s">
        <v>150</v>
      </c>
      <c r="H1212" s="329" t="str">
        <f>CONCATENATE(LEFT(L1212,3),"-",C1212,"-",LEFT(D1212,3),LEFT(I1212,3),"-",LEFT(J1212,4))</f>
        <v>RUK-2-KURNON-PLAS</v>
      </c>
      <c r="I1212" s="333" t="s">
        <v>154</v>
      </c>
      <c r="J1212" s="335" t="s">
        <v>155</v>
      </c>
      <c r="K1212" s="363" t="s">
        <v>359</v>
      </c>
      <c r="L1212" s="331" t="s">
        <v>349</v>
      </c>
      <c r="M1212" s="332">
        <f>'[4]FORM ASET'!$F$67</f>
        <v>0</v>
      </c>
      <c r="N1212" s="41"/>
      <c r="O1212" s="284"/>
      <c r="P1212" s="105"/>
      <c r="Q1212" s="57"/>
      <c r="R1212" s="57"/>
      <c r="S1212" s="57"/>
      <c r="T1212" s="41"/>
      <c r="U1212" s="41"/>
      <c r="V1212" s="51"/>
    </row>
    <row r="1213" spans="2:22" x14ac:dyDescent="0.25">
      <c r="B1213" s="405"/>
      <c r="C1213" s="90">
        <v>2</v>
      </c>
      <c r="D1213" s="203" t="s">
        <v>150</v>
      </c>
      <c r="H1213" s="329" t="str">
        <f>CONCATENATE(LEFT(L1213,3),"-",C1213,"-",LEFT(D1213,3),LEFT(I1213,3),"-",LEFT(J1213,3))</f>
        <v>RUK-2-KURNON-LIP</v>
      </c>
      <c r="I1213" s="333" t="s">
        <v>154</v>
      </c>
      <c r="J1213" s="335" t="s">
        <v>156</v>
      </c>
      <c r="K1213" s="363" t="s">
        <v>359</v>
      </c>
      <c r="L1213" s="331" t="s">
        <v>349</v>
      </c>
      <c r="M1213" s="332">
        <f>'[4]FORM ASET'!$F$67</f>
        <v>0</v>
      </c>
      <c r="N1213" s="41"/>
      <c r="O1213" s="284"/>
      <c r="P1213" s="105"/>
      <c r="Q1213" s="57"/>
      <c r="R1213" s="57"/>
      <c r="S1213" s="57"/>
      <c r="T1213" s="41"/>
      <c r="U1213" s="41"/>
      <c r="V1213" s="51"/>
    </row>
    <row r="1214" spans="2:22" x14ac:dyDescent="0.25">
      <c r="B1214" s="405"/>
      <c r="C1214" s="90">
        <v>2</v>
      </c>
      <c r="D1214" s="203" t="s">
        <v>150</v>
      </c>
      <c r="H1214" s="329" t="str">
        <f>CONCATENATE(LEFT(L1214,3),"-",C1214,"-",LEFT(D1214,3),LEFT(I1214,3),"-",LEFT(J1214,5))</f>
        <v>RUK-2-KURNON-STACK</v>
      </c>
      <c r="I1214" s="333" t="s">
        <v>154</v>
      </c>
      <c r="J1214" s="335" t="s">
        <v>157</v>
      </c>
      <c r="K1214" s="336" t="s">
        <v>358</v>
      </c>
      <c r="L1214" s="331" t="s">
        <v>349</v>
      </c>
      <c r="M1214" s="332">
        <v>1</v>
      </c>
      <c r="N1214" s="41"/>
      <c r="O1214" s="284"/>
      <c r="P1214" s="105"/>
      <c r="Q1214" s="57"/>
      <c r="R1214" s="57"/>
      <c r="S1214" s="57"/>
      <c r="T1214" s="41"/>
      <c r="U1214" s="41"/>
      <c r="V1214" s="51"/>
    </row>
    <row r="1215" spans="2:22" x14ac:dyDescent="0.25">
      <c r="B1215" s="405"/>
      <c r="C1215" s="90">
        <v>2</v>
      </c>
      <c r="D1215" s="203" t="s">
        <v>150</v>
      </c>
      <c r="H1215" s="329" t="str">
        <f t="shared" ref="H1215:H1273" si="20">CONCATENATE(LEFT(L1215,3),"-",C1215,"-",LEFT(D1215,3),LEFT(I1215,3),"-",LEFT(J1215,6))</f>
        <v>RUK-2-KURNON-RELAX</v>
      </c>
      <c r="I1215" s="333" t="s">
        <v>154</v>
      </c>
      <c r="J1215" s="335" t="s">
        <v>289</v>
      </c>
      <c r="K1215" s="364" t="s">
        <v>359</v>
      </c>
      <c r="L1215" s="331" t="s">
        <v>349</v>
      </c>
      <c r="M1215" s="332">
        <f>'[4]FORM ASET'!$F$67</f>
        <v>0</v>
      </c>
      <c r="N1215" s="41"/>
      <c r="O1215" s="284"/>
      <c r="P1215" s="105"/>
      <c r="Q1215" s="57"/>
      <c r="R1215" s="57"/>
      <c r="S1215" s="57"/>
      <c r="T1215" s="41"/>
      <c r="U1215" s="41"/>
      <c r="V1215" s="51"/>
    </row>
    <row r="1216" spans="2:22" x14ac:dyDescent="0.25">
      <c r="B1216" s="405"/>
      <c r="C1216" s="90">
        <v>2</v>
      </c>
      <c r="D1216" s="203" t="s">
        <v>150</v>
      </c>
      <c r="H1216" s="329" t="str">
        <f t="shared" si="20"/>
        <v>RUK-2-KURNON-WOOD</v>
      </c>
      <c r="I1216" s="333" t="s">
        <v>154</v>
      </c>
      <c r="J1216" s="335" t="s">
        <v>290</v>
      </c>
      <c r="K1216" s="364" t="s">
        <v>359</v>
      </c>
      <c r="L1216" s="331" t="s">
        <v>349</v>
      </c>
      <c r="M1216" s="332">
        <f>'[4]FORM ASET'!$F$67</f>
        <v>0</v>
      </c>
      <c r="N1216" s="41"/>
      <c r="O1216" s="284"/>
      <c r="P1216" s="105"/>
      <c r="Q1216" s="57"/>
      <c r="R1216" s="57"/>
      <c r="S1216" s="57"/>
      <c r="T1216" s="41"/>
      <c r="U1216" s="41"/>
      <c r="V1216" s="51"/>
    </row>
    <row r="1217" spans="2:22" x14ac:dyDescent="0.25">
      <c r="B1217" s="405"/>
      <c r="C1217" s="90">
        <v>2</v>
      </c>
      <c r="D1217" s="203" t="s">
        <v>158</v>
      </c>
      <c r="H1217" s="329" t="str">
        <f t="shared" si="20"/>
        <v>RUK-2-SOFSIN-1</v>
      </c>
      <c r="I1217" s="333" t="s">
        <v>142</v>
      </c>
      <c r="J1217" s="335">
        <v>1</v>
      </c>
      <c r="K1217" s="336" t="s">
        <v>468</v>
      </c>
      <c r="L1217" s="331" t="s">
        <v>349</v>
      </c>
      <c r="M1217" s="332">
        <v>1</v>
      </c>
      <c r="N1217" s="41"/>
      <c r="O1217" s="284"/>
      <c r="P1217" s="105"/>
      <c r="Q1217" s="57"/>
      <c r="R1217" s="57"/>
      <c r="S1217" s="57"/>
      <c r="T1217" s="41"/>
      <c r="U1217" s="41"/>
      <c r="V1217" s="51"/>
    </row>
    <row r="1218" spans="2:22" x14ac:dyDescent="0.25">
      <c r="B1218" s="405"/>
      <c r="C1218" s="90">
        <v>2</v>
      </c>
      <c r="D1218" s="203" t="s">
        <v>158</v>
      </c>
      <c r="H1218" s="329" t="str">
        <f t="shared" si="20"/>
        <v>RUK-2-SOFLOV-2</v>
      </c>
      <c r="I1218" s="333" t="s">
        <v>159</v>
      </c>
      <c r="J1218" s="335">
        <v>2</v>
      </c>
      <c r="K1218" s="364" t="s">
        <v>359</v>
      </c>
      <c r="L1218" s="331" t="s">
        <v>349</v>
      </c>
      <c r="M1218" s="332">
        <v>0</v>
      </c>
      <c r="N1218" s="41"/>
      <c r="O1218" s="284"/>
      <c r="P1218" s="105"/>
      <c r="Q1218" s="57"/>
      <c r="R1218" s="57"/>
      <c r="S1218" s="57"/>
      <c r="T1218" s="41"/>
      <c r="U1218" s="41"/>
      <c r="V1218" s="51"/>
    </row>
    <row r="1219" spans="2:22" x14ac:dyDescent="0.25">
      <c r="B1219" s="405"/>
      <c r="C1219" s="90">
        <v>2</v>
      </c>
      <c r="D1219" s="203" t="s">
        <v>158</v>
      </c>
      <c r="H1219" s="329" t="str">
        <f t="shared" si="20"/>
        <v>RUK-2-SOFTHR-3</v>
      </c>
      <c r="I1219" s="333" t="s">
        <v>160</v>
      </c>
      <c r="J1219" s="335">
        <v>3</v>
      </c>
      <c r="K1219" s="364" t="s">
        <v>359</v>
      </c>
      <c r="L1219" s="331" t="s">
        <v>349</v>
      </c>
      <c r="M1219" s="332">
        <f>'[4]FORM ASET'!$F$67</f>
        <v>0</v>
      </c>
      <c r="N1219" s="41"/>
      <c r="O1219" s="284"/>
      <c r="P1219" s="105"/>
      <c r="Q1219" s="57"/>
      <c r="R1219" s="57"/>
      <c r="S1219" s="57"/>
      <c r="T1219" s="41"/>
      <c r="U1219" s="41"/>
      <c r="V1219" s="51"/>
    </row>
    <row r="1220" spans="2:22" x14ac:dyDescent="0.25">
      <c r="B1220" s="405"/>
      <c r="C1220" s="90">
        <v>2</v>
      </c>
      <c r="D1220" s="203" t="s">
        <v>158</v>
      </c>
      <c r="H1220" s="329" t="str">
        <f t="shared" si="20"/>
        <v>RUK-2-SOF-BED</v>
      </c>
      <c r="I1220" s="345"/>
      <c r="J1220" s="337" t="s">
        <v>178</v>
      </c>
      <c r="K1220" s="335" t="s">
        <v>467</v>
      </c>
      <c r="L1220" s="331" t="s">
        <v>349</v>
      </c>
      <c r="M1220" s="332">
        <v>1</v>
      </c>
      <c r="N1220" s="41"/>
      <c r="O1220" s="284"/>
      <c r="P1220" s="105"/>
      <c r="Q1220" s="57"/>
      <c r="R1220" s="57"/>
      <c r="S1220" s="57"/>
      <c r="T1220" s="41"/>
      <c r="U1220" s="41"/>
      <c r="V1220" s="51"/>
    </row>
    <row r="1221" spans="2:22" x14ac:dyDescent="0.25">
      <c r="B1221" s="405"/>
      <c r="C1221" s="90">
        <v>2</v>
      </c>
      <c r="D1221" s="206" t="s">
        <v>163</v>
      </c>
      <c r="H1221" s="329" t="str">
        <f t="shared" si="20"/>
        <v>RUK-2-FILBES-2 DRAW</v>
      </c>
      <c r="I1221" s="345" t="s">
        <v>162</v>
      </c>
      <c r="J1221" s="337" t="s">
        <v>161</v>
      </c>
      <c r="K1221" s="364" t="s">
        <v>359</v>
      </c>
      <c r="L1221" s="331" t="s">
        <v>349</v>
      </c>
      <c r="M1221" s="332">
        <f>'[4]FORM ASET'!$F$67</f>
        <v>0</v>
      </c>
      <c r="N1221" s="41"/>
      <c r="O1221" s="284"/>
      <c r="P1221" s="105"/>
      <c r="Q1221" s="57"/>
      <c r="R1221" s="57"/>
      <c r="S1221" s="57"/>
      <c r="T1221" s="41"/>
      <c r="U1221" s="41"/>
      <c r="V1221" s="51"/>
    </row>
    <row r="1222" spans="2:22" x14ac:dyDescent="0.25">
      <c r="B1222" s="405"/>
      <c r="C1222" s="90">
        <v>2</v>
      </c>
      <c r="D1222" s="206" t="s">
        <v>163</v>
      </c>
      <c r="H1222" s="329" t="str">
        <f t="shared" si="20"/>
        <v>RUK-2-FILBES-3 DRAW</v>
      </c>
      <c r="I1222" s="345" t="s">
        <v>162</v>
      </c>
      <c r="J1222" s="337" t="s">
        <v>164</v>
      </c>
      <c r="K1222" s="364" t="s">
        <v>359</v>
      </c>
      <c r="L1222" s="331" t="s">
        <v>349</v>
      </c>
      <c r="M1222" s="332">
        <f>'[4]FORM ASET'!$F$67</f>
        <v>0</v>
      </c>
      <c r="N1222" s="41"/>
      <c r="O1222" s="284"/>
      <c r="P1222" s="105"/>
      <c r="Q1222" s="57"/>
      <c r="R1222" s="57"/>
      <c r="S1222" s="57"/>
      <c r="T1222" s="41"/>
      <c r="U1222" s="41"/>
      <c r="V1222" s="51"/>
    </row>
    <row r="1223" spans="2:22" x14ac:dyDescent="0.25">
      <c r="B1223" s="405"/>
      <c r="C1223" s="90">
        <v>2</v>
      </c>
      <c r="D1223" s="206" t="s">
        <v>163</v>
      </c>
      <c r="H1223" s="329" t="str">
        <f t="shared" si="20"/>
        <v>RUK-2-FILBES-4 DRAW</v>
      </c>
      <c r="I1223" s="345" t="s">
        <v>162</v>
      </c>
      <c r="J1223" s="337" t="s">
        <v>165</v>
      </c>
      <c r="K1223" s="364" t="s">
        <v>359</v>
      </c>
      <c r="L1223" s="331" t="s">
        <v>349</v>
      </c>
      <c r="M1223" s="332">
        <f>'[4]FORM ASET'!$F$67</f>
        <v>0</v>
      </c>
      <c r="N1223" s="41"/>
      <c r="O1223" s="284"/>
      <c r="P1223" s="105"/>
      <c r="Q1223" s="57"/>
      <c r="R1223" s="57"/>
      <c r="S1223" s="57"/>
      <c r="T1223" s="41"/>
      <c r="U1223" s="41"/>
      <c r="V1223" s="51"/>
    </row>
    <row r="1224" spans="2:22" x14ac:dyDescent="0.25">
      <c r="B1224" s="405"/>
      <c r="C1224" s="90">
        <v>2</v>
      </c>
      <c r="D1224" s="206" t="s">
        <v>163</v>
      </c>
      <c r="H1224" s="329" t="str">
        <f t="shared" si="20"/>
        <v>RUK-2-FILKAY-2 DRAW</v>
      </c>
      <c r="I1224" s="345" t="s">
        <v>166</v>
      </c>
      <c r="J1224" s="337" t="s">
        <v>161</v>
      </c>
      <c r="K1224" s="364" t="s">
        <v>359</v>
      </c>
      <c r="L1224" s="331" t="s">
        <v>349</v>
      </c>
      <c r="M1224" s="332">
        <f>'[4]FORM ASET'!$F$67</f>
        <v>0</v>
      </c>
      <c r="N1224" s="41"/>
      <c r="O1224" s="284"/>
      <c r="P1224" s="105"/>
      <c r="Q1224" s="57"/>
      <c r="R1224" s="57"/>
      <c r="S1224" s="57"/>
      <c r="T1224" s="41"/>
      <c r="U1224" s="41"/>
      <c r="V1224" s="51"/>
    </row>
    <row r="1225" spans="2:22" x14ac:dyDescent="0.25">
      <c r="B1225" s="405"/>
      <c r="C1225" s="90">
        <v>2</v>
      </c>
      <c r="D1225" s="206" t="s">
        <v>163</v>
      </c>
      <c r="H1225" s="329" t="str">
        <f t="shared" si="20"/>
        <v>RUK-2-FILKAY-3 DRAW</v>
      </c>
      <c r="I1225" s="345" t="s">
        <v>166</v>
      </c>
      <c r="J1225" s="337" t="s">
        <v>164</v>
      </c>
      <c r="K1225" s="364" t="s">
        <v>359</v>
      </c>
      <c r="L1225" s="331" t="s">
        <v>349</v>
      </c>
      <c r="M1225" s="332">
        <f>'[4]FORM ASET'!$F$67</f>
        <v>0</v>
      </c>
      <c r="N1225" s="41"/>
      <c r="O1225" s="284"/>
      <c r="P1225" s="105"/>
      <c r="Q1225" s="57"/>
      <c r="R1225" s="57"/>
      <c r="S1225" s="57"/>
      <c r="T1225" s="41"/>
      <c r="U1225" s="41"/>
      <c r="V1225" s="51"/>
    </row>
    <row r="1226" spans="2:22" x14ac:dyDescent="0.25">
      <c r="B1226" s="405"/>
      <c r="C1226" s="90">
        <v>2</v>
      </c>
      <c r="D1226" s="206" t="s">
        <v>167</v>
      </c>
      <c r="H1226" s="329" t="str">
        <f t="shared" si="20"/>
        <v>RUK-2-FILKAY-4 DRAW</v>
      </c>
      <c r="I1226" s="345" t="s">
        <v>166</v>
      </c>
      <c r="J1226" s="337" t="s">
        <v>165</v>
      </c>
      <c r="K1226" s="364" t="s">
        <v>359</v>
      </c>
      <c r="L1226" s="331" t="s">
        <v>349</v>
      </c>
      <c r="M1226" s="332">
        <f>'[4]FORM ASET'!$F$67</f>
        <v>0</v>
      </c>
      <c r="N1226" s="41"/>
      <c r="O1226" s="284"/>
      <c r="P1226" s="105"/>
      <c r="Q1226" s="57"/>
      <c r="R1226" s="57"/>
      <c r="S1226" s="57"/>
      <c r="T1226" s="41"/>
      <c r="U1226" s="41"/>
      <c r="V1226" s="51"/>
    </row>
    <row r="1227" spans="2:22" x14ac:dyDescent="0.25">
      <c r="B1227" s="405"/>
      <c r="C1227" s="90">
        <v>2</v>
      </c>
      <c r="D1227" s="203" t="s">
        <v>168</v>
      </c>
      <c r="H1227" s="329" t="str">
        <f t="shared" si="20"/>
        <v>RUK-2-LEMBES-KACA</v>
      </c>
      <c r="I1227" s="333" t="s">
        <v>162</v>
      </c>
      <c r="J1227" s="335" t="s">
        <v>169</v>
      </c>
      <c r="K1227" s="364" t="s">
        <v>359</v>
      </c>
      <c r="L1227" s="331" t="s">
        <v>349</v>
      </c>
      <c r="M1227" s="332">
        <f>'[4]FORM ASET'!$F$67</f>
        <v>0</v>
      </c>
      <c r="N1227" s="41"/>
      <c r="O1227" s="284"/>
      <c r="P1227" s="105"/>
      <c r="Q1227" s="57"/>
      <c r="R1227" s="57"/>
      <c r="S1227" s="57"/>
      <c r="T1227" s="41"/>
      <c r="U1227" s="41"/>
      <c r="V1227" s="51"/>
    </row>
    <row r="1228" spans="2:22" x14ac:dyDescent="0.25">
      <c r="B1228" s="405"/>
      <c r="C1228" s="90">
        <v>2</v>
      </c>
      <c r="D1228" s="203" t="s">
        <v>168</v>
      </c>
      <c r="H1228" s="329" t="str">
        <f t="shared" si="20"/>
        <v>RUK-2-LEMBES-BESI</v>
      </c>
      <c r="I1228" s="333" t="s">
        <v>162</v>
      </c>
      <c r="J1228" s="335" t="s">
        <v>162</v>
      </c>
      <c r="K1228" s="364" t="s">
        <v>359</v>
      </c>
      <c r="L1228" s="331" t="s">
        <v>349</v>
      </c>
      <c r="M1228" s="332">
        <f>'[4]FORM ASET'!$F$67</f>
        <v>0</v>
      </c>
      <c r="N1228" s="41"/>
      <c r="O1228" s="284"/>
      <c r="P1228" s="105"/>
      <c r="Q1228" s="57"/>
      <c r="R1228" s="57"/>
      <c r="S1228" s="57"/>
      <c r="T1228" s="41"/>
      <c r="U1228" s="41"/>
      <c r="V1228" s="51"/>
    </row>
    <row r="1229" spans="2:22" x14ac:dyDescent="0.25">
      <c r="B1229" s="405"/>
      <c r="C1229" s="90">
        <v>2</v>
      </c>
      <c r="D1229" s="203" t="s">
        <v>168</v>
      </c>
      <c r="H1229" s="329" t="str">
        <f t="shared" si="20"/>
        <v>RUK-2-LEM-SUSUN</v>
      </c>
      <c r="I1229" s="333"/>
      <c r="J1229" s="335" t="s">
        <v>291</v>
      </c>
      <c r="K1229" s="364" t="s">
        <v>359</v>
      </c>
      <c r="L1229" s="331" t="s">
        <v>349</v>
      </c>
      <c r="M1229" s="332">
        <f>'[4]FORM ASET'!$F$67</f>
        <v>0</v>
      </c>
      <c r="N1229" s="41"/>
      <c r="O1229" s="284"/>
      <c r="P1229" s="105"/>
      <c r="Q1229" s="57"/>
      <c r="R1229" s="57"/>
      <c r="S1229" s="57"/>
      <c r="T1229" s="41"/>
      <c r="U1229" s="41"/>
      <c r="V1229" s="51"/>
    </row>
    <row r="1230" spans="2:22" x14ac:dyDescent="0.25">
      <c r="B1230" s="405"/>
      <c r="C1230" s="90">
        <v>2</v>
      </c>
      <c r="D1230" s="203" t="s">
        <v>168</v>
      </c>
      <c r="H1230" s="329" t="str">
        <f>CONCATENATE(LEFT(L1230,3),"-",C1230,"-",LEFT(D1230,3),LEFT(I1230,3),"-",LEFT(J1230,3))</f>
        <v>RUK-2-LEM-PAN</v>
      </c>
      <c r="I1230" s="333"/>
      <c r="J1230" s="335" t="s">
        <v>292</v>
      </c>
      <c r="K1230" s="364" t="s">
        <v>359</v>
      </c>
      <c r="L1230" s="331" t="s">
        <v>349</v>
      </c>
      <c r="M1230" s="332">
        <f>'[4]FORM ASET'!$F$67</f>
        <v>0</v>
      </c>
      <c r="N1230" s="41"/>
      <c r="O1230" s="284"/>
      <c r="P1230" s="105"/>
      <c r="Q1230" s="57"/>
      <c r="R1230" s="57"/>
      <c r="S1230" s="57"/>
      <c r="T1230" s="41"/>
      <c r="U1230" s="41"/>
      <c r="V1230" s="51"/>
    </row>
    <row r="1231" spans="2:22" x14ac:dyDescent="0.25">
      <c r="B1231" s="405"/>
      <c r="C1231" s="90">
        <v>2</v>
      </c>
      <c r="D1231" s="203" t="s">
        <v>168</v>
      </c>
      <c r="H1231" s="329" t="str">
        <f t="shared" si="20"/>
        <v>RUK-2-LEMLAC-KACA</v>
      </c>
      <c r="I1231" s="333" t="s">
        <v>293</v>
      </c>
      <c r="J1231" s="335" t="s">
        <v>169</v>
      </c>
      <c r="K1231" s="336" t="s">
        <v>468</v>
      </c>
      <c r="L1231" s="331" t="s">
        <v>349</v>
      </c>
      <c r="M1231" s="332">
        <v>1</v>
      </c>
      <c r="N1231" s="41"/>
      <c r="O1231" s="284"/>
      <c r="P1231" s="105"/>
      <c r="Q1231" s="57"/>
      <c r="R1231" s="57"/>
      <c r="S1231" s="57"/>
      <c r="T1231" s="41"/>
      <c r="U1231" s="41"/>
      <c r="V1231" s="51"/>
    </row>
    <row r="1232" spans="2:22" x14ac:dyDescent="0.25">
      <c r="B1232" s="405"/>
      <c r="C1232" s="90">
        <v>2</v>
      </c>
      <c r="D1232" s="203" t="s">
        <v>170</v>
      </c>
      <c r="H1232" s="329" t="str">
        <f t="shared" si="20"/>
        <v>RUK-2-RAKAMB-5 STAC</v>
      </c>
      <c r="I1232" s="343" t="s">
        <v>171</v>
      </c>
      <c r="J1232" s="346" t="s">
        <v>222</v>
      </c>
      <c r="K1232" s="344" t="s">
        <v>468</v>
      </c>
      <c r="L1232" s="331" t="s">
        <v>349</v>
      </c>
      <c r="M1232" s="332">
        <v>1</v>
      </c>
      <c r="N1232" s="41"/>
      <c r="O1232" s="284"/>
      <c r="P1232" s="105"/>
      <c r="Q1232" s="57"/>
      <c r="R1232" s="57"/>
      <c r="S1232" s="57"/>
      <c r="T1232" s="41"/>
      <c r="U1232" s="41"/>
      <c r="V1232" s="51"/>
    </row>
    <row r="1233" spans="2:22" x14ac:dyDescent="0.25">
      <c r="B1233" s="405"/>
      <c r="C1233" s="90">
        <v>2</v>
      </c>
      <c r="D1233" s="203" t="s">
        <v>170</v>
      </c>
      <c r="H1233" s="329" t="str">
        <f t="shared" si="20"/>
        <v>RUK-2-RAKMIK-6 STAC</v>
      </c>
      <c r="I1233" s="343" t="s">
        <v>172</v>
      </c>
      <c r="J1233" s="346" t="s">
        <v>223</v>
      </c>
      <c r="K1233" s="364" t="s">
        <v>359</v>
      </c>
      <c r="L1233" s="331" t="s">
        <v>349</v>
      </c>
      <c r="M1233" s="332">
        <f>'[4]FORM ASET'!$F$67</f>
        <v>0</v>
      </c>
      <c r="N1233" s="41"/>
      <c r="O1233" s="284"/>
      <c r="P1233" s="105"/>
      <c r="Q1233" s="57"/>
      <c r="R1233" s="57"/>
      <c r="S1233" s="57"/>
      <c r="T1233" s="41"/>
      <c r="U1233" s="41"/>
      <c r="V1233" s="51"/>
    </row>
    <row r="1234" spans="2:22" x14ac:dyDescent="0.25">
      <c r="B1234" s="405"/>
      <c r="C1234" s="90">
        <v>2</v>
      </c>
      <c r="D1234" s="203" t="s">
        <v>170</v>
      </c>
      <c r="H1234" s="329" t="str">
        <f>CONCATENATE(LEFT(L1234,3),"-",C1234,"-",LEFT(D1234,3),LEFT(I1234,3),"-",LEFT(J1234,3))</f>
        <v>RUK-2-RAKRAK-DOC</v>
      </c>
      <c r="I1234" s="343" t="s">
        <v>170</v>
      </c>
      <c r="J1234" s="346" t="s">
        <v>414</v>
      </c>
      <c r="K1234" s="364" t="s">
        <v>359</v>
      </c>
      <c r="L1234" s="331" t="s">
        <v>349</v>
      </c>
      <c r="M1234" s="332">
        <f>'[4]FORM ASET'!$F$67</f>
        <v>0</v>
      </c>
      <c r="N1234" s="41"/>
      <c r="O1234" s="284"/>
      <c r="P1234" s="105"/>
      <c r="Q1234" s="57"/>
      <c r="R1234" s="57"/>
      <c r="S1234" s="57"/>
      <c r="T1234" s="41"/>
      <c r="U1234" s="41"/>
      <c r="V1234" s="51"/>
    </row>
    <row r="1235" spans="2:22" x14ac:dyDescent="0.25">
      <c r="B1235" s="405"/>
      <c r="C1235" s="90">
        <v>2</v>
      </c>
      <c r="D1235" s="203" t="s">
        <v>309</v>
      </c>
      <c r="H1235" s="329" t="str">
        <f t="shared" si="20"/>
        <v>RUK-2-BRAKRI-BLACK</v>
      </c>
      <c r="I1235" s="343" t="s">
        <v>144</v>
      </c>
      <c r="J1235" s="346" t="s">
        <v>310</v>
      </c>
      <c r="K1235" s="364" t="s">
        <v>359</v>
      </c>
      <c r="L1235" s="331" t="s">
        <v>349</v>
      </c>
      <c r="M1235" s="332">
        <f>'[4]FORM ASET'!$F$67</f>
        <v>0</v>
      </c>
      <c r="N1235" s="41"/>
      <c r="O1235" s="284"/>
      <c r="P1235" s="105"/>
      <c r="Q1235" s="57"/>
      <c r="R1235" s="57"/>
      <c r="S1235" s="57"/>
      <c r="T1235" s="41"/>
      <c r="U1235" s="41"/>
      <c r="V1235" s="51"/>
    </row>
    <row r="1236" spans="2:22" x14ac:dyDescent="0.25">
      <c r="B1236" s="406"/>
      <c r="C1236" s="90">
        <v>2</v>
      </c>
      <c r="D1236" s="203" t="s">
        <v>294</v>
      </c>
      <c r="H1236" s="329" t="str">
        <f t="shared" si="20"/>
        <v>RUK-2-BUFTV -KAYU</v>
      </c>
      <c r="I1236" s="343" t="s">
        <v>173</v>
      </c>
      <c r="J1236" s="346" t="s">
        <v>166</v>
      </c>
      <c r="K1236" s="364" t="s">
        <v>359</v>
      </c>
      <c r="L1236" s="331" t="s">
        <v>349</v>
      </c>
      <c r="M1236" s="332">
        <f>'[4]FORM ASET'!$F$67</f>
        <v>0</v>
      </c>
      <c r="N1236" s="41"/>
      <c r="O1236" s="284"/>
      <c r="P1236" s="105"/>
      <c r="Q1236" s="57"/>
      <c r="R1236" s="57"/>
      <c r="S1236" s="57"/>
      <c r="T1236" s="41"/>
      <c r="U1236" s="41"/>
      <c r="V1236" s="51"/>
    </row>
    <row r="1237" spans="2:22" x14ac:dyDescent="0.25">
      <c r="B1237" s="405">
        <v>3</v>
      </c>
      <c r="C1237" s="90">
        <v>3</v>
      </c>
      <c r="D1237" s="204" t="s">
        <v>179</v>
      </c>
      <c r="H1237" s="329" t="str">
        <f t="shared" si="20"/>
        <v>RUK-3-CONKRI-3 DRAW</v>
      </c>
      <c r="I1237" s="343" t="s">
        <v>187</v>
      </c>
      <c r="J1237" s="346" t="s">
        <v>164</v>
      </c>
      <c r="K1237" s="364" t="s">
        <v>359</v>
      </c>
      <c r="L1237" s="331" t="s">
        <v>349</v>
      </c>
      <c r="M1237" s="332">
        <f>'[4]FORM ASET'!$F$67</f>
        <v>0</v>
      </c>
      <c r="N1237" s="41"/>
      <c r="O1237" s="284"/>
      <c r="P1237" s="105"/>
      <c r="Q1237" s="57"/>
      <c r="R1237" s="57"/>
      <c r="S1237" s="57"/>
      <c r="T1237" s="41"/>
      <c r="U1237" s="41"/>
      <c r="V1237" s="51"/>
    </row>
    <row r="1238" spans="2:22" x14ac:dyDescent="0.25">
      <c r="B1238" s="405"/>
      <c r="C1238" s="89">
        <v>3</v>
      </c>
      <c r="D1238" s="203" t="s">
        <v>180</v>
      </c>
      <c r="H1238" s="329" t="str">
        <f t="shared" si="20"/>
        <v>RUK-3-WHISTA-BIG</v>
      </c>
      <c r="I1238" s="343" t="s">
        <v>194</v>
      </c>
      <c r="J1238" s="346" t="s">
        <v>218</v>
      </c>
      <c r="K1238" s="364" t="s">
        <v>359</v>
      </c>
      <c r="L1238" s="331" t="s">
        <v>349</v>
      </c>
      <c r="M1238" s="332">
        <f>'[4]FORM ASET'!$F$67</f>
        <v>0</v>
      </c>
      <c r="N1238" s="41"/>
      <c r="O1238" s="284"/>
      <c r="P1238" s="105"/>
      <c r="Q1238" s="57"/>
      <c r="R1238" s="57"/>
      <c r="S1238" s="57"/>
      <c r="T1238" s="41"/>
      <c r="U1238" s="41"/>
      <c r="V1238" s="51"/>
    </row>
    <row r="1239" spans="2:22" x14ac:dyDescent="0.25">
      <c r="B1239" s="405"/>
      <c r="C1239" s="89">
        <v>3</v>
      </c>
      <c r="D1239" s="203" t="s">
        <v>180</v>
      </c>
      <c r="H1239" s="329" t="str">
        <f t="shared" si="20"/>
        <v>RUK-3-WHIWAL-SMALL</v>
      </c>
      <c r="I1239" s="343" t="s">
        <v>199</v>
      </c>
      <c r="J1239" s="346" t="s">
        <v>138</v>
      </c>
      <c r="K1239" s="344" t="s">
        <v>468</v>
      </c>
      <c r="L1239" s="331" t="s">
        <v>349</v>
      </c>
      <c r="M1239" s="332">
        <v>1</v>
      </c>
      <c r="N1239" s="41"/>
      <c r="O1239" s="284"/>
      <c r="P1239" s="105"/>
      <c r="Q1239" s="57"/>
      <c r="R1239" s="57"/>
      <c r="S1239" s="57"/>
      <c r="T1239" s="41"/>
      <c r="U1239" s="41"/>
      <c r="V1239" s="51"/>
    </row>
    <row r="1240" spans="2:22" x14ac:dyDescent="0.25">
      <c r="B1240" s="405"/>
      <c r="C1240" s="89">
        <v>3</v>
      </c>
      <c r="D1240" s="203" t="s">
        <v>181</v>
      </c>
      <c r="H1240" s="329" t="str">
        <f t="shared" si="20"/>
        <v>RUK-3-POTMEJ-SMALL</v>
      </c>
      <c r="I1240" s="343" t="s">
        <v>146</v>
      </c>
      <c r="J1240" s="346" t="s">
        <v>138</v>
      </c>
      <c r="K1240" s="364" t="s">
        <v>359</v>
      </c>
      <c r="L1240" s="331" t="s">
        <v>349</v>
      </c>
      <c r="M1240" s="332">
        <f>'[4]FORM ASET'!$F$67</f>
        <v>0</v>
      </c>
      <c r="N1240" s="41"/>
      <c r="O1240" s="284"/>
      <c r="P1240" s="105"/>
      <c r="Q1240" s="57"/>
      <c r="R1240" s="57"/>
      <c r="S1240" s="57"/>
      <c r="T1240" s="41"/>
      <c r="U1240" s="41"/>
      <c r="V1240" s="51"/>
    </row>
    <row r="1241" spans="2:22" x14ac:dyDescent="0.25">
      <c r="B1241" s="405"/>
      <c r="C1241" s="89">
        <v>3</v>
      </c>
      <c r="D1241" s="203" t="s">
        <v>181</v>
      </c>
      <c r="H1241" s="329" t="str">
        <f>CONCATENATE(LEFT(L1241,3),"-",C1241,"-",LEFT(D1241,3),LEFT(I1241,3),"-",LEFT(J1241,3))</f>
        <v>RUK-3-POTKRI-SIL</v>
      </c>
      <c r="I1241" s="343" t="s">
        <v>196</v>
      </c>
      <c r="J1241" s="346" t="s">
        <v>332</v>
      </c>
      <c r="K1241" s="364" t="s">
        <v>359</v>
      </c>
      <c r="L1241" s="331" t="s">
        <v>349</v>
      </c>
      <c r="M1241" s="332">
        <f>'[4]FORM ASET'!$F$67</f>
        <v>0</v>
      </c>
      <c r="N1241" s="41"/>
      <c r="O1241" s="284"/>
      <c r="P1241" s="105"/>
      <c r="Q1241" s="57"/>
      <c r="R1241" s="57"/>
      <c r="S1241" s="57"/>
      <c r="T1241" s="41"/>
      <c r="U1241" s="41"/>
      <c r="V1241" s="51"/>
    </row>
    <row r="1242" spans="2:22" x14ac:dyDescent="0.25">
      <c r="B1242" s="405"/>
      <c r="C1242" s="89">
        <v>3</v>
      </c>
      <c r="D1242" s="203" t="s">
        <v>295</v>
      </c>
      <c r="H1242" s="329" t="str">
        <f t="shared" ref="H1242:H1243" si="21">CONCATENATE(LEFT(L1242,3),"-",C1242,"-",LEFT(D1242,3),LEFT(I1242,3),"-",LEFT(J1242,3))</f>
        <v>RUK-3-PAIFRA-BIG</v>
      </c>
      <c r="I1242" s="343" t="s">
        <v>296</v>
      </c>
      <c r="J1242" s="346" t="s">
        <v>218</v>
      </c>
      <c r="K1242" s="344" t="s">
        <v>467</v>
      </c>
      <c r="L1242" s="331" t="s">
        <v>349</v>
      </c>
      <c r="M1242" s="332">
        <v>1</v>
      </c>
      <c r="N1242" s="41"/>
      <c r="O1242" s="284"/>
      <c r="P1242" s="105"/>
      <c r="Q1242" s="57"/>
      <c r="R1242" s="57"/>
      <c r="S1242" s="57"/>
      <c r="T1242" s="41"/>
      <c r="U1242" s="41"/>
      <c r="V1242" s="51"/>
    </row>
    <row r="1243" spans="2:22" x14ac:dyDescent="0.25">
      <c r="B1243" s="405"/>
      <c r="C1243" s="89">
        <v>3</v>
      </c>
      <c r="D1243" s="203" t="s">
        <v>295</v>
      </c>
      <c r="H1243" s="329" t="str">
        <f t="shared" si="21"/>
        <v>RUK-3-PAIFRA-BIG</v>
      </c>
      <c r="I1243" s="343" t="s">
        <v>296</v>
      </c>
      <c r="J1243" s="346" t="s">
        <v>218</v>
      </c>
      <c r="K1243" s="364" t="s">
        <v>359</v>
      </c>
      <c r="L1243" s="331" t="s">
        <v>349</v>
      </c>
      <c r="M1243" s="332">
        <f>'[4]FORM ASET'!$F$67</f>
        <v>0</v>
      </c>
      <c r="N1243" s="41"/>
      <c r="O1243" s="284"/>
      <c r="P1243" s="105"/>
      <c r="Q1243" s="57"/>
      <c r="R1243" s="57"/>
      <c r="S1243" s="57"/>
      <c r="T1243" s="41"/>
      <c r="U1243" s="41"/>
      <c r="V1243" s="51"/>
    </row>
    <row r="1244" spans="2:22" x14ac:dyDescent="0.25">
      <c r="B1244" s="405"/>
      <c r="C1244" s="89">
        <v>3</v>
      </c>
      <c r="D1244" s="203" t="s">
        <v>295</v>
      </c>
      <c r="H1244" s="329" t="str">
        <f t="shared" si="20"/>
        <v>RUK-3-PAIFRA-SMALL</v>
      </c>
      <c r="I1244" s="343" t="s">
        <v>296</v>
      </c>
      <c r="J1244" s="346" t="s">
        <v>138</v>
      </c>
      <c r="K1244" s="364" t="s">
        <v>359</v>
      </c>
      <c r="L1244" s="331" t="s">
        <v>349</v>
      </c>
      <c r="M1244" s="332">
        <f>'[4]FORM ASET'!$F$67</f>
        <v>0</v>
      </c>
      <c r="N1244" s="41"/>
      <c r="O1244" s="284"/>
      <c r="P1244" s="105"/>
      <c r="Q1244" s="57"/>
      <c r="R1244" s="57"/>
      <c r="S1244" s="57"/>
      <c r="T1244" s="41"/>
      <c r="U1244" s="41"/>
      <c r="V1244" s="51"/>
    </row>
    <row r="1245" spans="2:22" x14ac:dyDescent="0.25">
      <c r="B1245" s="405"/>
      <c r="C1245" s="89">
        <v>3</v>
      </c>
      <c r="D1245" s="203" t="s">
        <v>182</v>
      </c>
      <c r="H1245" s="329" t="str">
        <f t="shared" si="20"/>
        <v>RUK-3-TEL-RED</v>
      </c>
      <c r="I1245" s="343"/>
      <c r="J1245" s="346" t="s">
        <v>220</v>
      </c>
      <c r="K1245" s="364" t="s">
        <v>359</v>
      </c>
      <c r="L1245" s="331" t="s">
        <v>349</v>
      </c>
      <c r="M1245" s="332">
        <f>'[4]FORM ASET'!$F$67</f>
        <v>0</v>
      </c>
      <c r="N1245" s="41"/>
      <c r="O1245" s="284"/>
      <c r="P1245" s="105"/>
      <c r="Q1245" s="57"/>
      <c r="R1245" s="57"/>
      <c r="S1245" s="57"/>
      <c r="T1245" s="41"/>
      <c r="U1245" s="41"/>
      <c r="V1245" s="51"/>
    </row>
    <row r="1246" spans="2:22" x14ac:dyDescent="0.25">
      <c r="B1246" s="405"/>
      <c r="C1246" s="89">
        <v>3</v>
      </c>
      <c r="D1246" s="203" t="s">
        <v>183</v>
      </c>
      <c r="H1246" s="329" t="str">
        <f t="shared" si="20"/>
        <v>RUK-3-REMAC -SHARP</v>
      </c>
      <c r="I1246" s="343" t="s">
        <v>23</v>
      </c>
      <c r="J1246" s="346" t="s">
        <v>133</v>
      </c>
      <c r="K1246" s="336" t="s">
        <v>467</v>
      </c>
      <c r="L1246" s="331" t="s">
        <v>349</v>
      </c>
      <c r="M1246" s="332">
        <v>1</v>
      </c>
      <c r="N1246" s="41"/>
      <c r="O1246" s="284"/>
      <c r="P1246" s="105"/>
      <c r="Q1246" s="57"/>
      <c r="R1246" s="57"/>
      <c r="S1246" s="57"/>
      <c r="T1246" s="41"/>
      <c r="U1246" s="41"/>
      <c r="V1246" s="51"/>
    </row>
    <row r="1247" spans="2:22" x14ac:dyDescent="0.25">
      <c r="B1247" s="405"/>
      <c r="C1247" s="89">
        <v>3</v>
      </c>
      <c r="D1247" s="203" t="s">
        <v>183</v>
      </c>
      <c r="H1247" s="329" t="str">
        <f t="shared" si="20"/>
        <v>RUK-3-REMAC -GREE</v>
      </c>
      <c r="I1247" s="343" t="s">
        <v>23</v>
      </c>
      <c r="J1247" s="346" t="s">
        <v>135</v>
      </c>
      <c r="K1247" s="364" t="s">
        <v>359</v>
      </c>
      <c r="L1247" s="331" t="s">
        <v>349</v>
      </c>
      <c r="M1247" s="332">
        <f>'[4]FORM ASET'!$F$67</f>
        <v>0</v>
      </c>
      <c r="N1247" s="41"/>
      <c r="O1247" s="284"/>
      <c r="P1247" s="105"/>
      <c r="Q1247" s="57"/>
      <c r="R1247" s="57"/>
      <c r="S1247" s="57"/>
      <c r="T1247" s="41"/>
      <c r="U1247" s="41"/>
      <c r="V1247" s="51"/>
    </row>
    <row r="1248" spans="2:22" x14ac:dyDescent="0.25">
      <c r="B1248" s="405"/>
      <c r="C1248" s="89">
        <v>3</v>
      </c>
      <c r="D1248" s="203" t="s">
        <v>183</v>
      </c>
      <c r="H1248" s="329" t="str">
        <f>CONCATENATE(LEFT(L1248,3),"-",C1248,"-",LEFT(D1248,3),LEFT(I1248,3),"-",LEFT(J1248,3))</f>
        <v>RUK-3-REMAC -PAN</v>
      </c>
      <c r="I1248" s="343" t="s">
        <v>23</v>
      </c>
      <c r="J1248" s="346" t="s">
        <v>134</v>
      </c>
      <c r="K1248" s="344" t="s">
        <v>358</v>
      </c>
      <c r="L1248" s="331" t="s">
        <v>349</v>
      </c>
      <c r="M1248" s="332">
        <v>1</v>
      </c>
      <c r="N1248" s="41"/>
      <c r="O1248" s="284"/>
      <c r="P1248" s="105"/>
      <c r="Q1248" s="57"/>
      <c r="R1248" s="57"/>
      <c r="S1248" s="57"/>
      <c r="T1248" s="41"/>
      <c r="U1248" s="41"/>
      <c r="V1248" s="51"/>
    </row>
    <row r="1249" spans="2:22" x14ac:dyDescent="0.25">
      <c r="B1249" s="405"/>
      <c r="C1249" s="89">
        <v>3</v>
      </c>
      <c r="D1249" s="203" t="s">
        <v>183</v>
      </c>
      <c r="H1249" s="329" t="str">
        <f t="shared" ref="H1249:H1252" si="22">CONCATENATE(LEFT(L1249,3),"-",C1249,"-",LEFT(D1249,3),LEFT(I1249,3),"-",LEFT(J1249,3))</f>
        <v>RUK-3-REMAC -SAN</v>
      </c>
      <c r="I1249" s="343" t="s">
        <v>23</v>
      </c>
      <c r="J1249" s="346" t="s">
        <v>136</v>
      </c>
      <c r="K1249" s="364" t="s">
        <v>359</v>
      </c>
      <c r="L1249" s="331" t="s">
        <v>349</v>
      </c>
      <c r="M1249" s="332">
        <f>'[4]FORM ASET'!$F$67</f>
        <v>0</v>
      </c>
      <c r="N1249" s="41"/>
      <c r="O1249" s="284"/>
      <c r="P1249" s="105"/>
      <c r="Q1249" s="57"/>
      <c r="R1249" s="57"/>
      <c r="S1249" s="57"/>
      <c r="T1249" s="41"/>
      <c r="U1249" s="41"/>
      <c r="V1249" s="51"/>
    </row>
    <row r="1250" spans="2:22" x14ac:dyDescent="0.25">
      <c r="B1250" s="405"/>
      <c r="C1250" s="89">
        <v>3</v>
      </c>
      <c r="D1250" s="203" t="s">
        <v>183</v>
      </c>
      <c r="H1250" s="329" t="str">
        <f t="shared" si="22"/>
        <v>RUK-3-REMAC -DAI</v>
      </c>
      <c r="I1250" s="343" t="s">
        <v>23</v>
      </c>
      <c r="J1250" s="346" t="s">
        <v>137</v>
      </c>
      <c r="K1250" s="364" t="s">
        <v>359</v>
      </c>
      <c r="L1250" s="331" t="s">
        <v>349</v>
      </c>
      <c r="M1250" s="332">
        <f>'[4]FORM ASET'!$F$67</f>
        <v>0</v>
      </c>
      <c r="N1250" s="41"/>
      <c r="O1250" s="284"/>
      <c r="P1250" s="105"/>
      <c r="Q1250" s="57"/>
      <c r="R1250" s="57"/>
      <c r="S1250" s="57"/>
      <c r="T1250" s="41"/>
      <c r="U1250" s="41"/>
      <c r="V1250" s="51"/>
    </row>
    <row r="1251" spans="2:22" x14ac:dyDescent="0.25">
      <c r="B1251" s="405"/>
      <c r="C1251" s="89">
        <v>3</v>
      </c>
      <c r="D1251" s="203" t="s">
        <v>183</v>
      </c>
      <c r="H1251" s="329" t="str">
        <f t="shared" si="22"/>
        <v>RUK-3-REMAC -SAM</v>
      </c>
      <c r="I1251" s="343" t="s">
        <v>23</v>
      </c>
      <c r="J1251" s="346" t="s">
        <v>221</v>
      </c>
      <c r="K1251" s="364" t="s">
        <v>359</v>
      </c>
      <c r="L1251" s="331" t="s">
        <v>349</v>
      </c>
      <c r="M1251" s="332">
        <f>'[4]FORM ASET'!$F$67</f>
        <v>0</v>
      </c>
      <c r="N1251" s="41"/>
      <c r="O1251" s="284"/>
      <c r="P1251" s="105"/>
      <c r="Q1251" s="57"/>
      <c r="R1251" s="57"/>
      <c r="S1251" s="57"/>
      <c r="T1251" s="41"/>
      <c r="U1251" s="41"/>
      <c r="V1251" s="51"/>
    </row>
    <row r="1252" spans="2:22" x14ac:dyDescent="0.25">
      <c r="B1252" s="405"/>
      <c r="C1252" s="89">
        <v>3</v>
      </c>
      <c r="D1252" s="203" t="s">
        <v>183</v>
      </c>
      <c r="H1252" s="329" t="str">
        <f t="shared" si="22"/>
        <v>RUK-3-REMAC -CHA</v>
      </c>
      <c r="I1252" s="343" t="s">
        <v>23</v>
      </c>
      <c r="J1252" s="346" t="s">
        <v>339</v>
      </c>
      <c r="K1252" s="364" t="s">
        <v>359</v>
      </c>
      <c r="L1252" s="331" t="s">
        <v>349</v>
      </c>
      <c r="M1252" s="332">
        <f>'[4]FORM ASET'!$F$67</f>
        <v>0</v>
      </c>
      <c r="N1252" s="41"/>
      <c r="O1252" s="284"/>
      <c r="P1252" s="105"/>
      <c r="Q1252" s="57"/>
      <c r="R1252" s="57"/>
      <c r="S1252" s="57"/>
      <c r="T1252" s="41"/>
      <c r="U1252" s="41"/>
      <c r="V1252" s="51"/>
    </row>
    <row r="1253" spans="2:22" x14ac:dyDescent="0.25">
      <c r="B1253" s="405"/>
      <c r="C1253" s="89">
        <v>3</v>
      </c>
      <c r="D1253" s="203" t="s">
        <v>57</v>
      </c>
      <c r="H1253" s="329" t="str">
        <f t="shared" si="20"/>
        <v>RUK-3-TVSAM-32 inc</v>
      </c>
      <c r="I1253" s="343" t="s">
        <v>221</v>
      </c>
      <c r="J1253" s="346" t="s">
        <v>466</v>
      </c>
      <c r="K1253" s="344" t="s">
        <v>467</v>
      </c>
      <c r="L1253" s="331" t="s">
        <v>349</v>
      </c>
      <c r="M1253" s="332">
        <v>1</v>
      </c>
      <c r="N1253" s="41"/>
      <c r="O1253" s="284"/>
      <c r="P1253" s="105"/>
      <c r="Q1253" s="57"/>
      <c r="R1253" s="57"/>
      <c r="S1253" s="57"/>
      <c r="T1253" s="41"/>
      <c r="U1253" s="41"/>
      <c r="V1253" s="51"/>
    </row>
    <row r="1254" spans="2:22" x14ac:dyDescent="0.25">
      <c r="B1254" s="405"/>
      <c r="C1254" s="89">
        <v>3</v>
      </c>
      <c r="D1254" s="203" t="s">
        <v>57</v>
      </c>
      <c r="H1254" s="329" t="str">
        <f t="shared" si="20"/>
        <v>RUK-3-TVPOL-32 INC</v>
      </c>
      <c r="I1254" s="343" t="s">
        <v>305</v>
      </c>
      <c r="J1254" s="346" t="s">
        <v>307</v>
      </c>
      <c r="K1254" s="364" t="s">
        <v>359</v>
      </c>
      <c r="L1254" s="331" t="s">
        <v>349</v>
      </c>
      <c r="M1254" s="332">
        <f>'[4]FORM ASET'!$F$67</f>
        <v>0</v>
      </c>
      <c r="N1254" s="41"/>
      <c r="O1254" s="284"/>
      <c r="P1254" s="105"/>
      <c r="Q1254" s="57"/>
      <c r="R1254" s="57"/>
      <c r="S1254" s="57"/>
      <c r="T1254" s="41"/>
      <c r="U1254" s="41"/>
      <c r="V1254" s="51"/>
    </row>
    <row r="1255" spans="2:22" x14ac:dyDescent="0.25">
      <c r="B1255" s="405"/>
      <c r="C1255" s="89">
        <v>3</v>
      </c>
      <c r="D1255" s="203" t="s">
        <v>57</v>
      </c>
      <c r="H1255" s="329" t="str">
        <f t="shared" si="20"/>
        <v>RUK-3-TVHIS-58 INC</v>
      </c>
      <c r="I1255" s="343" t="s">
        <v>306</v>
      </c>
      <c r="J1255" s="346" t="s">
        <v>308</v>
      </c>
      <c r="K1255" s="364" t="s">
        <v>359</v>
      </c>
      <c r="L1255" s="331" t="s">
        <v>349</v>
      </c>
      <c r="M1255" s="332">
        <f>'[4]FORM ASET'!$F$67</f>
        <v>0</v>
      </c>
      <c r="N1255" s="41"/>
      <c r="O1255" s="284"/>
      <c r="P1255" s="105"/>
      <c r="Q1255" s="57"/>
      <c r="R1255" s="57"/>
      <c r="S1255" s="57"/>
      <c r="T1255" s="41"/>
      <c r="U1255" s="41"/>
      <c r="V1255" s="51"/>
    </row>
    <row r="1256" spans="2:22" x14ac:dyDescent="0.25">
      <c r="B1256" s="405"/>
      <c r="C1256" s="89">
        <v>3</v>
      </c>
      <c r="D1256" s="203" t="s">
        <v>57</v>
      </c>
      <c r="H1256" s="329" t="str">
        <f t="shared" si="20"/>
        <v>RUK-3-TVPAN-32 INC</v>
      </c>
      <c r="I1256" s="343" t="s">
        <v>134</v>
      </c>
      <c r="J1256" s="346" t="s">
        <v>307</v>
      </c>
      <c r="K1256" s="364" t="s">
        <v>359</v>
      </c>
      <c r="L1256" s="331" t="s">
        <v>349</v>
      </c>
      <c r="M1256" s="332">
        <f>'[4]FORM ASET'!$F$67</f>
        <v>0</v>
      </c>
      <c r="N1256" s="41"/>
      <c r="O1256" s="284"/>
      <c r="P1256" s="105"/>
      <c r="Q1256" s="57"/>
      <c r="R1256" s="57"/>
      <c r="S1256" s="57"/>
      <c r="T1256" s="41"/>
      <c r="U1256" s="41"/>
      <c r="V1256" s="51"/>
    </row>
    <row r="1257" spans="2:22" x14ac:dyDescent="0.25">
      <c r="B1257" s="405"/>
      <c r="C1257" s="89">
        <v>3</v>
      </c>
      <c r="D1257" s="203" t="s">
        <v>57</v>
      </c>
      <c r="H1257" s="329" t="str">
        <f t="shared" si="20"/>
        <v>RUK-3-TVAKA-50 INC</v>
      </c>
      <c r="I1257" s="343" t="s">
        <v>338</v>
      </c>
      <c r="J1257" s="346" t="s">
        <v>184</v>
      </c>
      <c r="K1257" s="364" t="s">
        <v>359</v>
      </c>
      <c r="L1257" s="331" t="s">
        <v>349</v>
      </c>
      <c r="M1257" s="332">
        <f>'[4]FORM ASET'!$F$67</f>
        <v>0</v>
      </c>
      <c r="N1257" s="41"/>
      <c r="O1257" s="284"/>
      <c r="P1257" s="105"/>
      <c r="Q1257" s="57"/>
      <c r="R1257" s="57"/>
      <c r="S1257" s="57"/>
      <c r="T1257" s="41"/>
      <c r="U1257" s="41"/>
      <c r="V1257" s="51"/>
    </row>
    <row r="1258" spans="2:22" x14ac:dyDescent="0.25">
      <c r="B1258" s="405"/>
      <c r="C1258" s="89">
        <v>3</v>
      </c>
      <c r="D1258" s="203" t="s">
        <v>185</v>
      </c>
      <c r="H1258" s="329" t="str">
        <f>CONCATENATE(LEFT(L1258,3),"-",C1258,"-",LEFT(D1258,3),LEFT(I1258,3),"-",LEFT(J1258,3))</f>
        <v>RUK-3-DISKRI-PUT</v>
      </c>
      <c r="I1258" s="343" t="s">
        <v>187</v>
      </c>
      <c r="J1258" s="346" t="s">
        <v>186</v>
      </c>
      <c r="K1258" s="364" t="s">
        <v>359</v>
      </c>
      <c r="L1258" s="331" t="s">
        <v>349</v>
      </c>
      <c r="M1258" s="332">
        <f>'[4]FORM ASET'!$F$67</f>
        <v>0</v>
      </c>
      <c r="N1258" s="41"/>
      <c r="O1258" s="284"/>
      <c r="P1258" s="105"/>
      <c r="Q1258" s="57"/>
      <c r="R1258" s="57"/>
      <c r="S1258" s="57"/>
      <c r="T1258" s="41"/>
      <c r="U1258" s="41"/>
      <c r="V1258" s="51"/>
    </row>
    <row r="1259" spans="2:22" x14ac:dyDescent="0.25">
      <c r="B1259" s="405"/>
      <c r="C1259" s="89">
        <v>3</v>
      </c>
      <c r="D1259" s="203" t="s">
        <v>185</v>
      </c>
      <c r="H1259" s="329" t="str">
        <f t="shared" si="20"/>
        <v>RUK-3-DISMIY-KECIL</v>
      </c>
      <c r="I1259" s="343" t="s">
        <v>330</v>
      </c>
      <c r="J1259" s="346" t="s">
        <v>331</v>
      </c>
      <c r="K1259" s="364" t="s">
        <v>359</v>
      </c>
      <c r="L1259" s="331" t="s">
        <v>349</v>
      </c>
      <c r="M1259" s="332">
        <f>'[4]FORM ASET'!$F$67</f>
        <v>0</v>
      </c>
      <c r="N1259" s="41"/>
      <c r="O1259" s="284"/>
      <c r="P1259" s="105"/>
      <c r="Q1259" s="57"/>
      <c r="R1259" s="57"/>
      <c r="S1259" s="57"/>
      <c r="T1259" s="41"/>
      <c r="U1259" s="41"/>
      <c r="V1259" s="51"/>
    </row>
    <row r="1260" spans="2:22" x14ac:dyDescent="0.25">
      <c r="B1260" s="405"/>
      <c r="C1260" s="89">
        <v>3</v>
      </c>
      <c r="D1260" s="203" t="s">
        <v>320</v>
      </c>
      <c r="H1260" s="329" t="str">
        <f t="shared" si="20"/>
        <v>RUK-3-COFKLA-HITAM/</v>
      </c>
      <c r="I1260" s="343" t="s">
        <v>321</v>
      </c>
      <c r="J1260" s="346" t="s">
        <v>322</v>
      </c>
      <c r="K1260" s="364" t="s">
        <v>359</v>
      </c>
      <c r="L1260" s="331" t="s">
        <v>349</v>
      </c>
      <c r="M1260" s="332">
        <f>'[4]FORM ASET'!$F$67</f>
        <v>0</v>
      </c>
      <c r="N1260" s="41"/>
      <c r="O1260" s="284"/>
      <c r="P1260" s="105"/>
      <c r="Q1260" s="57"/>
      <c r="R1260" s="57"/>
      <c r="S1260" s="57"/>
      <c r="T1260" s="41"/>
      <c r="U1260" s="41"/>
      <c r="V1260" s="51"/>
    </row>
    <row r="1261" spans="2:22" x14ac:dyDescent="0.25">
      <c r="B1261" s="405"/>
      <c r="C1261" s="89">
        <v>3</v>
      </c>
      <c r="D1261" s="203" t="s">
        <v>188</v>
      </c>
      <c r="H1261" s="329" t="str">
        <f>CONCATENATE(LEFT(L1261,3),"-",C1261,"-",LEFT(D1261,3),LEFT(I1261,3),"-",LEFT(J1261,3))</f>
        <v>RUK-3-MICKRI-PUT</v>
      </c>
      <c r="I1261" s="343" t="s">
        <v>187</v>
      </c>
      <c r="J1261" s="346" t="s">
        <v>316</v>
      </c>
      <c r="K1261" s="364" t="s">
        <v>359</v>
      </c>
      <c r="L1261" s="331" t="s">
        <v>349</v>
      </c>
      <c r="M1261" s="332">
        <f>'[4]FORM ASET'!$F$67</f>
        <v>0</v>
      </c>
      <c r="N1261" s="41"/>
      <c r="O1261" s="284"/>
      <c r="P1261" s="105"/>
      <c r="Q1261" s="57"/>
      <c r="R1261" s="57"/>
      <c r="S1261" s="57"/>
      <c r="T1261" s="41"/>
      <c r="U1261" s="41"/>
      <c r="V1261" s="51"/>
    </row>
    <row r="1262" spans="2:22" x14ac:dyDescent="0.25">
      <c r="B1262" s="405"/>
      <c r="C1262" s="89">
        <v>3</v>
      </c>
      <c r="D1262" s="203" t="s">
        <v>342</v>
      </c>
      <c r="H1262" s="329" t="str">
        <f t="shared" si="20"/>
        <v>RUK-3-STECON-RAKIT</v>
      </c>
      <c r="I1262" s="343" t="s">
        <v>179</v>
      </c>
      <c r="J1262" s="346" t="s">
        <v>343</v>
      </c>
      <c r="K1262" s="364" t="s">
        <v>359</v>
      </c>
      <c r="L1262" s="331" t="s">
        <v>349</v>
      </c>
      <c r="M1262" s="332">
        <f>'[4]FORM ASET'!$F$67</f>
        <v>0</v>
      </c>
      <c r="N1262" s="41"/>
      <c r="O1262" s="284"/>
      <c r="P1262" s="105"/>
      <c r="Q1262" s="57"/>
      <c r="R1262" s="57"/>
      <c r="S1262" s="57"/>
      <c r="T1262" s="41"/>
      <c r="U1262" s="41"/>
      <c r="V1262" s="51"/>
    </row>
    <row r="1263" spans="2:22" x14ac:dyDescent="0.25">
      <c r="B1263" s="405"/>
      <c r="C1263" s="89">
        <v>3</v>
      </c>
      <c r="D1263" s="203" t="s">
        <v>189</v>
      </c>
      <c r="H1263" s="329" t="str">
        <f>CONCATENATE(LEFT(L1263,3),"-",C1263,"-",LEFT(D1263,3),LEFT(I1263,3),"-",LEFT(J1263,4))</f>
        <v>RUK-3-REF3 P-TOSH</v>
      </c>
      <c r="I1263" s="343" t="s">
        <v>190</v>
      </c>
      <c r="J1263" s="346" t="s">
        <v>191</v>
      </c>
      <c r="K1263" s="364" t="s">
        <v>359</v>
      </c>
      <c r="L1263" s="331" t="s">
        <v>349</v>
      </c>
      <c r="M1263" s="332">
        <f>'[4]FORM ASET'!$F$67</f>
        <v>0</v>
      </c>
      <c r="N1263" s="41"/>
      <c r="O1263" s="284"/>
      <c r="P1263" s="105"/>
      <c r="Q1263" s="57"/>
      <c r="R1263" s="57"/>
      <c r="S1263" s="57"/>
      <c r="T1263" s="41"/>
      <c r="U1263" s="41"/>
      <c r="V1263" s="51"/>
    </row>
    <row r="1264" spans="2:22" x14ac:dyDescent="0.25">
      <c r="B1264" s="405"/>
      <c r="C1264" s="89">
        <v>3</v>
      </c>
      <c r="D1264" s="203" t="s">
        <v>189</v>
      </c>
      <c r="H1264" s="329" t="str">
        <f>CONCATENATE(LEFT(L1264,3),"-",C1264,"-",LEFT(D1264,3),LEFT(I1264,3),"-",LEFT(J1264,4))</f>
        <v>RUK-3-REF1 P-TOSH</v>
      </c>
      <c r="I1264" s="343" t="s">
        <v>315</v>
      </c>
      <c r="J1264" s="346" t="s">
        <v>191</v>
      </c>
      <c r="K1264" s="364" t="s">
        <v>359</v>
      </c>
      <c r="L1264" s="331" t="s">
        <v>349</v>
      </c>
      <c r="M1264" s="332">
        <f>'[4]FORM ASET'!$F$67</f>
        <v>0</v>
      </c>
      <c r="N1264" s="41"/>
      <c r="O1264" s="284"/>
      <c r="P1264" s="105"/>
      <c r="Q1264" s="57"/>
      <c r="R1264" s="57"/>
      <c r="S1264" s="57"/>
      <c r="T1264" s="41"/>
      <c r="U1264" s="41"/>
      <c r="V1264" s="51"/>
    </row>
    <row r="1265" spans="2:22" x14ac:dyDescent="0.25">
      <c r="B1265" s="405"/>
      <c r="C1265" s="89">
        <v>3</v>
      </c>
      <c r="D1265" s="203" t="s">
        <v>189</v>
      </c>
      <c r="H1265" s="329" t="str">
        <f>CONCATENATE(LEFT(L1265,3),"-",C1265,"-",LEFT(D1265,3),LEFT(I1265,3),"-",LEFT(J1265,3))</f>
        <v>RUK-3-REF1 P-SHA</v>
      </c>
      <c r="I1265" s="343" t="s">
        <v>315</v>
      </c>
      <c r="J1265" s="346" t="s">
        <v>133</v>
      </c>
      <c r="K1265" s="364" t="s">
        <v>359</v>
      </c>
      <c r="L1265" s="331" t="s">
        <v>349</v>
      </c>
      <c r="M1265" s="332">
        <f>'[4]FORM ASET'!$F$67</f>
        <v>0</v>
      </c>
      <c r="N1265" s="41"/>
      <c r="O1265" s="284"/>
      <c r="P1265" s="105"/>
      <c r="Q1265" s="57"/>
      <c r="R1265" s="57"/>
      <c r="S1265" s="57"/>
      <c r="T1265" s="41"/>
      <c r="U1265" s="41"/>
      <c r="V1265" s="51"/>
    </row>
    <row r="1266" spans="2:22" x14ac:dyDescent="0.25">
      <c r="B1266" s="405"/>
      <c r="C1266" s="89">
        <v>3</v>
      </c>
      <c r="D1266" s="203" t="s">
        <v>189</v>
      </c>
      <c r="H1266" s="329" t="str">
        <f t="shared" ref="H1266:H1268" si="23">CONCATENATE(LEFT(L1266,3),"-",C1266,"-",LEFT(D1266,3),LEFT(I1266,3),"-",LEFT(J1266,3))</f>
        <v>RUK-3-REF2 P-SAM</v>
      </c>
      <c r="I1266" s="343" t="s">
        <v>324</v>
      </c>
      <c r="J1266" s="346" t="s">
        <v>221</v>
      </c>
      <c r="K1266" s="364" t="s">
        <v>359</v>
      </c>
      <c r="L1266" s="331" t="s">
        <v>349</v>
      </c>
      <c r="M1266" s="332">
        <f>'[4]FORM ASET'!$F$67</f>
        <v>0</v>
      </c>
      <c r="N1266" s="41"/>
      <c r="O1266" s="284"/>
      <c r="P1266" s="105"/>
      <c r="Q1266" s="57"/>
      <c r="R1266" s="57"/>
      <c r="S1266" s="57"/>
      <c r="T1266" s="41"/>
      <c r="U1266" s="41"/>
      <c r="V1266" s="51"/>
    </row>
    <row r="1267" spans="2:22" x14ac:dyDescent="0.25">
      <c r="B1267" s="405"/>
      <c r="C1267" s="89">
        <v>3</v>
      </c>
      <c r="D1267" s="203" t="s">
        <v>312</v>
      </c>
      <c r="H1267" s="329" t="str">
        <f t="shared" si="23"/>
        <v>RUK-3-HUMKRI-SHA</v>
      </c>
      <c r="I1267" s="343" t="s">
        <v>314</v>
      </c>
      <c r="J1267" s="346" t="s">
        <v>133</v>
      </c>
      <c r="K1267" s="364" t="s">
        <v>359</v>
      </c>
      <c r="L1267" s="331" t="s">
        <v>349</v>
      </c>
      <c r="M1267" s="332">
        <f>'[4]FORM ASET'!$F$67</f>
        <v>0</v>
      </c>
      <c r="N1267" s="41"/>
      <c r="O1267" s="284"/>
      <c r="P1267" s="105"/>
      <c r="Q1267" s="57"/>
      <c r="R1267" s="57"/>
      <c r="S1267" s="57"/>
      <c r="T1267" s="41"/>
      <c r="U1267" s="41"/>
      <c r="V1267" s="51"/>
    </row>
    <row r="1268" spans="2:22" x14ac:dyDescent="0.25">
      <c r="B1268" s="405"/>
      <c r="C1268" s="89">
        <v>3</v>
      </c>
      <c r="D1268" s="203" t="s">
        <v>317</v>
      </c>
      <c r="H1268" s="329" t="str">
        <f t="shared" si="23"/>
        <v>RUK-3-SOUPOR-HIT</v>
      </c>
      <c r="I1268" s="343" t="s">
        <v>318</v>
      </c>
      <c r="J1268" s="346" t="s">
        <v>319</v>
      </c>
      <c r="K1268" s="364" t="s">
        <v>359</v>
      </c>
      <c r="L1268" s="331" t="s">
        <v>349</v>
      </c>
      <c r="M1268" s="332">
        <f>'[4]FORM ASET'!$F$67</f>
        <v>0</v>
      </c>
      <c r="N1268" s="41"/>
      <c r="O1268" s="284"/>
      <c r="P1268" s="105"/>
      <c r="Q1268" s="57"/>
      <c r="R1268" s="57"/>
      <c r="S1268" s="57"/>
      <c r="T1268" s="41"/>
      <c r="U1268" s="41"/>
      <c r="V1268" s="51"/>
    </row>
    <row r="1269" spans="2:22" x14ac:dyDescent="0.25">
      <c r="B1269" s="405"/>
      <c r="C1269" s="89">
        <v>3</v>
      </c>
      <c r="D1269" s="203" t="s">
        <v>192</v>
      </c>
      <c r="H1269" s="329" t="str">
        <f>CONCATENATE(LEFT(L1269,3),"-",C1269,"-",LEFT(D1269,3),LEFT(I1269,3),"-",LEFT(J1269,5))</f>
        <v>RUK-3-LAMREA-STAND</v>
      </c>
      <c r="I1269" s="343" t="s">
        <v>193</v>
      </c>
      <c r="J1269" s="346" t="s">
        <v>194</v>
      </c>
      <c r="K1269" s="364" t="s">
        <v>359</v>
      </c>
      <c r="L1269" s="331" t="s">
        <v>349</v>
      </c>
      <c r="M1269" s="332">
        <f>'[4]FORM ASET'!$F$67</f>
        <v>0</v>
      </c>
      <c r="N1269" s="41"/>
      <c r="O1269" s="284"/>
      <c r="P1269" s="105"/>
      <c r="Q1269" s="57"/>
      <c r="R1269" s="57"/>
      <c r="S1269" s="57"/>
      <c r="T1269" s="41"/>
      <c r="U1269" s="41"/>
      <c r="V1269" s="51"/>
    </row>
    <row r="1270" spans="2:22" x14ac:dyDescent="0.25">
      <c r="B1270" s="405"/>
      <c r="C1270" s="89">
        <v>3</v>
      </c>
      <c r="D1270" s="203" t="s">
        <v>192</v>
      </c>
      <c r="H1270" s="329" t="str">
        <f t="shared" si="20"/>
        <v>RUK-3-LAMBLU-KRIS</v>
      </c>
      <c r="I1270" s="343" t="s">
        <v>195</v>
      </c>
      <c r="J1270" s="346" t="s">
        <v>196</v>
      </c>
      <c r="K1270" s="364" t="s">
        <v>359</v>
      </c>
      <c r="L1270" s="331" t="s">
        <v>349</v>
      </c>
      <c r="M1270" s="332">
        <f>'[4]FORM ASET'!$F$67</f>
        <v>0</v>
      </c>
      <c r="N1270" s="41"/>
      <c r="O1270" s="284"/>
      <c r="P1270" s="105"/>
      <c r="Q1270" s="57"/>
      <c r="R1270" s="57"/>
      <c r="S1270" s="57"/>
      <c r="T1270" s="41"/>
      <c r="U1270" s="41"/>
      <c r="V1270" s="51"/>
    </row>
    <row r="1271" spans="2:22" x14ac:dyDescent="0.25">
      <c r="B1271" s="405"/>
      <c r="C1271" s="89">
        <v>3</v>
      </c>
      <c r="D1271" s="203" t="s">
        <v>298</v>
      </c>
      <c r="H1271" s="329" t="str">
        <f>CONCATENATE(LEFT(L1271,3),"-",C1271,"-",LEFT(D1271,3),LEFT(I1271,3),"-",LEFT(J1271,3))</f>
        <v>RUK-3-DIEAIR-DEC</v>
      </c>
      <c r="I1271" s="343" t="s">
        <v>299</v>
      </c>
      <c r="J1271" s="346" t="s">
        <v>300</v>
      </c>
      <c r="K1271" s="364" t="s">
        <v>359</v>
      </c>
      <c r="L1271" s="331" t="s">
        <v>349</v>
      </c>
      <c r="M1271" s="332">
        <f>'[4]FORM ASET'!$F$67</f>
        <v>0</v>
      </c>
      <c r="N1271" s="41"/>
      <c r="O1271" s="284"/>
      <c r="P1271" s="105"/>
      <c r="Q1271" s="57"/>
      <c r="R1271" s="57"/>
      <c r="S1271" s="57"/>
      <c r="T1271" s="41"/>
      <c r="U1271" s="41"/>
      <c r="V1271" s="51"/>
    </row>
    <row r="1272" spans="2:22" x14ac:dyDescent="0.25">
      <c r="B1272" s="405"/>
      <c r="C1272" s="89">
        <v>3</v>
      </c>
      <c r="D1272" s="203" t="s">
        <v>301</v>
      </c>
      <c r="H1272" s="329" t="str">
        <f>CONCATENATE(LEFT(L1272,3),"-",C1272,"-",LEFT(D1272,3),LEFT(I1272,3),"-",LEFT(J1272,3))</f>
        <v>RUK-3-PLAPLA-AIR</v>
      </c>
      <c r="I1272" s="343" t="s">
        <v>301</v>
      </c>
      <c r="J1272" s="346" t="s">
        <v>302</v>
      </c>
      <c r="K1272" s="364" t="s">
        <v>359</v>
      </c>
      <c r="L1272" s="331" t="s">
        <v>349</v>
      </c>
      <c r="M1272" s="332">
        <f>'[4]FORM ASET'!$F$67</f>
        <v>0</v>
      </c>
      <c r="N1272" s="41"/>
      <c r="O1272" s="284"/>
      <c r="P1272" s="105"/>
      <c r="Q1272" s="57"/>
      <c r="R1272" s="57"/>
      <c r="S1272" s="57"/>
      <c r="T1272" s="41"/>
      <c r="U1272" s="41"/>
      <c r="V1272" s="51"/>
    </row>
    <row r="1273" spans="2:22" x14ac:dyDescent="0.25">
      <c r="B1273" s="405"/>
      <c r="C1273" s="89">
        <v>3</v>
      </c>
      <c r="D1273" s="203" t="s">
        <v>303</v>
      </c>
      <c r="H1273" s="329" t="str">
        <f t="shared" si="20"/>
        <v>RUK-3-TIRSEK-PEMBAT</v>
      </c>
      <c r="I1273" s="343" t="s">
        <v>352</v>
      </c>
      <c r="J1273" s="346" t="s">
        <v>304</v>
      </c>
      <c r="K1273" s="364" t="s">
        <v>359</v>
      </c>
      <c r="L1273" s="331" t="s">
        <v>349</v>
      </c>
      <c r="M1273" s="332">
        <f>'[4]FORM ASET'!$F$67</f>
        <v>0</v>
      </c>
      <c r="N1273" s="41"/>
      <c r="O1273" s="284"/>
      <c r="P1273" s="105"/>
      <c r="Q1273" s="57"/>
      <c r="R1273" s="57"/>
      <c r="S1273" s="57"/>
      <c r="T1273" s="41"/>
      <c r="U1273" s="41"/>
      <c r="V1273" s="51"/>
    </row>
    <row r="1274" spans="2:22" ht="6.75" customHeight="1" thickBot="1" x14ac:dyDescent="0.3">
      <c r="B1274" s="322"/>
      <c r="C1274" s="252"/>
      <c r="D1274" s="252"/>
      <c r="E1274" s="248"/>
      <c r="F1274" s="248"/>
      <c r="G1274" s="248"/>
      <c r="H1274" s="323"/>
      <c r="I1274" s="254"/>
      <c r="J1274" s="324"/>
      <c r="K1274" s="324"/>
      <c r="L1274" s="324"/>
      <c r="M1274" s="321"/>
      <c r="N1274" s="290"/>
      <c r="O1274" s="273"/>
      <c r="P1274" s="291"/>
      <c r="Q1274" s="292"/>
      <c r="R1274" s="292"/>
      <c r="S1274" s="292"/>
      <c r="T1274" s="290"/>
      <c r="U1274" s="290"/>
      <c r="V1274" s="293"/>
    </row>
  </sheetData>
  <mergeCells count="134">
    <mergeCell ref="B1237:B1273"/>
    <mergeCell ref="B1204:B1236"/>
    <mergeCell ref="M1129:M1130"/>
    <mergeCell ref="M1132:M1139"/>
    <mergeCell ref="M1140:M1146"/>
    <mergeCell ref="B935:B995"/>
    <mergeCell ref="B1151:B1203"/>
    <mergeCell ref="M1097:M1099"/>
    <mergeCell ref="M1109:M1110"/>
    <mergeCell ref="M1116:M1117"/>
    <mergeCell ref="M1124:M1128"/>
    <mergeCell ref="M1067:M1068"/>
    <mergeCell ref="M1072:M1074"/>
    <mergeCell ref="M1075:M1089"/>
    <mergeCell ref="M1090:M1092"/>
    <mergeCell ref="M1093:M1096"/>
    <mergeCell ref="M1044:M1046"/>
    <mergeCell ref="M1047:M1048"/>
    <mergeCell ref="M1052:M1053"/>
    <mergeCell ref="M1064:M1066"/>
    <mergeCell ref="M1009:M1010"/>
    <mergeCell ref="M1011:M1013"/>
    <mergeCell ref="M1014:M1019"/>
    <mergeCell ref="M1020:M1037"/>
    <mergeCell ref="M1042:M1043"/>
    <mergeCell ref="M901:M903"/>
    <mergeCell ref="M978:M985"/>
    <mergeCell ref="M994:M995"/>
    <mergeCell ref="M996:M999"/>
    <mergeCell ref="M1000:M1004"/>
    <mergeCell ref="M846:M849"/>
    <mergeCell ref="M850:M862"/>
    <mergeCell ref="M871:M872"/>
    <mergeCell ref="M898:M900"/>
    <mergeCell ref="M812:M822"/>
    <mergeCell ref="M828:M829"/>
    <mergeCell ref="M830:M841"/>
    <mergeCell ref="M843:M845"/>
    <mergeCell ref="M747:M748"/>
    <mergeCell ref="M790:M792"/>
    <mergeCell ref="B745:B802"/>
    <mergeCell ref="M801:M802"/>
    <mergeCell ref="M765:M767"/>
    <mergeCell ref="M724:M728"/>
    <mergeCell ref="M683:M697"/>
    <mergeCell ref="M702:M707"/>
    <mergeCell ref="M654:M657"/>
    <mergeCell ref="M658:M660"/>
    <mergeCell ref="M664:M669"/>
    <mergeCell ref="M675:M677"/>
    <mergeCell ref="M678:M682"/>
    <mergeCell ref="M803:M811"/>
    <mergeCell ref="B429:B504"/>
    <mergeCell ref="M503:M504"/>
    <mergeCell ref="M423:M424"/>
    <mergeCell ref="M431:M435"/>
    <mergeCell ref="M441:M444"/>
    <mergeCell ref="M638:M639"/>
    <mergeCell ref="M643:M644"/>
    <mergeCell ref="M645:M646"/>
    <mergeCell ref="M649:M653"/>
    <mergeCell ref="M622:M624"/>
    <mergeCell ref="M625:M628"/>
    <mergeCell ref="M629:M634"/>
    <mergeCell ref="M505:M509"/>
    <mergeCell ref="M553:M558"/>
    <mergeCell ref="M559:M562"/>
    <mergeCell ref="M566:M569"/>
    <mergeCell ref="M510:M552"/>
    <mergeCell ref="M570:M620"/>
    <mergeCell ref="B889:B933"/>
    <mergeCell ref="B996:B1069"/>
    <mergeCell ref="B1070:B1149"/>
    <mergeCell ref="M21:M30"/>
    <mergeCell ref="M67:M74"/>
    <mergeCell ref="M75:M76"/>
    <mergeCell ref="M173:M174"/>
    <mergeCell ref="M179:M180"/>
    <mergeCell ref="M290:M291"/>
    <mergeCell ref="B505:B673"/>
    <mergeCell ref="B674:B743"/>
    <mergeCell ref="B803:B888"/>
    <mergeCell ref="B100:B341"/>
    <mergeCell ref="B342:B427"/>
    <mergeCell ref="M405:M406"/>
    <mergeCell ref="M100:M122"/>
    <mergeCell ref="M385:M387"/>
    <mergeCell ref="M330:M335"/>
    <mergeCell ref="M337:M340"/>
    <mergeCell ref="M343:M346"/>
    <mergeCell ref="M347:M348"/>
    <mergeCell ref="M349:M362"/>
    <mergeCell ref="M363:M365"/>
    <mergeCell ref="M366:M369"/>
    <mergeCell ref="U5:U6"/>
    <mergeCell ref="V5:V6"/>
    <mergeCell ref="E5:G5"/>
    <mergeCell ref="R5:S5"/>
    <mergeCell ref="N5:N6"/>
    <mergeCell ref="O5:O6"/>
    <mergeCell ref="P5:P6"/>
    <mergeCell ref="Q5:Q6"/>
    <mergeCell ref="T5:T6"/>
    <mergeCell ref="D5:D6"/>
    <mergeCell ref="B5:B6"/>
    <mergeCell ref="C5:C6"/>
    <mergeCell ref="H5:M5"/>
    <mergeCell ref="B7:B85"/>
    <mergeCell ref="I6:J6"/>
    <mergeCell ref="M64:M66"/>
    <mergeCell ref="M61:M63"/>
    <mergeCell ref="M56:M59"/>
    <mergeCell ref="M85:M99"/>
    <mergeCell ref="M402:M403"/>
    <mergeCell ref="M418:M422"/>
    <mergeCell ref="M123:M171"/>
    <mergeCell ref="M181:M236"/>
    <mergeCell ref="M240:M281"/>
    <mergeCell ref="M283:M288"/>
    <mergeCell ref="M299:M306"/>
    <mergeCell ref="M307:M311"/>
    <mergeCell ref="M312:M317"/>
    <mergeCell ref="M321:M327"/>
    <mergeCell ref="M328:M329"/>
    <mergeCell ref="M370:M372"/>
    <mergeCell ref="M373:M380"/>
    <mergeCell ref="M383:M384"/>
    <mergeCell ref="M389:M392"/>
    <mergeCell ref="M469:M470"/>
    <mergeCell ref="M479:M484"/>
    <mergeCell ref="M485:M492"/>
    <mergeCell ref="M500:M502"/>
    <mergeCell ref="M709:M713"/>
    <mergeCell ref="M715:M716"/>
  </mergeCells>
  <printOptions horizontalCentered="1" verticalCentered="1"/>
  <pageMargins left="0" right="0" top="0" bottom="0" header="0.31496062992125984" footer="0.31496062992125984"/>
  <pageSetup paperSize="9" scale="52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4"/>
  <sheetViews>
    <sheetView workbookViewId="0">
      <selection activeCell="E22" sqref="E22"/>
    </sheetView>
  </sheetViews>
  <sheetFormatPr defaultRowHeight="15" x14ac:dyDescent="0.25"/>
  <cols>
    <col min="3" max="3" width="15.7109375" customWidth="1"/>
    <col min="4" max="4" width="21.140625" customWidth="1"/>
    <col min="9" max="9" width="12.7109375" customWidth="1"/>
  </cols>
  <sheetData>
    <row r="4" spans="3:14" ht="15.75" thickBot="1" x14ac:dyDescent="0.3"/>
    <row r="5" spans="3:14" x14ac:dyDescent="0.25">
      <c r="C5" s="434" t="s">
        <v>127</v>
      </c>
      <c r="D5" s="436" t="s">
        <v>236</v>
      </c>
      <c r="E5" s="438" t="s">
        <v>237</v>
      </c>
    </row>
    <row r="6" spans="3:14" x14ac:dyDescent="0.25">
      <c r="C6" s="435"/>
      <c r="D6" s="437"/>
      <c r="E6" s="439"/>
    </row>
    <row r="7" spans="3:14" x14ac:dyDescent="0.25">
      <c r="C7" s="115" t="s">
        <v>238</v>
      </c>
      <c r="D7" s="121" t="s">
        <v>98</v>
      </c>
      <c r="E7" s="122">
        <v>1</v>
      </c>
      <c r="F7" t="s">
        <v>259</v>
      </c>
      <c r="J7">
        <v>1</v>
      </c>
      <c r="K7">
        <v>1.5</v>
      </c>
      <c r="L7">
        <v>2</v>
      </c>
      <c r="M7">
        <v>5</v>
      </c>
    </row>
    <row r="8" spans="3:14" x14ac:dyDescent="0.25">
      <c r="C8" s="115" t="s">
        <v>239</v>
      </c>
      <c r="D8" s="121" t="s">
        <v>98</v>
      </c>
      <c r="E8" s="122">
        <v>1</v>
      </c>
      <c r="F8" t="s">
        <v>260</v>
      </c>
      <c r="G8" t="s">
        <v>253</v>
      </c>
      <c r="I8" t="s">
        <v>97</v>
      </c>
      <c r="J8">
        <v>5</v>
      </c>
      <c r="K8">
        <v>1</v>
      </c>
      <c r="L8">
        <v>0</v>
      </c>
      <c r="M8">
        <v>0</v>
      </c>
    </row>
    <row r="9" spans="3:14" x14ac:dyDescent="0.25">
      <c r="C9" s="115" t="s">
        <v>240</v>
      </c>
      <c r="D9" s="127" t="s">
        <v>210</v>
      </c>
      <c r="E9" s="128">
        <v>1</v>
      </c>
      <c r="F9" t="s">
        <v>260</v>
      </c>
      <c r="I9" t="s">
        <v>98</v>
      </c>
      <c r="J9">
        <v>4</v>
      </c>
      <c r="K9">
        <v>1</v>
      </c>
      <c r="L9">
        <v>0</v>
      </c>
      <c r="M9">
        <v>0</v>
      </c>
    </row>
    <row r="10" spans="3:14" x14ac:dyDescent="0.25">
      <c r="C10" s="115" t="s">
        <v>241</v>
      </c>
      <c r="D10" s="135" t="s">
        <v>98</v>
      </c>
      <c r="E10" s="136">
        <v>1.5</v>
      </c>
      <c r="F10" s="120" t="s">
        <v>259</v>
      </c>
      <c r="I10" t="s">
        <v>265</v>
      </c>
      <c r="J10">
        <v>1</v>
      </c>
      <c r="K10">
        <v>0</v>
      </c>
      <c r="L10">
        <v>0</v>
      </c>
      <c r="M10">
        <v>0</v>
      </c>
    </row>
    <row r="11" spans="3:14" x14ac:dyDescent="0.25">
      <c r="C11" s="115" t="s">
        <v>242</v>
      </c>
      <c r="D11" s="133" t="s">
        <v>96</v>
      </c>
      <c r="E11" s="134">
        <v>1.5</v>
      </c>
      <c r="F11" s="120" t="s">
        <v>260</v>
      </c>
      <c r="I11" t="s">
        <v>268</v>
      </c>
      <c r="J11">
        <v>0</v>
      </c>
      <c r="K11">
        <v>2</v>
      </c>
      <c r="L11">
        <v>0</v>
      </c>
      <c r="M11">
        <v>1</v>
      </c>
    </row>
    <row r="12" spans="3:14" x14ac:dyDescent="0.25">
      <c r="C12" s="115" t="s">
        <v>243</v>
      </c>
      <c r="D12" s="133" t="s">
        <v>96</v>
      </c>
      <c r="E12" s="134">
        <v>1.5</v>
      </c>
      <c r="F12" s="120" t="s">
        <v>259</v>
      </c>
      <c r="I12" t="s">
        <v>261</v>
      </c>
      <c r="J12">
        <v>1</v>
      </c>
      <c r="K12">
        <v>0</v>
      </c>
      <c r="L12">
        <v>0</v>
      </c>
      <c r="M12">
        <v>0</v>
      </c>
    </row>
    <row r="13" spans="3:14" x14ac:dyDescent="0.25">
      <c r="C13" s="115" t="s">
        <v>323</v>
      </c>
      <c r="D13" s="133" t="s">
        <v>96</v>
      </c>
      <c r="E13" s="134">
        <v>5</v>
      </c>
      <c r="F13" s="120"/>
      <c r="J13">
        <v>0</v>
      </c>
      <c r="K13">
        <v>0</v>
      </c>
      <c r="L13">
        <v>0</v>
      </c>
      <c r="M13">
        <v>0</v>
      </c>
    </row>
    <row r="14" spans="3:14" x14ac:dyDescent="0.25">
      <c r="C14" s="115" t="s">
        <v>244</v>
      </c>
      <c r="D14" s="121" t="s">
        <v>98</v>
      </c>
      <c r="E14" s="122">
        <v>1</v>
      </c>
      <c r="F14" t="s">
        <v>259</v>
      </c>
      <c r="J14">
        <f>SUM(J8:J13)</f>
        <v>11</v>
      </c>
      <c r="K14">
        <f>SUM(K8:K13)</f>
        <v>4</v>
      </c>
      <c r="L14">
        <f>SUM(L8:L13)</f>
        <v>0</v>
      </c>
      <c r="M14">
        <f>SUM(M8:M13)</f>
        <v>1</v>
      </c>
      <c r="N14">
        <f>SUM(J14:M14)</f>
        <v>16</v>
      </c>
    </row>
    <row r="15" spans="3:14" x14ac:dyDescent="0.25">
      <c r="C15" s="115" t="s">
        <v>245</v>
      </c>
      <c r="D15" s="207" t="s">
        <v>97</v>
      </c>
      <c r="E15" s="124">
        <v>1</v>
      </c>
      <c r="F15" t="s">
        <v>259</v>
      </c>
    </row>
    <row r="16" spans="3:14" x14ac:dyDescent="0.25">
      <c r="C16" s="115" t="s">
        <v>245</v>
      </c>
      <c r="D16" s="123" t="s">
        <v>97</v>
      </c>
      <c r="E16" s="124">
        <v>1</v>
      </c>
      <c r="F16" t="s">
        <v>259</v>
      </c>
    </row>
    <row r="17" spans="3:9" x14ac:dyDescent="0.25">
      <c r="C17" s="115" t="s">
        <v>246</v>
      </c>
      <c r="D17" s="121" t="s">
        <v>98</v>
      </c>
      <c r="E17" s="122">
        <v>1</v>
      </c>
      <c r="F17" t="s">
        <v>259</v>
      </c>
    </row>
    <row r="18" spans="3:9" x14ac:dyDescent="0.25">
      <c r="C18" s="115" t="s">
        <v>247</v>
      </c>
      <c r="D18" s="123" t="s">
        <v>97</v>
      </c>
      <c r="E18" s="124">
        <v>1</v>
      </c>
      <c r="F18" t="s">
        <v>259</v>
      </c>
    </row>
    <row r="19" spans="3:9" x14ac:dyDescent="0.25">
      <c r="C19" s="115" t="s">
        <v>248</v>
      </c>
      <c r="D19" s="123" t="s">
        <v>97</v>
      </c>
      <c r="E19" s="124">
        <v>1</v>
      </c>
      <c r="F19" t="s">
        <v>259</v>
      </c>
    </row>
    <row r="20" spans="3:9" x14ac:dyDescent="0.25">
      <c r="C20" s="115" t="s">
        <v>249</v>
      </c>
      <c r="D20" s="129" t="s">
        <v>261</v>
      </c>
      <c r="E20" s="130">
        <v>1</v>
      </c>
      <c r="F20" t="s">
        <v>262</v>
      </c>
    </row>
    <row r="21" spans="3:9" x14ac:dyDescent="0.25">
      <c r="C21" s="115" t="s">
        <v>250</v>
      </c>
      <c r="D21" s="137" t="s">
        <v>97</v>
      </c>
      <c r="E21" s="138">
        <v>1.5</v>
      </c>
      <c r="F21" t="s">
        <v>266</v>
      </c>
    </row>
    <row r="22" spans="3:9" ht="15.75" thickBot="1" x14ac:dyDescent="0.3">
      <c r="C22" s="117" t="s">
        <v>251</v>
      </c>
      <c r="D22" s="125" t="s">
        <v>97</v>
      </c>
      <c r="E22" s="126">
        <v>1</v>
      </c>
      <c r="F22" t="s">
        <v>266</v>
      </c>
    </row>
    <row r="25" spans="3:9" ht="15.75" thickBot="1" x14ac:dyDescent="0.3">
      <c r="C25" t="s">
        <v>252</v>
      </c>
    </row>
    <row r="26" spans="3:9" x14ac:dyDescent="0.25">
      <c r="C26" s="112" t="s">
        <v>127</v>
      </c>
      <c r="D26" s="113" t="s">
        <v>236</v>
      </c>
      <c r="E26" s="114" t="s">
        <v>237</v>
      </c>
    </row>
    <row r="27" spans="3:9" x14ac:dyDescent="0.25">
      <c r="C27" s="115" t="s">
        <v>254</v>
      </c>
      <c r="D27" s="131" t="s">
        <v>264</v>
      </c>
      <c r="E27" s="132">
        <v>2</v>
      </c>
      <c r="F27" t="s">
        <v>266</v>
      </c>
    </row>
    <row r="28" spans="3:9" x14ac:dyDescent="0.25">
      <c r="C28" s="115" t="s">
        <v>263</v>
      </c>
      <c r="D28" s="129" t="s">
        <v>261</v>
      </c>
      <c r="E28" s="130">
        <v>1</v>
      </c>
      <c r="F28" t="s">
        <v>266</v>
      </c>
    </row>
    <row r="29" spans="3:9" x14ac:dyDescent="0.25">
      <c r="C29" s="115" t="s">
        <v>255</v>
      </c>
      <c r="D29" s="123" t="s">
        <v>264</v>
      </c>
      <c r="E29" s="124">
        <v>1</v>
      </c>
      <c r="F29" t="s">
        <v>266</v>
      </c>
    </row>
    <row r="30" spans="3:9" x14ac:dyDescent="0.25">
      <c r="C30" s="115" t="s">
        <v>256</v>
      </c>
      <c r="D30" s="123" t="s">
        <v>264</v>
      </c>
      <c r="E30" s="124">
        <v>1</v>
      </c>
      <c r="F30" t="s">
        <v>266</v>
      </c>
    </row>
    <row r="31" spans="3:9" x14ac:dyDescent="0.25">
      <c r="C31" s="115" t="s">
        <v>257</v>
      </c>
      <c r="D31" s="127" t="s">
        <v>265</v>
      </c>
      <c r="E31" s="128">
        <v>1</v>
      </c>
      <c r="F31" t="s">
        <v>262</v>
      </c>
      <c r="I31">
        <v>2</v>
      </c>
    </row>
    <row r="32" spans="3:9" x14ac:dyDescent="0.25">
      <c r="C32" s="115" t="s">
        <v>258</v>
      </c>
      <c r="D32" s="123" t="s">
        <v>264</v>
      </c>
      <c r="E32" s="124">
        <v>1</v>
      </c>
      <c r="F32" t="s">
        <v>266</v>
      </c>
    </row>
    <row r="33" spans="3:6" x14ac:dyDescent="0.25">
      <c r="C33" s="115" t="s">
        <v>267</v>
      </c>
      <c r="D33" s="127" t="s">
        <v>265</v>
      </c>
      <c r="E33" s="128">
        <v>1</v>
      </c>
      <c r="F33" t="s">
        <v>262</v>
      </c>
    </row>
    <row r="34" spans="3:6" x14ac:dyDescent="0.25">
      <c r="C34" s="115"/>
      <c r="D34" s="111"/>
      <c r="E34" s="116"/>
    </row>
    <row r="35" spans="3:6" x14ac:dyDescent="0.25">
      <c r="C35" s="115"/>
      <c r="D35" s="111"/>
      <c r="E35" s="139">
        <v>7</v>
      </c>
    </row>
    <row r="36" spans="3:6" x14ac:dyDescent="0.25">
      <c r="C36" s="115"/>
      <c r="D36" s="111"/>
      <c r="E36" s="116">
        <v>15</v>
      </c>
    </row>
    <row r="37" spans="3:6" x14ac:dyDescent="0.25">
      <c r="C37" s="115"/>
      <c r="D37" s="111"/>
      <c r="E37" s="116">
        <f>SUM(E35:E36)</f>
        <v>22</v>
      </c>
    </row>
    <row r="38" spans="3:6" x14ac:dyDescent="0.25">
      <c r="C38" s="115"/>
      <c r="D38" s="111"/>
      <c r="E38" s="116"/>
    </row>
    <row r="39" spans="3:6" x14ac:dyDescent="0.25">
      <c r="C39" s="115"/>
      <c r="D39" s="111"/>
      <c r="E39" s="116"/>
    </row>
    <row r="40" spans="3:6" x14ac:dyDescent="0.25">
      <c r="C40" s="115"/>
      <c r="D40" s="111"/>
      <c r="E40" s="116"/>
    </row>
    <row r="41" spans="3:6" x14ac:dyDescent="0.25">
      <c r="C41" s="115"/>
      <c r="D41" s="111"/>
      <c r="E41" s="116"/>
    </row>
    <row r="42" spans="3:6" x14ac:dyDescent="0.25">
      <c r="C42" s="115"/>
      <c r="D42" s="111"/>
      <c r="E42" s="116"/>
    </row>
    <row r="43" spans="3:6" x14ac:dyDescent="0.25">
      <c r="C43" s="115"/>
      <c r="D43" s="111"/>
      <c r="E43" s="116"/>
    </row>
    <row r="44" spans="3:6" ht="15.75" thickBot="1" x14ac:dyDescent="0.3">
      <c r="C44" s="117"/>
      <c r="D44" s="118"/>
      <c r="E44" s="119"/>
    </row>
  </sheetData>
  <mergeCells count="3"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Form Inventory</vt:lpstr>
      <vt:lpstr>NEW CODE</vt:lpstr>
      <vt:lpstr>Sheet2</vt:lpstr>
      <vt:lpstr>'NEW CODE'!Print_Area</vt:lpstr>
      <vt:lpstr>'NEW CODE'!Print_Titles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project-pc</dc:creator>
  <cp:lastModifiedBy>Lenovo</cp:lastModifiedBy>
  <cp:lastPrinted>2021-10-07T08:35:32Z</cp:lastPrinted>
  <dcterms:created xsi:type="dcterms:W3CDTF">2020-09-25T01:43:27Z</dcterms:created>
  <dcterms:modified xsi:type="dcterms:W3CDTF">2021-10-22T02:32:26Z</dcterms:modified>
</cp:coreProperties>
</file>