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-9570" yWindow="3000" windowWidth="21600" windowHeight="11385" activeTab="5"/>
  </bookViews>
  <sheets>
    <sheet name="Januari" sheetId="1" r:id="rId1"/>
    <sheet name="Februari" sheetId="2" r:id="rId2"/>
    <sheet name="Maret" sheetId="3" r:id="rId3"/>
    <sheet name="Mei" sheetId="4" r:id="rId4"/>
    <sheet name="Juni" sheetId="5" r:id="rId5"/>
    <sheet name="Juli" sheetId="6" r:id="rId6"/>
    <sheet name="Rekap" sheetId="7" r:id="rId7"/>
  </sheets>
  <definedNames>
    <definedName name="_xlnm._FilterDatabase" localSheetId="1" hidden="1">Februari!$A$1:$U$15</definedName>
    <definedName name="_xlnm._FilterDatabase" localSheetId="0" hidden="1">Januari!$A$1:$U$16</definedName>
    <definedName name="_xlnm._FilterDatabase" localSheetId="5" hidden="1">Juli!$A$1:$W$15</definedName>
    <definedName name="_xlnm._FilterDatabase" localSheetId="2" hidden="1">Maret!$A$1:$U$53</definedName>
    <definedName name="_xlnm._FilterDatabase" localSheetId="3" hidden="1">Mei!$A$1:$U$4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6" l="1"/>
  <c r="M15" i="6"/>
  <c r="O14" i="6"/>
  <c r="N14" i="6"/>
  <c r="M14" i="6"/>
  <c r="M13" i="6"/>
  <c r="P12" i="6"/>
  <c r="O12" i="6"/>
  <c r="N12" i="6"/>
  <c r="M12" i="6"/>
  <c r="Q12" i="6" s="1"/>
  <c r="P15" i="6"/>
  <c r="O15" i="6"/>
  <c r="N15" i="6"/>
  <c r="Q15" i="6"/>
  <c r="P13" i="6"/>
  <c r="O13" i="6"/>
  <c r="N13" i="6"/>
  <c r="Q13" i="6"/>
  <c r="M11" i="6"/>
  <c r="M10" i="6"/>
  <c r="P11" i="6"/>
  <c r="O11" i="6"/>
  <c r="N11" i="6"/>
  <c r="Q11" i="6"/>
  <c r="P10" i="6"/>
  <c r="O10" i="6"/>
  <c r="N10" i="6"/>
  <c r="Q10" i="6"/>
  <c r="M9" i="6"/>
  <c r="M8" i="6"/>
  <c r="P9" i="6"/>
  <c r="O9" i="6"/>
  <c r="N9" i="6"/>
  <c r="Q9" i="6"/>
  <c r="P8" i="6"/>
  <c r="O8" i="6"/>
  <c r="N8" i="6"/>
  <c r="Q8" i="6"/>
  <c r="Q14" i="6" l="1"/>
  <c r="M7" i="6"/>
  <c r="M6" i="6"/>
  <c r="O7" i="6"/>
  <c r="O6" i="6"/>
  <c r="P7" i="6"/>
  <c r="N7" i="6"/>
  <c r="Q7" i="6"/>
  <c r="P6" i="6"/>
  <c r="N6" i="6"/>
  <c r="Q6" i="6" s="1"/>
  <c r="M5" i="6"/>
  <c r="P5" i="6"/>
  <c r="O5" i="6"/>
  <c r="N5" i="6"/>
  <c r="Q5" i="6" s="1"/>
  <c r="P4" i="6"/>
  <c r="O4" i="6"/>
  <c r="N4" i="6"/>
  <c r="M4" i="6"/>
  <c r="Q4" i="6" l="1"/>
  <c r="M3" i="6"/>
  <c r="P3" i="6" l="1"/>
  <c r="O3" i="6"/>
  <c r="N3" i="6"/>
  <c r="Q3" i="6" l="1"/>
  <c r="O2" i="6"/>
  <c r="M2" i="6"/>
  <c r="P2" i="6"/>
  <c r="N2" i="6"/>
  <c r="Q2" i="6" l="1"/>
  <c r="M5" i="5"/>
  <c r="P5" i="5"/>
  <c r="O5" i="5"/>
  <c r="N5" i="5"/>
  <c r="Q5" i="5"/>
  <c r="M4" i="5" l="1"/>
  <c r="P4" i="5" l="1"/>
  <c r="O4" i="5"/>
  <c r="N4" i="5"/>
  <c r="Q4" i="5"/>
  <c r="P3" i="5" l="1"/>
  <c r="O3" i="5"/>
  <c r="N3" i="5"/>
  <c r="Q3" i="5" s="1"/>
  <c r="M3" i="5"/>
  <c r="P2" i="5" l="1"/>
  <c r="O2" i="5"/>
  <c r="M2" i="5"/>
  <c r="N2" i="5"/>
  <c r="Q2" i="5"/>
  <c r="L17" i="1" l="1"/>
  <c r="M4" i="4" l="1"/>
  <c r="M3" i="4"/>
  <c r="Q3" i="4" s="1"/>
  <c r="P4" i="4"/>
  <c r="P3" i="4"/>
  <c r="O4" i="4"/>
  <c r="O3" i="4"/>
  <c r="N4" i="4"/>
  <c r="Q4" i="4"/>
  <c r="N3" i="4"/>
  <c r="L16" i="2" l="1"/>
  <c r="P2" i="4" l="1"/>
  <c r="M2" i="4" l="1"/>
  <c r="Q2" i="4" s="1"/>
  <c r="O2" i="4"/>
  <c r="N2" i="4"/>
  <c r="M3" i="3" l="1"/>
  <c r="O5" i="1" l="1"/>
  <c r="O6" i="1"/>
  <c r="P31" i="3" l="1"/>
  <c r="P30" i="3"/>
  <c r="M36" i="3" l="1"/>
  <c r="M35" i="3"/>
  <c r="M34" i="3"/>
  <c r="M33" i="3"/>
  <c r="M32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P51" i="3" l="1"/>
  <c r="M51" i="3"/>
  <c r="M50" i="3"/>
  <c r="N51" i="3"/>
  <c r="O51" i="3"/>
  <c r="Q51" i="3" l="1"/>
  <c r="N50" i="3"/>
  <c r="P50" i="3"/>
  <c r="M49" i="3"/>
  <c r="N49" i="3"/>
  <c r="P49" i="3"/>
  <c r="M48" i="3"/>
  <c r="N48" i="3"/>
  <c r="P48" i="3"/>
  <c r="M47" i="3"/>
  <c r="N47" i="3"/>
  <c r="P47" i="3"/>
  <c r="M46" i="3"/>
  <c r="P46" i="3"/>
  <c r="N46" i="3"/>
  <c r="M45" i="3"/>
  <c r="N45" i="3"/>
  <c r="P45" i="3"/>
  <c r="M44" i="3"/>
  <c r="N44" i="3"/>
  <c r="P44" i="3"/>
  <c r="Q46" i="3" l="1"/>
  <c r="Q45" i="3"/>
  <c r="Q48" i="3"/>
  <c r="Q50" i="3"/>
  <c r="Q44" i="3"/>
  <c r="Q47" i="3"/>
  <c r="Q49" i="3"/>
  <c r="M43" i="3"/>
  <c r="N43" i="3"/>
  <c r="P43" i="3"/>
  <c r="M42" i="3"/>
  <c r="N42" i="3"/>
  <c r="P42" i="3"/>
  <c r="M41" i="3"/>
  <c r="N41" i="3"/>
  <c r="P41" i="3"/>
  <c r="M40" i="3"/>
  <c r="N40" i="3"/>
  <c r="P40" i="3"/>
  <c r="M39" i="3"/>
  <c r="N39" i="3"/>
  <c r="P39" i="3"/>
  <c r="M38" i="3"/>
  <c r="N38" i="3"/>
  <c r="P38" i="3"/>
  <c r="M37" i="3"/>
  <c r="N37" i="3"/>
  <c r="P37" i="3"/>
  <c r="N36" i="3"/>
  <c r="P36" i="3"/>
  <c r="P35" i="3"/>
  <c r="P34" i="3"/>
  <c r="P33" i="3"/>
  <c r="P32" i="3"/>
  <c r="M27" i="3"/>
  <c r="M30" i="3"/>
  <c r="M31" i="3"/>
  <c r="N35" i="3"/>
  <c r="N34" i="3"/>
  <c r="N33" i="3"/>
  <c r="N32" i="3"/>
  <c r="O31" i="3"/>
  <c r="N31" i="3"/>
  <c r="O27" i="3"/>
  <c r="O30" i="3"/>
  <c r="N30" i="3"/>
  <c r="Q36" i="3" l="1"/>
  <c r="Q38" i="3"/>
  <c r="Q40" i="3"/>
  <c r="Q42" i="3"/>
  <c r="Q37" i="3"/>
  <c r="Q39" i="3"/>
  <c r="Q41" i="3"/>
  <c r="Q43" i="3"/>
  <c r="Q34" i="3"/>
  <c r="Q35" i="3"/>
  <c r="Q33" i="3"/>
  <c r="Q32" i="3"/>
  <c r="Q31" i="3"/>
  <c r="Q30" i="3"/>
  <c r="P29" i="3"/>
  <c r="O29" i="3"/>
  <c r="N29" i="3"/>
  <c r="M29" i="3"/>
  <c r="P26" i="3"/>
  <c r="P25" i="3"/>
  <c r="P28" i="3"/>
  <c r="M28" i="3"/>
  <c r="O28" i="3"/>
  <c r="N28" i="3"/>
  <c r="Q29" i="3" l="1"/>
  <c r="Q28" i="3"/>
  <c r="M2" i="3"/>
  <c r="O4" i="3"/>
  <c r="O3" i="3"/>
  <c r="O2" i="3"/>
  <c r="P27" i="3"/>
  <c r="N27" i="3"/>
  <c r="M26" i="3"/>
  <c r="O26" i="3"/>
  <c r="N26" i="3"/>
  <c r="M25" i="3"/>
  <c r="O25" i="3"/>
  <c r="N25" i="3"/>
  <c r="P24" i="3"/>
  <c r="M24" i="3"/>
  <c r="O24" i="3"/>
  <c r="N24" i="3"/>
  <c r="Q27" i="3" l="1"/>
  <c r="Q25" i="3"/>
  <c r="Q26" i="3"/>
  <c r="Q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Q19" i="3" l="1"/>
  <c r="Q20" i="3"/>
  <c r="Q21" i="3"/>
  <c r="Q22" i="3"/>
  <c r="Q23" i="3"/>
  <c r="M18" i="3"/>
  <c r="P18" i="3"/>
  <c r="O18" i="3"/>
  <c r="N18" i="3"/>
  <c r="M17" i="3"/>
  <c r="P17" i="3"/>
  <c r="O17" i="3"/>
  <c r="N17" i="3"/>
  <c r="O16" i="3"/>
  <c r="M16" i="3"/>
  <c r="P16" i="3"/>
  <c r="N16" i="3"/>
  <c r="Q18" i="3" l="1"/>
  <c r="Q16" i="3"/>
  <c r="Q17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N4" i="3"/>
  <c r="M4" i="3"/>
  <c r="P3" i="3"/>
  <c r="N3" i="3"/>
  <c r="P2" i="3"/>
  <c r="N2" i="3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P2" i="2"/>
  <c r="O2" i="2"/>
  <c r="N2" i="2"/>
  <c r="M2" i="2"/>
  <c r="M2" i="1"/>
  <c r="N2" i="1"/>
  <c r="O2" i="1"/>
  <c r="P2" i="1"/>
  <c r="M3" i="1"/>
  <c r="N3" i="1"/>
  <c r="O3" i="1"/>
  <c r="P3" i="1"/>
  <c r="M4" i="1"/>
  <c r="N4" i="1"/>
  <c r="O4" i="1"/>
  <c r="P4" i="1"/>
  <c r="M5" i="1"/>
  <c r="N5" i="1"/>
  <c r="P5" i="1"/>
  <c r="M6" i="1"/>
  <c r="N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Q15" i="1" l="1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2" i="2"/>
  <c r="Q3" i="2"/>
  <c r="Q4" i="2"/>
  <c r="Q6" i="2"/>
  <c r="Q7" i="2"/>
  <c r="Q8" i="2"/>
  <c r="Q9" i="2"/>
  <c r="Q11" i="2"/>
  <c r="Q12" i="2"/>
  <c r="Q13" i="2"/>
  <c r="Q14" i="2"/>
  <c r="Q15" i="2"/>
  <c r="Q7" i="1"/>
  <c r="Q10" i="2"/>
  <c r="Q5" i="2"/>
  <c r="Q3" i="1"/>
  <c r="Q11" i="1"/>
  <c r="Q9" i="1"/>
  <c r="Q13" i="1"/>
  <c r="Q5" i="1"/>
  <c r="Q16" i="1"/>
  <c r="Q12" i="1"/>
  <c r="Q8" i="1"/>
  <c r="Q4" i="1"/>
  <c r="Q14" i="1"/>
  <c r="Q10" i="1"/>
  <c r="Q6" i="1"/>
  <c r="Q2" i="1"/>
</calcChain>
</file>

<file path=xl/sharedStrings.xml><?xml version="1.0" encoding="utf-8"?>
<sst xmlns="http://schemas.openxmlformats.org/spreadsheetml/2006/main" count="1170" uniqueCount="304">
  <si>
    <t>Outstanding</t>
  </si>
  <si>
    <t>GA-0176</t>
  </si>
  <si>
    <t>PKU</t>
  </si>
  <si>
    <t>CGK</t>
  </si>
  <si>
    <t>Modul</t>
  </si>
  <si>
    <t>RMS</t>
  </si>
  <si>
    <t>ICMS CGK</t>
  </si>
  <si>
    <t>126-49576553</t>
  </si>
  <si>
    <t>GA-0126</t>
  </si>
  <si>
    <t>DJB</t>
  </si>
  <si>
    <t>126-49575875</t>
  </si>
  <si>
    <t>GA-0136</t>
  </si>
  <si>
    <t>PGK</t>
  </si>
  <si>
    <t>126-49575923</t>
  </si>
  <si>
    <t>GA-0168</t>
  </si>
  <si>
    <t>KNO</t>
  </si>
  <si>
    <t>126-49575971</t>
  </si>
  <si>
    <t>GA-0108</t>
  </si>
  <si>
    <t>PLM</t>
  </si>
  <si>
    <t>126-49576030</t>
  </si>
  <si>
    <t>126-49576069</t>
  </si>
  <si>
    <t>GA-0072</t>
  </si>
  <si>
    <t>TKG</t>
  </si>
  <si>
    <t>126-49576155</t>
  </si>
  <si>
    <t>126-49576192</t>
  </si>
  <si>
    <t>GA-0164</t>
  </si>
  <si>
    <t>PDG</t>
  </si>
  <si>
    <t>126-49575175</t>
  </si>
  <si>
    <t>GA-0172</t>
  </si>
  <si>
    <t>126-49576240</t>
  </si>
  <si>
    <t>GA-0148</t>
  </si>
  <si>
    <t>126-49756321</t>
  </si>
  <si>
    <t>Kue</t>
  </si>
  <si>
    <t>Yovanka</t>
  </si>
  <si>
    <t>126-49566694</t>
  </si>
  <si>
    <t>Equipment Test</t>
  </si>
  <si>
    <t>Abet</t>
  </si>
  <si>
    <t>126-49439515</t>
  </si>
  <si>
    <t>Makanan</t>
  </si>
  <si>
    <t>Vanka</t>
  </si>
  <si>
    <t>126-49341880</t>
  </si>
  <si>
    <t>Keterangan</t>
  </si>
  <si>
    <t xml:space="preserve">Ket Bank </t>
  </si>
  <si>
    <t xml:space="preserve">Tanggal Bayar </t>
  </si>
  <si>
    <t xml:space="preserve">Nominal Bayar </t>
  </si>
  <si>
    <t xml:space="preserve">Total Invoice </t>
  </si>
  <si>
    <t xml:space="preserve">Handling </t>
  </si>
  <si>
    <t>WH</t>
  </si>
  <si>
    <t xml:space="preserve">RA </t>
  </si>
  <si>
    <t xml:space="preserve">SMU </t>
  </si>
  <si>
    <t>Ch. Wt</t>
  </si>
  <si>
    <t>Gr. Wt</t>
  </si>
  <si>
    <t>Pcs</t>
  </si>
  <si>
    <t>Flight Date</t>
  </si>
  <si>
    <t>Flight No</t>
  </si>
  <si>
    <t>Dest</t>
  </si>
  <si>
    <t>Ori</t>
  </si>
  <si>
    <t>COMODITY</t>
  </si>
  <si>
    <t>Shipper Name</t>
  </si>
  <si>
    <t>System</t>
  </si>
  <si>
    <t>No AWB</t>
  </si>
  <si>
    <t>NO</t>
  </si>
  <si>
    <t>Genco</t>
  </si>
  <si>
    <t>126-49238744</t>
  </si>
  <si>
    <t>GA-0102</t>
  </si>
  <si>
    <t>126-49238781</t>
  </si>
  <si>
    <t>HIS BNI</t>
  </si>
  <si>
    <t>24 Feb 2021</t>
  </si>
  <si>
    <t>126-49231265</t>
  </si>
  <si>
    <t>GA-0404</t>
  </si>
  <si>
    <t>DPS</t>
  </si>
  <si>
    <t>126-49068154</t>
  </si>
  <si>
    <t>GA-0564</t>
  </si>
  <si>
    <t>BPN</t>
  </si>
  <si>
    <t>Radio Active</t>
  </si>
  <si>
    <t>WID LOG</t>
  </si>
  <si>
    <t>126-48960181</t>
  </si>
  <si>
    <t>GA-0232</t>
  </si>
  <si>
    <t>SRG</t>
  </si>
  <si>
    <t>126-48869343</t>
  </si>
  <si>
    <t>15 Feb 2021</t>
  </si>
  <si>
    <t>126-48811011</t>
  </si>
  <si>
    <t>GA-0402</t>
  </si>
  <si>
    <t>126-48491122</t>
  </si>
  <si>
    <t>126-48491236</t>
  </si>
  <si>
    <t>126-48388546</t>
  </si>
  <si>
    <t>GA-0430</t>
  </si>
  <si>
    <t>LOP</t>
  </si>
  <si>
    <t>126-48351623</t>
  </si>
  <si>
    <t>11 Feb 2021</t>
  </si>
  <si>
    <t>GA-0648</t>
  </si>
  <si>
    <t>TTE</t>
  </si>
  <si>
    <t>MIKA</t>
  </si>
  <si>
    <t>126-48935515</t>
  </si>
  <si>
    <t>MayBank</t>
  </si>
  <si>
    <t>23 Feb 2021</t>
  </si>
  <si>
    <t>PT. COSL</t>
  </si>
  <si>
    <t>126-48780863</t>
  </si>
  <si>
    <t>4 Mar 2021</t>
  </si>
  <si>
    <t>QG-942</t>
  </si>
  <si>
    <t>BTH</t>
  </si>
  <si>
    <t>SAL</t>
  </si>
  <si>
    <t>QG</t>
  </si>
  <si>
    <t>888-41732913</t>
  </si>
  <si>
    <t>GA-0560</t>
  </si>
  <si>
    <t>TAS</t>
  </si>
  <si>
    <t>MTN</t>
  </si>
  <si>
    <t>126-48509241</t>
  </si>
  <si>
    <t>GA-0682</t>
  </si>
  <si>
    <t>MKW</t>
  </si>
  <si>
    <t>SPEARPACK PLASTIK</t>
  </si>
  <si>
    <t>126-48508983</t>
  </si>
  <si>
    <t>PEPPER SPRAY</t>
  </si>
  <si>
    <t>126-48506555</t>
  </si>
  <si>
    <t>126-48502285</t>
  </si>
  <si>
    <t>GA-0656D</t>
  </si>
  <si>
    <t>DJJ</t>
  </si>
  <si>
    <t>126-48453020</t>
  </si>
  <si>
    <t>126-48435811</t>
  </si>
  <si>
    <t>GA-0606</t>
  </si>
  <si>
    <t>MDC</t>
  </si>
  <si>
    <t>126-48435822</t>
  </si>
  <si>
    <t>GA-0642</t>
  </si>
  <si>
    <t>GTO</t>
  </si>
  <si>
    <t>126-48435844</t>
  </si>
  <si>
    <t>GA-0646</t>
  </si>
  <si>
    <t>AMQ</t>
  </si>
  <si>
    <t>126-48437115</t>
  </si>
  <si>
    <t>GA-0656</t>
  </si>
  <si>
    <t>126-48437152</t>
  </si>
  <si>
    <t>QG-968</t>
  </si>
  <si>
    <t>888-41306764</t>
  </si>
  <si>
    <t>16 Feb 2021</t>
  </si>
  <si>
    <t>QG-944</t>
  </si>
  <si>
    <t>888-41244000</t>
  </si>
  <si>
    <t>Maybank</t>
  </si>
  <si>
    <t>8 Feb 2021</t>
  </si>
  <si>
    <t>GA-0242</t>
  </si>
  <si>
    <t>ALKOM</t>
  </si>
  <si>
    <t>PT. RMS</t>
  </si>
  <si>
    <t>126-47656232</t>
  </si>
  <si>
    <t>GA-0434</t>
  </si>
  <si>
    <t>126-47484570</t>
  </si>
  <si>
    <t>Pembayaran jadi 1 dengan SMU JT</t>
  </si>
  <si>
    <t>126-47870992</t>
  </si>
  <si>
    <t>BNI HIS</t>
  </si>
  <si>
    <t>126-49643613</t>
  </si>
  <si>
    <t>126-49643720</t>
  </si>
  <si>
    <t>GA-0186</t>
  </si>
  <si>
    <t>126-49644033</t>
  </si>
  <si>
    <t>GPON</t>
  </si>
  <si>
    <t>126-49727064</t>
  </si>
  <si>
    <t>KOE</t>
  </si>
  <si>
    <t>GA-0448</t>
  </si>
  <si>
    <t>126-49742921</t>
  </si>
  <si>
    <t>126-49743013</t>
  </si>
  <si>
    <t>126-49743024</t>
  </si>
  <si>
    <t>126-49759824</t>
  </si>
  <si>
    <t>GA-0438</t>
  </si>
  <si>
    <t>TOP</t>
  </si>
  <si>
    <t>Age</t>
  </si>
  <si>
    <t>AGE</t>
  </si>
  <si>
    <t>21 Hari</t>
  </si>
  <si>
    <t>126-49901740</t>
  </si>
  <si>
    <t>126-49909355</t>
  </si>
  <si>
    <t>126-49909591</t>
  </si>
  <si>
    <t>888-42642596</t>
  </si>
  <si>
    <t>9 Maret</t>
  </si>
  <si>
    <t>126-49269651</t>
  </si>
  <si>
    <t>126-49270292</t>
  </si>
  <si>
    <t>24 Februari</t>
  </si>
  <si>
    <t>25 Februari</t>
  </si>
  <si>
    <t>26 Februari</t>
  </si>
  <si>
    <t>1 Maret</t>
  </si>
  <si>
    <t>5 Maret</t>
  </si>
  <si>
    <t>8 Maret</t>
  </si>
  <si>
    <t>17 Maret</t>
  </si>
  <si>
    <t>18 Maret</t>
  </si>
  <si>
    <t>19 Maret</t>
  </si>
  <si>
    <t>20 Maret</t>
  </si>
  <si>
    <t>21 Maret</t>
  </si>
  <si>
    <t>23 Maret</t>
  </si>
  <si>
    <t>24 Maret</t>
  </si>
  <si>
    <t>12 Maret</t>
  </si>
  <si>
    <t>16 Hari</t>
  </si>
  <si>
    <t>888-42764260</t>
  </si>
  <si>
    <t>Alkes</t>
  </si>
  <si>
    <t>QG-940</t>
  </si>
  <si>
    <t>888-42763125</t>
  </si>
  <si>
    <t>27 Maret</t>
  </si>
  <si>
    <t>888-42899555</t>
  </si>
  <si>
    <t>QG-688</t>
  </si>
  <si>
    <t>888-42899931</t>
  </si>
  <si>
    <t>QG-958</t>
  </si>
  <si>
    <t>888-42900200</t>
  </si>
  <si>
    <t>QG-984</t>
  </si>
  <si>
    <t>888-42900546</t>
  </si>
  <si>
    <t>QG-920</t>
  </si>
  <si>
    <t>31 Maret</t>
  </si>
  <si>
    <t>20 Hari</t>
  </si>
  <si>
    <t>19 Hari</t>
  </si>
  <si>
    <t>12 Hari</t>
  </si>
  <si>
    <t>9 Hari</t>
  </si>
  <si>
    <t>888-42914966</t>
  </si>
  <si>
    <t>QG-682</t>
  </si>
  <si>
    <t>888-42915681</t>
  </si>
  <si>
    <t>QG-884</t>
  </si>
  <si>
    <t>888-42915482</t>
  </si>
  <si>
    <t>QG-964</t>
  </si>
  <si>
    <t>888-42915375</t>
  </si>
  <si>
    <t>QG-996</t>
  </si>
  <si>
    <t>888-42914782</t>
  </si>
  <si>
    <t>QG-970</t>
  </si>
  <si>
    <t>888-42977443</t>
  </si>
  <si>
    <t>888-42993510</t>
  </si>
  <si>
    <t>BTJ</t>
  </si>
  <si>
    <t>QG-10</t>
  </si>
  <si>
    <t>888-42994630</t>
  </si>
  <si>
    <t>PNK</t>
  </si>
  <si>
    <t>QG-7412</t>
  </si>
  <si>
    <t>1 April</t>
  </si>
  <si>
    <t>17 18 Maret</t>
  </si>
  <si>
    <t>4 Hari</t>
  </si>
  <si>
    <t>3 Hari</t>
  </si>
  <si>
    <t>2 Hari</t>
  </si>
  <si>
    <t>888-43049845</t>
  </si>
  <si>
    <t>888-43050560</t>
  </si>
  <si>
    <t>QG-962</t>
  </si>
  <si>
    <t>888-43050442</t>
  </si>
  <si>
    <t>QG-882</t>
  </si>
  <si>
    <t>888-43050895</t>
  </si>
  <si>
    <t>SUB</t>
  </si>
  <si>
    <t>QG-252</t>
  </si>
  <si>
    <t>888-43050291</t>
  </si>
  <si>
    <t>QG-980</t>
  </si>
  <si>
    <t>888-43050766</t>
  </si>
  <si>
    <t>888-42978692</t>
  </si>
  <si>
    <t>QG-938</t>
  </si>
  <si>
    <t>3 April</t>
  </si>
  <si>
    <t>6 April</t>
  </si>
  <si>
    <t>5 Hari</t>
  </si>
  <si>
    <t>888-43079245</t>
  </si>
  <si>
    <t>Foodstuff</t>
  </si>
  <si>
    <t>7 Hari</t>
  </si>
  <si>
    <t>12 April</t>
  </si>
  <si>
    <t>21 April</t>
  </si>
  <si>
    <t>20 April</t>
  </si>
  <si>
    <t>Ed Scale</t>
  </si>
  <si>
    <t>126-51972351</t>
  </si>
  <si>
    <t>RADIO ACTIVE</t>
  </si>
  <si>
    <t>GA-0572</t>
  </si>
  <si>
    <t>23 Mei 2021</t>
  </si>
  <si>
    <t>126-51430606</t>
  </si>
  <si>
    <t>126-51727163</t>
  </si>
  <si>
    <t>Laptop</t>
  </si>
  <si>
    <t>9 Juni</t>
  </si>
  <si>
    <t>126-52112045</t>
  </si>
  <si>
    <t>BCR</t>
  </si>
  <si>
    <t>126-52121694</t>
  </si>
  <si>
    <t>19 Juni 2021</t>
  </si>
  <si>
    <t>126-52370743</t>
  </si>
  <si>
    <t>CTX</t>
  </si>
  <si>
    <t>Garment</t>
  </si>
  <si>
    <t>SOQ</t>
  </si>
  <si>
    <t>126-52432715</t>
  </si>
  <si>
    <t>BWX</t>
  </si>
  <si>
    <t>GA-0264</t>
  </si>
  <si>
    <t>126-53323340</t>
  </si>
  <si>
    <t>3 Juli 2021</t>
  </si>
  <si>
    <t>126-53761831</t>
  </si>
  <si>
    <t>No</t>
  </si>
  <si>
    <t xml:space="preserve">Bulan </t>
  </si>
  <si>
    <t>Total</t>
  </si>
  <si>
    <t>Januari</t>
  </si>
  <si>
    <t>Februari</t>
  </si>
  <si>
    <t>Maret</t>
  </si>
  <si>
    <t>April</t>
  </si>
  <si>
    <t>Mei</t>
  </si>
  <si>
    <t>Juni</t>
  </si>
  <si>
    <t>Juli</t>
  </si>
  <si>
    <t>Current Outstanding</t>
  </si>
  <si>
    <t>21 Juli 2021</t>
  </si>
  <si>
    <t>126-53469813</t>
  </si>
  <si>
    <t>126-53470782</t>
  </si>
  <si>
    <t>BKS</t>
  </si>
  <si>
    <t>GA-0298</t>
  </si>
  <si>
    <t>888-46525441</t>
  </si>
  <si>
    <t>888-46560835</t>
  </si>
  <si>
    <t>Citilink</t>
  </si>
  <si>
    <t>QG-990</t>
  </si>
  <si>
    <t>888-46581172</t>
  </si>
  <si>
    <t>888-46583471</t>
  </si>
  <si>
    <t>TJQ</t>
  </si>
  <si>
    <t>QG-976</t>
  </si>
  <si>
    <t>126-53611972</t>
  </si>
  <si>
    <t>126-53692310</t>
  </si>
  <si>
    <t>GA-0439</t>
  </si>
  <si>
    <t>888-46705676</t>
  </si>
  <si>
    <t>888-46705783</t>
  </si>
  <si>
    <t>888-46699730</t>
  </si>
  <si>
    <t>888-46707754</t>
  </si>
  <si>
    <t>AAN DEXTER</t>
  </si>
  <si>
    <t>Kosmetik</t>
  </si>
  <si>
    <t>QG-972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</si>
</sst>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_(* #,##0_);_(* \(#,##0\);_(* &quot;-&quot;??_);_(@_)"/>
    <numFmt numFmtId="167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64" fontId="2" fillId="0" borderId="1" xfId="2" applyFont="1" applyFill="1" applyBorder="1" applyAlignment="1">
      <alignment vertical="center"/>
    </xf>
    <xf numFmtId="164" fontId="2" fillId="0" borderId="1" xfId="2" applyFont="1" applyFill="1" applyBorder="1"/>
    <xf numFmtId="0" fontId="2" fillId="0" borderId="1" xfId="0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164" fontId="2" fillId="0" borderId="1" xfId="2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2" fillId="0" borderId="1" xfId="2" applyFont="1" applyBorder="1"/>
    <xf numFmtId="0" fontId="2" fillId="0" borderId="1" xfId="0" applyFont="1" applyBorder="1" applyAlignment="1"/>
    <xf numFmtId="165" fontId="2" fillId="0" borderId="1" xfId="0" applyNumberFormat="1" applyFont="1" applyBorder="1" applyAlignment="1"/>
    <xf numFmtId="164" fontId="2" fillId="0" borderId="1" xfId="2" quotePrefix="1" applyFont="1" applyFill="1" applyBorder="1" applyAlignment="1">
      <alignment vertical="center"/>
    </xf>
    <xf numFmtId="164" fontId="2" fillId="0" borderId="1" xfId="2" applyFont="1" applyFill="1" applyBorder="1" applyAlignment="1">
      <alignment horizontal="center" vertical="center"/>
    </xf>
    <xf numFmtId="164" fontId="2" fillId="0" borderId="1" xfId="2" quotePrefix="1" applyFont="1" applyFill="1" applyBorder="1" applyAlignment="1">
      <alignment horizontal="left" vertical="center"/>
    </xf>
    <xf numFmtId="0" fontId="0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166" fontId="2" fillId="3" borderId="1" xfId="1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3" xfId="2" applyFont="1" applyFill="1" applyBorder="1" applyAlignment="1">
      <alignment horizontal="center" vertical="center"/>
    </xf>
    <xf numFmtId="164" fontId="2" fillId="0" borderId="3" xfId="2" applyFont="1" applyFill="1" applyBorder="1"/>
    <xf numFmtId="0" fontId="2" fillId="0" borderId="5" xfId="0" applyFont="1" applyBorder="1" applyAlignment="1">
      <alignment wrapText="1"/>
    </xf>
    <xf numFmtId="165" fontId="2" fillId="0" borderId="3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3" borderId="1" xfId="2" applyFont="1" applyFill="1" applyBorder="1" applyAlignment="1">
      <alignment horizontal="center" vertical="center"/>
    </xf>
    <xf numFmtId="164" fontId="2" fillId="0" borderId="1" xfId="2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164" fontId="2" fillId="4" borderId="1" xfId="2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7" fontId="3" fillId="2" borderId="9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165" fontId="0" fillId="0" borderId="0" xfId="0" applyNumberFormat="1"/>
    <xf numFmtId="165" fontId="2" fillId="0" borderId="1" xfId="0" applyNumberFormat="1" applyFont="1" applyBorder="1"/>
    <xf numFmtId="165" fontId="0" fillId="0" borderId="1" xfId="0" applyNumberFormat="1" applyBorder="1"/>
    <xf numFmtId="0" fontId="3" fillId="2" borderId="7" xfId="0" applyFont="1" applyFill="1" applyBorder="1" applyAlignment="1">
      <alignment horizontal="center" vertical="center" wrapText="1"/>
    </xf>
    <xf numFmtId="164" fontId="2" fillId="0" borderId="3" xfId="2" applyFont="1" applyFill="1" applyBorder="1" applyAlignment="1">
      <alignment horizontal="center" vertical="center"/>
    </xf>
    <xf numFmtId="164" fontId="2" fillId="0" borderId="3" xfId="2" quotePrefix="1" applyFont="1" applyFill="1" applyBorder="1" applyAlignment="1">
      <alignment horizontal="center" vertical="center"/>
    </xf>
    <xf numFmtId="0" fontId="0" fillId="0" borderId="1" xfId="0" quotePrefix="1" applyBorder="1"/>
    <xf numFmtId="164" fontId="2" fillId="0" borderId="7" xfId="2" applyFont="1" applyFill="1" applyBorder="1"/>
    <xf numFmtId="16" fontId="0" fillId="0" borderId="1" xfId="0" quotePrefix="1" applyNumberFormat="1" applyBorder="1"/>
    <xf numFmtId="164" fontId="2" fillId="0" borderId="1" xfId="2" applyNumberFormat="1" applyFont="1" applyFill="1" applyBorder="1"/>
    <xf numFmtId="0" fontId="2" fillId="0" borderId="1" xfId="0" applyFont="1" applyFill="1" applyBorder="1"/>
    <xf numFmtId="164" fontId="2" fillId="0" borderId="7" xfId="2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4" fontId="2" fillId="0" borderId="7" xfId="2" applyFont="1" applyFill="1" applyBorder="1" applyAlignment="1">
      <alignment vertical="center"/>
    </xf>
    <xf numFmtId="166" fontId="2" fillId="0" borderId="1" xfId="1" applyNumberFormat="1" applyFont="1" applyBorder="1"/>
    <xf numFmtId="0" fontId="2" fillId="0" borderId="0" xfId="0" applyFont="1"/>
    <xf numFmtId="0" fontId="2" fillId="0" borderId="1" xfId="0" quotePrefix="1" applyFont="1" applyBorder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5" fontId="0" fillId="4" borderId="1" xfId="0" applyNumberFormat="1" applyFill="1" applyBorder="1"/>
    <xf numFmtId="0" fontId="2" fillId="4" borderId="1" xfId="0" applyFont="1" applyFill="1" applyBorder="1" applyAlignment="1">
      <alignment horizontal="right"/>
    </xf>
    <xf numFmtId="164" fontId="2" fillId="4" borderId="1" xfId="2" applyFont="1" applyFill="1" applyBorder="1"/>
    <xf numFmtId="164" fontId="2" fillId="4" borderId="1" xfId="2" applyNumberFormat="1" applyFont="1" applyFill="1" applyBorder="1"/>
    <xf numFmtId="164" fontId="2" fillId="4" borderId="1" xfId="2" applyFont="1" applyFill="1" applyBorder="1" applyAlignment="1">
      <alignment vertical="center"/>
    </xf>
    <xf numFmtId="0" fontId="0" fillId="4" borderId="1" xfId="0" applyFill="1" applyBorder="1"/>
    <xf numFmtId="0" fontId="0" fillId="4" borderId="1" xfId="0" quotePrefix="1" applyFill="1" applyBorder="1"/>
    <xf numFmtId="1" fontId="0" fillId="0" borderId="1" xfId="0" applyNumberFormat="1" applyBorder="1"/>
    <xf numFmtId="166" fontId="0" fillId="0" borderId="1" xfId="1" applyNumberFormat="1" applyFont="1" applyBorder="1"/>
    <xf numFmtId="0" fontId="2" fillId="0" borderId="13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164" fontId="2" fillId="0" borderId="8" xfId="2" applyFont="1" applyFill="1" applyBorder="1" applyAlignment="1">
      <alignment horizontal="center" vertical="center"/>
    </xf>
    <xf numFmtId="164" fontId="2" fillId="0" borderId="2" xfId="2" applyFont="1" applyFill="1" applyBorder="1" applyAlignment="1">
      <alignment horizontal="center" vertical="center"/>
    </xf>
    <xf numFmtId="164" fontId="2" fillId="0" borderId="3" xfId="2" applyFont="1" applyFill="1" applyBorder="1" applyAlignment="1">
      <alignment horizontal="center" vertical="center"/>
    </xf>
    <xf numFmtId="164" fontId="2" fillId="0" borderId="4" xfId="2" applyFont="1" applyFill="1" applyBorder="1" applyAlignment="1">
      <alignment horizontal="center" vertical="center"/>
    </xf>
    <xf numFmtId="164" fontId="2" fillId="0" borderId="3" xfId="2" quotePrefix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Comma [0]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Q5" sqref="Q5:Q6"/>
    </sheetView>
  </sheetViews>
  <sheetFormatPr defaultRowHeight="15" x14ac:dyDescent="0.25"/>
  <cols>
    <col min="1" max="1" width="4.28515625" bestFit="1" customWidth="1"/>
    <col min="2" max="2" width="12.7109375" bestFit="1" customWidth="1"/>
    <col min="3" max="3" width="11.140625" bestFit="1" customWidth="1"/>
    <col min="4" max="4" width="10.140625" bestFit="1" customWidth="1"/>
    <col min="5" max="5" width="23.42578125" bestFit="1" customWidth="1"/>
    <col min="9" max="9" width="9.5703125" bestFit="1" customWidth="1"/>
    <col min="10" max="12" width="9.42578125" bestFit="1" customWidth="1"/>
    <col min="13" max="13" width="11.28515625" bestFit="1" customWidth="1"/>
    <col min="17" max="17" width="14.42578125" bestFit="1" customWidth="1"/>
    <col min="18" max="18" width="14.28515625" bestFit="1" customWidth="1"/>
    <col min="19" max="19" width="21.85546875" customWidth="1"/>
    <col min="20" max="20" width="12.42578125" bestFit="1" customWidth="1"/>
    <col min="21" max="21" width="12.42578125" customWidth="1"/>
  </cols>
  <sheetData>
    <row r="1" spans="1:21" ht="28.5" x14ac:dyDescent="0.25">
      <c r="A1" s="54" t="s">
        <v>61</v>
      </c>
      <c r="B1" s="50" t="s">
        <v>60</v>
      </c>
      <c r="C1" s="50" t="s">
        <v>59</v>
      </c>
      <c r="D1" s="50" t="s">
        <v>58</v>
      </c>
      <c r="E1" s="50" t="s">
        <v>57</v>
      </c>
      <c r="F1" s="50" t="s">
        <v>56</v>
      </c>
      <c r="G1" s="50" t="s">
        <v>55</v>
      </c>
      <c r="H1" s="50" t="s">
        <v>54</v>
      </c>
      <c r="I1" s="53" t="s">
        <v>53</v>
      </c>
      <c r="J1" s="51" t="s">
        <v>52</v>
      </c>
      <c r="K1" s="51" t="s">
        <v>51</v>
      </c>
      <c r="L1" s="51" t="s">
        <v>50</v>
      </c>
      <c r="M1" s="52" t="s">
        <v>49</v>
      </c>
      <c r="N1" s="51" t="s">
        <v>48</v>
      </c>
      <c r="O1" s="51" t="s">
        <v>47</v>
      </c>
      <c r="P1" s="51" t="s">
        <v>46</v>
      </c>
      <c r="Q1" s="51" t="s">
        <v>45</v>
      </c>
      <c r="R1" s="51" t="s">
        <v>44</v>
      </c>
      <c r="S1" s="51" t="s">
        <v>43</v>
      </c>
      <c r="T1" s="50" t="s">
        <v>42</v>
      </c>
      <c r="U1" s="14" t="s">
        <v>41</v>
      </c>
    </row>
    <row r="2" spans="1:21" x14ac:dyDescent="0.25">
      <c r="A2" s="13">
        <v>1</v>
      </c>
      <c r="B2" s="12" t="s">
        <v>144</v>
      </c>
      <c r="C2" s="1" t="s">
        <v>6</v>
      </c>
      <c r="D2" s="7" t="s">
        <v>139</v>
      </c>
      <c r="E2" s="7" t="s">
        <v>62</v>
      </c>
      <c r="F2" s="1" t="s">
        <v>3</v>
      </c>
      <c r="G2" s="1" t="s">
        <v>87</v>
      </c>
      <c r="H2" s="1" t="s">
        <v>141</v>
      </c>
      <c r="I2" s="6">
        <v>44202</v>
      </c>
      <c r="J2" s="5">
        <v>1</v>
      </c>
      <c r="K2" s="11">
        <v>13</v>
      </c>
      <c r="L2" s="11">
        <v>14</v>
      </c>
      <c r="M2" s="4">
        <f>((L2*15200)+(L2*15200)*10%)+10000+(L2*130)</f>
        <v>245900</v>
      </c>
      <c r="N2" s="4">
        <f t="shared" ref="N2:N16" si="0">L2*1210</f>
        <v>16940</v>
      </c>
      <c r="O2" s="4">
        <f>((((L2*1280)+(L2*182)+(L2*400)+(L2*50)))*10%)+((((L2*1280)+(L2*182)+(L2*400)+(L2*50))))</f>
        <v>29444.799999999999</v>
      </c>
      <c r="P2" s="4">
        <f>L2*1100</f>
        <v>15400</v>
      </c>
      <c r="Q2" s="4">
        <f t="shared" ref="Q2:Q16" si="1">SUM(M2:P2)</f>
        <v>307684.8</v>
      </c>
      <c r="R2" s="90" t="s">
        <v>143</v>
      </c>
      <c r="S2" s="91"/>
      <c r="T2" s="49" t="s">
        <v>94</v>
      </c>
      <c r="U2" s="46"/>
    </row>
    <row r="3" spans="1:21" x14ac:dyDescent="0.25">
      <c r="A3" s="13">
        <v>2</v>
      </c>
      <c r="B3" s="65" t="s">
        <v>142</v>
      </c>
      <c r="C3" s="1" t="s">
        <v>6</v>
      </c>
      <c r="D3" s="48" t="s">
        <v>139</v>
      </c>
      <c r="E3" s="7" t="s">
        <v>138</v>
      </c>
      <c r="F3" s="1" t="s">
        <v>3</v>
      </c>
      <c r="G3" s="1" t="s">
        <v>87</v>
      </c>
      <c r="H3" s="1" t="s">
        <v>141</v>
      </c>
      <c r="I3" s="6">
        <v>44211</v>
      </c>
      <c r="J3" s="5">
        <v>2</v>
      </c>
      <c r="K3" s="11">
        <v>39</v>
      </c>
      <c r="L3" s="11">
        <v>39</v>
      </c>
      <c r="M3" s="4">
        <f>((L3*15200)+(L3*15200)*10%)+11000+(L3*200)</f>
        <v>670880</v>
      </c>
      <c r="N3" s="4">
        <f t="shared" si="0"/>
        <v>47190</v>
      </c>
      <c r="O3" s="4">
        <f>((((L3*1280)+(L3*182)+(L3*400)+(L3*50)))*10%)+((((L3*1280)+(L3*182)+(L3*400)+(L3*50))))</f>
        <v>82024.800000000003</v>
      </c>
      <c r="P3" s="4">
        <f>L3*1100</f>
        <v>42900</v>
      </c>
      <c r="Q3" s="4">
        <f t="shared" si="1"/>
        <v>842994.8</v>
      </c>
      <c r="R3" s="3">
        <v>2393500</v>
      </c>
      <c r="S3" s="47" t="s">
        <v>136</v>
      </c>
      <c r="T3" s="46" t="s">
        <v>135</v>
      </c>
      <c r="U3" s="46"/>
    </row>
    <row r="4" spans="1:21" x14ac:dyDescent="0.25">
      <c r="A4" s="13">
        <v>3</v>
      </c>
      <c r="B4" s="65" t="s">
        <v>140</v>
      </c>
      <c r="C4" s="1" t="s">
        <v>6</v>
      </c>
      <c r="D4" s="48" t="s">
        <v>139</v>
      </c>
      <c r="E4" s="7" t="s">
        <v>138</v>
      </c>
      <c r="F4" s="1" t="s">
        <v>3</v>
      </c>
      <c r="G4" s="1" t="s">
        <v>78</v>
      </c>
      <c r="H4" s="1" t="s">
        <v>137</v>
      </c>
      <c r="I4" s="6">
        <v>44212</v>
      </c>
      <c r="J4" s="5">
        <v>1</v>
      </c>
      <c r="K4" s="11">
        <v>21</v>
      </c>
      <c r="L4" s="11">
        <v>21</v>
      </c>
      <c r="M4" s="4">
        <f>((L4*6300)+(L4*6300)*10%)+11000+(L4*200)</f>
        <v>160730</v>
      </c>
      <c r="N4" s="4">
        <f t="shared" si="0"/>
        <v>25410</v>
      </c>
      <c r="O4" s="4">
        <f>((((L4*1280)+(L4*182)+(L4*400)+(L4*50)))*10%)+((((L4*1280)+(L4*182)+(L4*400)+(L4*50))))</f>
        <v>44167.199999999997</v>
      </c>
      <c r="P4" s="4">
        <f>L4*1100</f>
        <v>23100</v>
      </c>
      <c r="Q4" s="4">
        <f t="shared" si="1"/>
        <v>253407.2</v>
      </c>
      <c r="R4" s="3">
        <v>2393500</v>
      </c>
      <c r="S4" s="47" t="s">
        <v>136</v>
      </c>
      <c r="T4" s="46" t="s">
        <v>135</v>
      </c>
      <c r="U4" s="46"/>
    </row>
    <row r="5" spans="1:21" x14ac:dyDescent="0.25">
      <c r="A5" s="9">
        <v>4</v>
      </c>
      <c r="B5" s="45" t="s">
        <v>134</v>
      </c>
      <c r="C5" s="1" t="s">
        <v>102</v>
      </c>
      <c r="D5" s="7" t="s">
        <v>75</v>
      </c>
      <c r="E5" s="7" t="s">
        <v>62</v>
      </c>
      <c r="F5" s="33" t="s">
        <v>3</v>
      </c>
      <c r="G5" s="33" t="s">
        <v>100</v>
      </c>
      <c r="H5" s="33" t="s">
        <v>133</v>
      </c>
      <c r="I5" s="6">
        <v>44216</v>
      </c>
      <c r="J5" s="44">
        <v>4</v>
      </c>
      <c r="K5" s="44">
        <v>52</v>
      </c>
      <c r="L5" s="44">
        <v>56</v>
      </c>
      <c r="M5" s="4">
        <f>((L5*15000)+(L5*15000)*10%)+11000+(0*200)</f>
        <v>935000</v>
      </c>
      <c r="N5" s="4">
        <f t="shared" si="0"/>
        <v>67760</v>
      </c>
      <c r="O5" s="4">
        <f>((((L5*1280)+(K5*182)+(K5*400)))*10%)+((((L5*1280)+(K5*182)+(K5*400))))+5000</f>
        <v>117138.4</v>
      </c>
      <c r="P5" s="4">
        <f>L5*500</f>
        <v>28000</v>
      </c>
      <c r="Q5" s="4">
        <f t="shared" si="1"/>
        <v>1147898.3999999999</v>
      </c>
      <c r="R5" s="92">
        <v>1648815</v>
      </c>
      <c r="S5" s="94" t="s">
        <v>132</v>
      </c>
      <c r="T5" s="92" t="s">
        <v>66</v>
      </c>
      <c r="U5" s="23"/>
    </row>
    <row r="6" spans="1:21" x14ac:dyDescent="0.25">
      <c r="A6" s="43">
        <v>5</v>
      </c>
      <c r="B6" s="42" t="s">
        <v>131</v>
      </c>
      <c r="C6" s="41" t="s">
        <v>102</v>
      </c>
      <c r="D6" s="40" t="s">
        <v>75</v>
      </c>
      <c r="E6" s="40" t="s">
        <v>62</v>
      </c>
      <c r="F6" s="33" t="s">
        <v>3</v>
      </c>
      <c r="G6" s="39" t="s">
        <v>100</v>
      </c>
      <c r="H6" s="38" t="s">
        <v>130</v>
      </c>
      <c r="I6" s="37">
        <v>44217</v>
      </c>
      <c r="J6" s="36">
        <v>3</v>
      </c>
      <c r="K6" s="36">
        <v>22</v>
      </c>
      <c r="L6" s="36">
        <v>24</v>
      </c>
      <c r="M6" s="35">
        <f>((L6*15000)+(L6*15000)*10%)+11000+(0*200)</f>
        <v>407000</v>
      </c>
      <c r="N6" s="35">
        <f t="shared" si="0"/>
        <v>29040</v>
      </c>
      <c r="O6" s="35">
        <f>((((L6*1280)+(K6*182)+(K6*400)))*10%)+((((L6*1280)+(K6*182)+(K6*400))))+5000</f>
        <v>52876.4</v>
      </c>
      <c r="P6" s="35">
        <f>L6*500</f>
        <v>12000</v>
      </c>
      <c r="Q6" s="35">
        <f t="shared" si="1"/>
        <v>500916.4</v>
      </c>
      <c r="R6" s="93"/>
      <c r="S6" s="93"/>
      <c r="T6" s="93"/>
      <c r="U6" s="23"/>
    </row>
    <row r="7" spans="1:21" x14ac:dyDescent="0.25">
      <c r="A7" s="9">
        <v>6</v>
      </c>
      <c r="B7" s="12" t="s">
        <v>129</v>
      </c>
      <c r="C7" s="12" t="s">
        <v>6</v>
      </c>
      <c r="D7" s="12" t="s">
        <v>106</v>
      </c>
      <c r="E7" s="12" t="s">
        <v>112</v>
      </c>
      <c r="F7" s="33" t="s">
        <v>3</v>
      </c>
      <c r="G7" s="32" t="s">
        <v>116</v>
      </c>
      <c r="H7" s="9" t="s">
        <v>128</v>
      </c>
      <c r="I7" s="6">
        <v>44227</v>
      </c>
      <c r="J7" s="12">
        <v>8</v>
      </c>
      <c r="K7" s="12">
        <v>22</v>
      </c>
      <c r="L7" s="12">
        <v>22</v>
      </c>
      <c r="M7" s="4">
        <f>((L7*184500)+(L7*184500)*10%)+11000+(0*130)</f>
        <v>4475900</v>
      </c>
      <c r="N7" s="4">
        <f t="shared" si="0"/>
        <v>26620</v>
      </c>
      <c r="O7" s="4">
        <f>(((((L7*1280)+(L7*182)+(L7*400)+(L7*50)))+100000)*10%)+(((((L7*1280)+(L7*182)+(L7*400)+(L7*50))))+100000)</f>
        <v>156270.39999999999</v>
      </c>
      <c r="P7" s="4">
        <f t="shared" ref="P7:P16" si="2">L7*1100</f>
        <v>24200</v>
      </c>
      <c r="Q7" s="4">
        <f t="shared" si="1"/>
        <v>4682990.4000000004</v>
      </c>
      <c r="R7" s="34">
        <v>204544493</v>
      </c>
      <c r="S7" s="60" t="s">
        <v>167</v>
      </c>
      <c r="T7" s="23" t="s">
        <v>135</v>
      </c>
      <c r="U7" s="23"/>
    </row>
    <row r="8" spans="1:21" x14ac:dyDescent="0.25">
      <c r="A8" s="9">
        <v>7</v>
      </c>
      <c r="B8" s="12" t="s">
        <v>127</v>
      </c>
      <c r="C8" s="12" t="s">
        <v>6</v>
      </c>
      <c r="D8" s="12" t="s">
        <v>106</v>
      </c>
      <c r="E8" s="12" t="s">
        <v>112</v>
      </c>
      <c r="F8" s="33" t="s">
        <v>3</v>
      </c>
      <c r="G8" s="32" t="s">
        <v>126</v>
      </c>
      <c r="H8" s="9" t="s">
        <v>125</v>
      </c>
      <c r="I8" s="6">
        <v>44227</v>
      </c>
      <c r="J8" s="12">
        <v>5</v>
      </c>
      <c r="K8" s="12">
        <v>15</v>
      </c>
      <c r="L8" s="12">
        <v>15</v>
      </c>
      <c r="M8" s="4">
        <f>((L8*108000)+(L8*108000)*10%)+11000+(K8*130)</f>
        <v>1794950</v>
      </c>
      <c r="N8" s="4">
        <f t="shared" si="0"/>
        <v>18150</v>
      </c>
      <c r="O8" s="4">
        <f>(((((L8*1280)+(L8*182)+(L8*400)+(L8*50)))+100000)*10%)+(((((L8*1280)+(L8*182)+(L8*400)+(L8*50))))+100000)</f>
        <v>141548</v>
      </c>
      <c r="P8" s="4">
        <f t="shared" si="2"/>
        <v>16500</v>
      </c>
      <c r="Q8" s="4">
        <f t="shared" si="1"/>
        <v>1971148</v>
      </c>
      <c r="R8" s="59">
        <v>204544493</v>
      </c>
      <c r="S8" s="60" t="s">
        <v>167</v>
      </c>
      <c r="T8" s="23" t="s">
        <v>135</v>
      </c>
      <c r="U8" s="23"/>
    </row>
    <row r="9" spans="1:21" x14ac:dyDescent="0.25">
      <c r="A9" s="9">
        <v>8</v>
      </c>
      <c r="B9" s="12" t="s">
        <v>124</v>
      </c>
      <c r="C9" s="12" t="s">
        <v>6</v>
      </c>
      <c r="D9" s="12" t="s">
        <v>106</v>
      </c>
      <c r="E9" s="12" t="s">
        <v>112</v>
      </c>
      <c r="F9" s="33" t="s">
        <v>3</v>
      </c>
      <c r="G9" s="32" t="s">
        <v>123</v>
      </c>
      <c r="H9" s="9" t="s">
        <v>122</v>
      </c>
      <c r="I9" s="6">
        <v>44228</v>
      </c>
      <c r="J9" s="12">
        <v>3</v>
      </c>
      <c r="K9" s="12">
        <v>8</v>
      </c>
      <c r="L9" s="12">
        <v>10</v>
      </c>
      <c r="M9" s="4">
        <f>((L9*109500)+(L9*109500)*10%)+11000+(K9*130)</f>
        <v>1216540</v>
      </c>
      <c r="N9" s="4">
        <f t="shared" si="0"/>
        <v>12100</v>
      </c>
      <c r="O9" s="4">
        <f>(((((L9*1280)+(L9*182)+(L9*400)+(L9*50)))+100000)*10%)+(((((L9*1280)+(L9*182)+(L9*400)+(L9*50))))+100000)</f>
        <v>131032</v>
      </c>
      <c r="P9" s="4">
        <f t="shared" si="2"/>
        <v>11000</v>
      </c>
      <c r="Q9" s="4">
        <f t="shared" si="1"/>
        <v>1370672</v>
      </c>
      <c r="R9" s="59">
        <v>204544493</v>
      </c>
      <c r="S9" s="60" t="s">
        <v>167</v>
      </c>
      <c r="T9" s="23" t="s">
        <v>135</v>
      </c>
      <c r="U9" s="23"/>
    </row>
    <row r="10" spans="1:21" x14ac:dyDescent="0.25">
      <c r="A10" s="9">
        <v>9</v>
      </c>
      <c r="B10" s="12" t="s">
        <v>121</v>
      </c>
      <c r="C10" s="12" t="s">
        <v>6</v>
      </c>
      <c r="D10" s="12" t="s">
        <v>106</v>
      </c>
      <c r="E10" s="12" t="s">
        <v>112</v>
      </c>
      <c r="F10" s="33" t="s">
        <v>3</v>
      </c>
      <c r="G10" s="32" t="s">
        <v>120</v>
      </c>
      <c r="H10" s="9" t="s">
        <v>119</v>
      </c>
      <c r="I10" s="6">
        <v>44228</v>
      </c>
      <c r="J10" s="12">
        <v>4</v>
      </c>
      <c r="K10" s="12">
        <v>12</v>
      </c>
      <c r="L10" s="12">
        <v>12</v>
      </c>
      <c r="M10" s="4">
        <f>((L10*131100)+(L10*131100)*10%)+11000+(K10*130)</f>
        <v>1743080</v>
      </c>
      <c r="N10" s="4">
        <f t="shared" si="0"/>
        <v>14520</v>
      </c>
      <c r="O10" s="4">
        <f>(((((L10*1280)+(L10*182)+(L10*400)+(L10*50)))+100000)*10%)+(((((L10*1280)+(L10*182)+(L10*400)+(L10*50))))+100000)</f>
        <v>135238.39999999999</v>
      </c>
      <c r="P10" s="4">
        <f t="shared" si="2"/>
        <v>13200</v>
      </c>
      <c r="Q10" s="4">
        <f t="shared" si="1"/>
        <v>1906038.4</v>
      </c>
      <c r="R10" s="59">
        <v>204544493</v>
      </c>
      <c r="S10" s="60" t="s">
        <v>167</v>
      </c>
      <c r="T10" s="23" t="s">
        <v>135</v>
      </c>
      <c r="U10" s="23"/>
    </row>
    <row r="11" spans="1:21" x14ac:dyDescent="0.25">
      <c r="A11" s="9">
        <v>10</v>
      </c>
      <c r="B11" s="12" t="s">
        <v>118</v>
      </c>
      <c r="C11" s="12" t="s">
        <v>6</v>
      </c>
      <c r="D11" s="12" t="s">
        <v>106</v>
      </c>
      <c r="E11" s="12" t="s">
        <v>112</v>
      </c>
      <c r="F11" s="33" t="s">
        <v>3</v>
      </c>
      <c r="G11" s="32" t="s">
        <v>91</v>
      </c>
      <c r="H11" s="9" t="s">
        <v>90</v>
      </c>
      <c r="I11" s="6">
        <v>44228</v>
      </c>
      <c r="J11" s="12">
        <v>4</v>
      </c>
      <c r="K11" s="12">
        <v>11</v>
      </c>
      <c r="L11" s="12">
        <v>11</v>
      </c>
      <c r="M11" s="4">
        <f>((L11*112500)+(L11*112500)*10%)+11000+(0*130)</f>
        <v>1372250</v>
      </c>
      <c r="N11" s="4">
        <f t="shared" si="0"/>
        <v>13310</v>
      </c>
      <c r="O11" s="4">
        <f>(((((L11*1280)+(L11*182)+(L11*400)+(L11*50)))+100000)*10%)+(((((L11*1280)+(L11*182)+(L11*400)+(L11*50))))+100000)</f>
        <v>133135.20000000001</v>
      </c>
      <c r="P11" s="4">
        <f t="shared" si="2"/>
        <v>12100</v>
      </c>
      <c r="Q11" s="4">
        <f t="shared" si="1"/>
        <v>1530795.2</v>
      </c>
      <c r="R11" s="59">
        <v>204544493</v>
      </c>
      <c r="S11" s="60" t="s">
        <v>167</v>
      </c>
      <c r="T11" s="23" t="s">
        <v>135</v>
      </c>
      <c r="U11" s="23"/>
    </row>
    <row r="12" spans="1:21" x14ac:dyDescent="0.25">
      <c r="A12" s="9">
        <v>11</v>
      </c>
      <c r="B12" s="12" t="s">
        <v>117</v>
      </c>
      <c r="C12" s="12" t="s">
        <v>6</v>
      </c>
      <c r="D12" s="12" t="s">
        <v>106</v>
      </c>
      <c r="E12" s="12" t="s">
        <v>62</v>
      </c>
      <c r="F12" s="33" t="s">
        <v>3</v>
      </c>
      <c r="G12" s="32" t="s">
        <v>116</v>
      </c>
      <c r="H12" s="9" t="s">
        <v>115</v>
      </c>
      <c r="I12" s="6">
        <v>44228</v>
      </c>
      <c r="J12" s="12">
        <v>1</v>
      </c>
      <c r="K12" s="12">
        <v>13</v>
      </c>
      <c r="L12" s="12">
        <v>13</v>
      </c>
      <c r="M12" s="4">
        <f>((L12*61500)+(L12*61500)*10%)+11000+(0*130)</f>
        <v>890450</v>
      </c>
      <c r="N12" s="4">
        <f t="shared" si="0"/>
        <v>15730</v>
      </c>
      <c r="O12" s="4">
        <f>(((((L12*1280)+(L12*182)+(L12*400)+(L12*50)))+0)*10%)+(((((L12*1280)+(L12*182)+(L12*400)+(L12*50))))+0)</f>
        <v>27341.599999999999</v>
      </c>
      <c r="P12" s="4">
        <f t="shared" si="2"/>
        <v>14300</v>
      </c>
      <c r="Q12" s="4">
        <f t="shared" si="1"/>
        <v>947821.6</v>
      </c>
      <c r="R12" s="59">
        <v>204544493</v>
      </c>
      <c r="S12" s="60" t="s">
        <v>167</v>
      </c>
      <c r="T12" s="23" t="s">
        <v>135</v>
      </c>
      <c r="U12" s="23"/>
    </row>
    <row r="13" spans="1:21" x14ac:dyDescent="0.25">
      <c r="A13" s="9">
        <v>12</v>
      </c>
      <c r="B13" s="12" t="s">
        <v>114</v>
      </c>
      <c r="C13" s="12" t="s">
        <v>6</v>
      </c>
      <c r="D13" s="12" t="s">
        <v>106</v>
      </c>
      <c r="E13" s="12" t="s">
        <v>112</v>
      </c>
      <c r="F13" s="33" t="s">
        <v>3</v>
      </c>
      <c r="G13" s="32" t="s">
        <v>73</v>
      </c>
      <c r="H13" s="9" t="s">
        <v>72</v>
      </c>
      <c r="I13" s="6">
        <v>44228</v>
      </c>
      <c r="J13" s="12">
        <v>1</v>
      </c>
      <c r="K13" s="12">
        <v>3</v>
      </c>
      <c r="L13" s="12">
        <v>10</v>
      </c>
      <c r="M13" s="4">
        <f>((L13*73200)+(L13*73200)*10%)+11000+(K13*130)</f>
        <v>816590</v>
      </c>
      <c r="N13" s="4">
        <f t="shared" si="0"/>
        <v>12100</v>
      </c>
      <c r="O13" s="4">
        <f>(((((L13*1280)+(L13*182)+(L13*400)+(L13*50)))+100000)*10%)+(((((L13*1280)+(L13*182)+(L13*400)+(L13*50))))+100000)</f>
        <v>131032</v>
      </c>
      <c r="P13" s="4">
        <f t="shared" si="2"/>
        <v>11000</v>
      </c>
      <c r="Q13" s="4">
        <f t="shared" si="1"/>
        <v>970722</v>
      </c>
      <c r="R13" s="59">
        <v>204544493</v>
      </c>
      <c r="S13" s="60" t="s">
        <v>167</v>
      </c>
      <c r="T13" s="23" t="s">
        <v>135</v>
      </c>
      <c r="U13" s="23"/>
    </row>
    <row r="14" spans="1:21" x14ac:dyDescent="0.25">
      <c r="A14" s="9">
        <v>13</v>
      </c>
      <c r="B14" s="12" t="s">
        <v>113</v>
      </c>
      <c r="C14" s="12" t="s">
        <v>6</v>
      </c>
      <c r="D14" s="12" t="s">
        <v>106</v>
      </c>
      <c r="E14" s="12" t="s">
        <v>112</v>
      </c>
      <c r="F14" s="33" t="s">
        <v>3</v>
      </c>
      <c r="G14" s="32" t="s">
        <v>109</v>
      </c>
      <c r="H14" s="9" t="s">
        <v>108</v>
      </c>
      <c r="I14" s="6">
        <v>44228</v>
      </c>
      <c r="J14" s="12">
        <v>4</v>
      </c>
      <c r="K14" s="12">
        <v>12</v>
      </c>
      <c r="L14" s="12">
        <v>14.5</v>
      </c>
      <c r="M14" s="4">
        <f>((L14*177900)+(L14*177900)*10%)+11000+(0*130)</f>
        <v>2848505</v>
      </c>
      <c r="N14" s="4">
        <f t="shared" si="0"/>
        <v>17545</v>
      </c>
      <c r="O14" s="4">
        <f>(((((L14*1280)+(L14*182)+(L14*400)+(L14*50)))+100000)*10%)+(((((L14*1280)+(L14*182)+(L14*400)+(L14*50))))+100000)</f>
        <v>140496.4</v>
      </c>
      <c r="P14" s="4">
        <f t="shared" si="2"/>
        <v>15950</v>
      </c>
      <c r="Q14" s="4">
        <f t="shared" si="1"/>
        <v>3022496.4</v>
      </c>
      <c r="R14" s="59">
        <v>204544493</v>
      </c>
      <c r="S14" s="60" t="s">
        <v>167</v>
      </c>
      <c r="T14" s="23" t="s">
        <v>135</v>
      </c>
      <c r="U14" s="23"/>
    </row>
    <row r="15" spans="1:21" x14ac:dyDescent="0.25">
      <c r="A15" s="9">
        <v>14</v>
      </c>
      <c r="B15" s="12" t="s">
        <v>111</v>
      </c>
      <c r="C15" s="12" t="s">
        <v>6</v>
      </c>
      <c r="D15" s="12" t="s">
        <v>106</v>
      </c>
      <c r="E15" s="12" t="s">
        <v>110</v>
      </c>
      <c r="F15" s="33" t="s">
        <v>3</v>
      </c>
      <c r="G15" s="32" t="s">
        <v>109</v>
      </c>
      <c r="H15" s="9" t="s">
        <v>108</v>
      </c>
      <c r="I15" s="6">
        <v>44228</v>
      </c>
      <c r="J15" s="12">
        <v>1</v>
      </c>
      <c r="K15" s="12">
        <v>25</v>
      </c>
      <c r="L15" s="12">
        <v>25</v>
      </c>
      <c r="M15" s="4">
        <f>((L15*59300)+(L15*59300)*10%)+11000+(0*130)</f>
        <v>1641750</v>
      </c>
      <c r="N15" s="4">
        <f t="shared" si="0"/>
        <v>30250</v>
      </c>
      <c r="O15" s="4">
        <f>(((((L15*1280)+(L15*182)+(L15*400)+(L15*50)))+0)*10%)+(((((L15*1280)+(L15*182)+(L15*400)+(L15*50))))+0)</f>
        <v>52580</v>
      </c>
      <c r="P15" s="4">
        <f t="shared" si="2"/>
        <v>27500</v>
      </c>
      <c r="Q15" s="4">
        <f t="shared" si="1"/>
        <v>1752080</v>
      </c>
      <c r="R15" s="59">
        <v>204544493</v>
      </c>
      <c r="S15" s="60" t="s">
        <v>167</v>
      </c>
      <c r="T15" s="23" t="s">
        <v>135</v>
      </c>
      <c r="U15" s="23"/>
    </row>
    <row r="16" spans="1:21" x14ac:dyDescent="0.25">
      <c r="A16" s="9">
        <v>15</v>
      </c>
      <c r="B16" s="12" t="s">
        <v>107</v>
      </c>
      <c r="C16" s="12" t="s">
        <v>6</v>
      </c>
      <c r="D16" s="12" t="s">
        <v>106</v>
      </c>
      <c r="E16" s="12" t="s">
        <v>105</v>
      </c>
      <c r="F16" s="33" t="s">
        <v>3</v>
      </c>
      <c r="G16" s="32" t="s">
        <v>73</v>
      </c>
      <c r="H16" s="9" t="s">
        <v>104</v>
      </c>
      <c r="I16" s="6">
        <v>44228</v>
      </c>
      <c r="J16" s="12">
        <v>1</v>
      </c>
      <c r="K16" s="12">
        <v>13</v>
      </c>
      <c r="L16" s="12">
        <v>14.5</v>
      </c>
      <c r="M16" s="4">
        <f>((L16*24400)+(L16*24400)*10%)+11000+(0*130)</f>
        <v>400180</v>
      </c>
      <c r="N16" s="4">
        <f t="shared" si="0"/>
        <v>17545</v>
      </c>
      <c r="O16" s="4">
        <f>(((((L16*1280)+(L16*182)+(L16*400)+(L16*50)))+0)*10%)+(((((L16*1280)+(L16*182)+(L16*400)+(L16*50))))+0)</f>
        <v>30496.400000000001</v>
      </c>
      <c r="P16" s="4">
        <f t="shared" si="2"/>
        <v>15950</v>
      </c>
      <c r="Q16" s="4">
        <f t="shared" si="1"/>
        <v>464171.4</v>
      </c>
      <c r="R16" s="23">
        <v>204544493</v>
      </c>
      <c r="S16" s="47" t="s">
        <v>167</v>
      </c>
      <c r="T16" s="23" t="s">
        <v>135</v>
      </c>
      <c r="U16" s="23"/>
    </row>
    <row r="17" spans="12:17" x14ac:dyDescent="0.25">
      <c r="L17">
        <f>SUBTOTAL(9,L2:L16)</f>
        <v>301</v>
      </c>
      <c r="M17" s="18"/>
      <c r="Q17" s="18"/>
    </row>
    <row r="21" spans="12:17" s="25" customFormat="1" x14ac:dyDescent="0.25"/>
    <row r="36" spans="17:21" x14ac:dyDescent="0.25">
      <c r="Q36" s="18"/>
      <c r="R36" s="18"/>
      <c r="S36" s="18"/>
      <c r="T36" s="18"/>
      <c r="U36" s="18"/>
    </row>
  </sheetData>
  <autoFilter ref="A1:U16"/>
  <mergeCells count="4">
    <mergeCell ref="R2:S2"/>
    <mergeCell ref="R5:R6"/>
    <mergeCell ref="S5:S6"/>
    <mergeCell ref="T5:T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12.7109375" bestFit="1" customWidth="1"/>
    <col min="5" max="5" width="12" bestFit="1" customWidth="1"/>
    <col min="9" max="9" width="9.5703125" bestFit="1" customWidth="1"/>
    <col min="13" max="13" width="10.28515625" bestFit="1" customWidth="1"/>
    <col min="17" max="17" width="11.5703125" bestFit="1" customWidth="1"/>
    <col min="18" max="18" width="12.42578125" bestFit="1" customWidth="1"/>
    <col min="19" max="19" width="12.7109375" bestFit="1" customWidth="1"/>
    <col min="20" max="20" width="12.42578125" bestFit="1" customWidth="1"/>
    <col min="21" max="21" width="12.85546875" customWidth="1"/>
  </cols>
  <sheetData>
    <row r="1" spans="1:22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159</v>
      </c>
      <c r="V1" s="58" t="s">
        <v>160</v>
      </c>
    </row>
    <row r="2" spans="1:22" x14ac:dyDescent="0.25">
      <c r="A2" s="31">
        <v>1</v>
      </c>
      <c r="B2" s="26" t="s">
        <v>103</v>
      </c>
      <c r="C2" s="26" t="s">
        <v>102</v>
      </c>
      <c r="D2" s="30" t="s">
        <v>101</v>
      </c>
      <c r="E2" s="30" t="s">
        <v>62</v>
      </c>
      <c r="F2" s="26" t="s">
        <v>3</v>
      </c>
      <c r="G2" s="26" t="s">
        <v>100</v>
      </c>
      <c r="H2" s="26" t="s">
        <v>99</v>
      </c>
      <c r="I2" s="29">
        <v>44232</v>
      </c>
      <c r="J2" s="28">
        <v>1</v>
      </c>
      <c r="K2" s="28">
        <v>8</v>
      </c>
      <c r="L2" s="28">
        <v>11</v>
      </c>
      <c r="M2" s="4">
        <f>((L2*14700)+(L2*14700)*10%)+11000+(0*200)</f>
        <v>188870</v>
      </c>
      <c r="N2" s="4">
        <f t="shared" ref="N2:N15" si="0">L2*1210</f>
        <v>13310</v>
      </c>
      <c r="O2" s="4">
        <f>(2048.2*L2)+5500</f>
        <v>28030.199999999997</v>
      </c>
      <c r="P2" s="4">
        <f>L2*500</f>
        <v>5500</v>
      </c>
      <c r="Q2" s="4">
        <f t="shared" ref="Q2:Q15" si="1">SUM(M2:P2)</f>
        <v>235710.2</v>
      </c>
      <c r="R2" s="28">
        <v>235710</v>
      </c>
      <c r="S2" s="27" t="s">
        <v>98</v>
      </c>
      <c r="T2" s="26" t="s">
        <v>66</v>
      </c>
      <c r="U2" s="26"/>
      <c r="V2" s="2"/>
    </row>
    <row r="3" spans="1:22" x14ac:dyDescent="0.25">
      <c r="A3" s="13">
        <v>2</v>
      </c>
      <c r="B3" s="12" t="s">
        <v>97</v>
      </c>
      <c r="C3" s="1" t="s">
        <v>6</v>
      </c>
      <c r="D3" s="7" t="s">
        <v>96</v>
      </c>
      <c r="E3" s="7" t="s">
        <v>74</v>
      </c>
      <c r="F3" s="1" t="s">
        <v>3</v>
      </c>
      <c r="G3" s="1" t="s">
        <v>73</v>
      </c>
      <c r="H3" s="1" t="s">
        <v>72</v>
      </c>
      <c r="I3" s="6">
        <v>44231</v>
      </c>
      <c r="J3" s="5">
        <v>1</v>
      </c>
      <c r="K3" s="11">
        <v>19</v>
      </c>
      <c r="L3" s="11">
        <v>19</v>
      </c>
      <c r="M3" s="4">
        <f>((L3*73200)+(L3*73200)*10%)+11000+(L3*130)</f>
        <v>1543350</v>
      </c>
      <c r="N3" s="4">
        <f t="shared" si="0"/>
        <v>22990</v>
      </c>
      <c r="O3" s="4">
        <f>(((((L3*1280)+(L3*182)+(L3*400)+(L3*50)))+100000)*10%)+(((((L3*1280)+(L3*182)+(L3*400)+(L3*50))))+100000)</f>
        <v>149960.79999999999</v>
      </c>
      <c r="P3" s="4">
        <f t="shared" ref="P3:P10" si="2">L3*1100</f>
        <v>20900</v>
      </c>
      <c r="Q3" s="4">
        <f t="shared" si="1"/>
        <v>1737200.8</v>
      </c>
      <c r="R3" s="3">
        <v>23734250</v>
      </c>
      <c r="S3" s="24" t="s">
        <v>95</v>
      </c>
      <c r="T3" s="3" t="s">
        <v>94</v>
      </c>
      <c r="U3" s="3"/>
      <c r="V3" s="2"/>
    </row>
    <row r="4" spans="1:22" x14ac:dyDescent="0.25">
      <c r="A4" s="31">
        <v>3</v>
      </c>
      <c r="B4" s="12" t="s">
        <v>93</v>
      </c>
      <c r="C4" s="12" t="s">
        <v>6</v>
      </c>
      <c r="D4" s="12" t="s">
        <v>92</v>
      </c>
      <c r="E4" s="12" t="s">
        <v>62</v>
      </c>
      <c r="F4" s="9" t="s">
        <v>3</v>
      </c>
      <c r="G4" s="9" t="s">
        <v>91</v>
      </c>
      <c r="H4" s="12" t="s">
        <v>90</v>
      </c>
      <c r="I4" s="6">
        <v>44233</v>
      </c>
      <c r="J4" s="12">
        <v>1</v>
      </c>
      <c r="K4" s="12">
        <v>23</v>
      </c>
      <c r="L4" s="12">
        <v>23</v>
      </c>
      <c r="M4" s="4">
        <f>((L4*37500)+(L4*37500)*10%)+11000+(0*130)</f>
        <v>959750</v>
      </c>
      <c r="N4" s="4">
        <f t="shared" si="0"/>
        <v>27830</v>
      </c>
      <c r="O4" s="4">
        <f t="shared" ref="O4:O10" si="3">(((((L4*1280)+(L4*182)+(L4*400)+(L4*50)))+0)*10%)+(((((L4*1280)+(L4*182)+(L4*400)+(L4*50))))+0)</f>
        <v>48373.599999999999</v>
      </c>
      <c r="P4" s="4">
        <f t="shared" si="2"/>
        <v>25300</v>
      </c>
      <c r="Q4" s="4">
        <f t="shared" si="1"/>
        <v>1061253.6000000001</v>
      </c>
      <c r="R4" s="23">
        <v>1061254</v>
      </c>
      <c r="S4" s="24" t="s">
        <v>89</v>
      </c>
      <c r="T4" s="23" t="s">
        <v>66</v>
      </c>
      <c r="U4" s="23"/>
      <c r="V4" s="2"/>
    </row>
    <row r="5" spans="1:22" x14ac:dyDescent="0.25">
      <c r="A5" s="13">
        <v>4</v>
      </c>
      <c r="B5" s="9" t="s">
        <v>88</v>
      </c>
      <c r="C5" s="8" t="s">
        <v>6</v>
      </c>
      <c r="D5" s="8" t="s">
        <v>5</v>
      </c>
      <c r="E5" s="8" t="s">
        <v>62</v>
      </c>
      <c r="F5" s="9" t="s">
        <v>3</v>
      </c>
      <c r="G5" s="9" t="s">
        <v>87</v>
      </c>
      <c r="H5" s="9" t="s">
        <v>86</v>
      </c>
      <c r="I5" s="6">
        <v>44237</v>
      </c>
      <c r="J5" s="10">
        <v>1</v>
      </c>
      <c r="K5" s="10">
        <v>3</v>
      </c>
      <c r="L5" s="10">
        <v>11.5</v>
      </c>
      <c r="M5" s="4">
        <f>((L5*15200)+(L5*15200)*10%)+11000+(0*130)</f>
        <v>203280</v>
      </c>
      <c r="N5" s="4">
        <f t="shared" si="0"/>
        <v>13915</v>
      </c>
      <c r="O5" s="4">
        <f t="shared" si="3"/>
        <v>24186.799999999999</v>
      </c>
      <c r="P5" s="4">
        <f t="shared" si="2"/>
        <v>12650</v>
      </c>
      <c r="Q5" s="4">
        <f t="shared" si="1"/>
        <v>254031.8</v>
      </c>
      <c r="R5" s="3">
        <v>4431100</v>
      </c>
      <c r="S5" s="22" t="s">
        <v>67</v>
      </c>
      <c r="T5" s="3" t="s">
        <v>135</v>
      </c>
      <c r="U5" s="22" t="s">
        <v>170</v>
      </c>
      <c r="V5" s="2" t="s">
        <v>162</v>
      </c>
    </row>
    <row r="6" spans="1:22" x14ac:dyDescent="0.25">
      <c r="A6" s="31">
        <v>5</v>
      </c>
      <c r="B6" s="9" t="s">
        <v>85</v>
      </c>
      <c r="C6" s="8" t="s">
        <v>6</v>
      </c>
      <c r="D6" s="8" t="s">
        <v>5</v>
      </c>
      <c r="E6" s="8" t="s">
        <v>62</v>
      </c>
      <c r="F6" s="9" t="s">
        <v>3</v>
      </c>
      <c r="G6" s="9" t="s">
        <v>70</v>
      </c>
      <c r="H6" s="9" t="s">
        <v>82</v>
      </c>
      <c r="I6" s="6">
        <v>44238</v>
      </c>
      <c r="J6" s="10">
        <v>1</v>
      </c>
      <c r="K6" s="10">
        <v>25</v>
      </c>
      <c r="L6" s="10">
        <v>25</v>
      </c>
      <c r="M6" s="4">
        <f>((L6*10200)+(L6*10200)*10%)+11000+(K6*200)</f>
        <v>296500</v>
      </c>
      <c r="N6" s="4">
        <f t="shared" si="0"/>
        <v>30250</v>
      </c>
      <c r="O6" s="4">
        <f t="shared" si="3"/>
        <v>52580</v>
      </c>
      <c r="P6" s="4">
        <f t="shared" si="2"/>
        <v>27500</v>
      </c>
      <c r="Q6" s="4">
        <f t="shared" si="1"/>
        <v>406830</v>
      </c>
      <c r="R6" s="3">
        <v>4431100</v>
      </c>
      <c r="S6" s="22" t="s">
        <v>67</v>
      </c>
      <c r="T6" s="3" t="s">
        <v>135</v>
      </c>
      <c r="U6" s="22" t="s">
        <v>171</v>
      </c>
      <c r="V6" s="2" t="s">
        <v>199</v>
      </c>
    </row>
    <row r="7" spans="1:22" x14ac:dyDescent="0.25">
      <c r="A7" s="13">
        <v>6</v>
      </c>
      <c r="B7" s="9" t="s">
        <v>84</v>
      </c>
      <c r="C7" s="8" t="s">
        <v>6</v>
      </c>
      <c r="D7" s="8" t="s">
        <v>5</v>
      </c>
      <c r="E7" s="8" t="s">
        <v>62</v>
      </c>
      <c r="F7" s="9" t="s">
        <v>3</v>
      </c>
      <c r="G7" s="9" t="s">
        <v>78</v>
      </c>
      <c r="H7" s="9" t="s">
        <v>77</v>
      </c>
      <c r="I7" s="6">
        <v>44239</v>
      </c>
      <c r="J7" s="10">
        <v>1</v>
      </c>
      <c r="K7" s="10">
        <v>10</v>
      </c>
      <c r="L7" s="10">
        <v>10.5</v>
      </c>
      <c r="M7" s="4">
        <f>((L7*6300)+(L7*6300)*10%)+11000+(K7*200)</f>
        <v>85765</v>
      </c>
      <c r="N7" s="4">
        <f t="shared" si="0"/>
        <v>12705</v>
      </c>
      <c r="O7" s="4">
        <f t="shared" si="3"/>
        <v>22083.599999999999</v>
      </c>
      <c r="P7" s="4">
        <f t="shared" si="2"/>
        <v>11550</v>
      </c>
      <c r="Q7" s="4">
        <f t="shared" si="1"/>
        <v>132103.6</v>
      </c>
      <c r="R7" s="3">
        <v>4431100</v>
      </c>
      <c r="S7" s="22" t="s">
        <v>67</v>
      </c>
      <c r="T7" s="3" t="s">
        <v>135</v>
      </c>
      <c r="U7" s="22" t="s">
        <v>172</v>
      </c>
      <c r="V7" s="2" t="s">
        <v>200</v>
      </c>
    </row>
    <row r="8" spans="1:22" x14ac:dyDescent="0.25">
      <c r="A8" s="31">
        <v>7</v>
      </c>
      <c r="B8" s="9" t="s">
        <v>83</v>
      </c>
      <c r="C8" s="8" t="s">
        <v>6</v>
      </c>
      <c r="D8" s="8" t="s">
        <v>5</v>
      </c>
      <c r="E8" s="8" t="s">
        <v>62</v>
      </c>
      <c r="F8" s="9" t="s">
        <v>3</v>
      </c>
      <c r="G8" s="9" t="s">
        <v>70</v>
      </c>
      <c r="H8" s="9" t="s">
        <v>82</v>
      </c>
      <c r="I8" s="6">
        <v>44239</v>
      </c>
      <c r="J8" s="10">
        <v>1</v>
      </c>
      <c r="K8" s="10">
        <v>29</v>
      </c>
      <c r="L8" s="10">
        <v>33</v>
      </c>
      <c r="M8" s="4">
        <f>((L8*10200)+(L8*10200)*10%)+11000+(K8*200)</f>
        <v>387060</v>
      </c>
      <c r="N8" s="4">
        <f t="shared" si="0"/>
        <v>39930</v>
      </c>
      <c r="O8" s="4">
        <f t="shared" si="3"/>
        <v>69405.600000000006</v>
      </c>
      <c r="P8" s="4">
        <f t="shared" si="2"/>
        <v>36300</v>
      </c>
      <c r="Q8" s="4">
        <f t="shared" si="1"/>
        <v>532695.6</v>
      </c>
      <c r="R8" s="3">
        <v>4431100</v>
      </c>
      <c r="S8" s="22" t="s">
        <v>67</v>
      </c>
      <c r="T8" s="3" t="s">
        <v>135</v>
      </c>
      <c r="U8" s="22" t="s">
        <v>172</v>
      </c>
      <c r="V8" s="2" t="s">
        <v>200</v>
      </c>
    </row>
    <row r="9" spans="1:22" x14ac:dyDescent="0.25">
      <c r="A9" s="13">
        <v>8</v>
      </c>
      <c r="B9" s="9" t="s">
        <v>81</v>
      </c>
      <c r="C9" s="8" t="s">
        <v>6</v>
      </c>
      <c r="D9" s="8" t="s">
        <v>39</v>
      </c>
      <c r="E9" s="8" t="s">
        <v>32</v>
      </c>
      <c r="F9" s="9" t="s">
        <v>3</v>
      </c>
      <c r="G9" s="9" t="s">
        <v>9</v>
      </c>
      <c r="H9" s="9" t="s">
        <v>8</v>
      </c>
      <c r="I9" s="6">
        <v>44242</v>
      </c>
      <c r="J9" s="10">
        <v>20</v>
      </c>
      <c r="K9" s="10">
        <v>243</v>
      </c>
      <c r="L9" s="10">
        <v>243</v>
      </c>
      <c r="M9" s="4">
        <f>((L9*11300)+(L9*11300)*10%)+11000+(0*130)</f>
        <v>3031490</v>
      </c>
      <c r="N9" s="4">
        <f t="shared" si="0"/>
        <v>294030</v>
      </c>
      <c r="O9" s="4">
        <f t="shared" si="3"/>
        <v>511077.6</v>
      </c>
      <c r="P9" s="4">
        <f t="shared" si="2"/>
        <v>267300</v>
      </c>
      <c r="Q9" s="4">
        <f t="shared" si="1"/>
        <v>4103897.6</v>
      </c>
      <c r="R9" s="3">
        <v>4153898</v>
      </c>
      <c r="S9" s="22" t="s">
        <v>80</v>
      </c>
      <c r="T9" s="3" t="s">
        <v>66</v>
      </c>
      <c r="U9" s="22"/>
      <c r="V9" s="2"/>
    </row>
    <row r="10" spans="1:22" x14ac:dyDescent="0.25">
      <c r="A10" s="31">
        <v>9</v>
      </c>
      <c r="B10" s="12" t="s">
        <v>79</v>
      </c>
      <c r="C10" s="12" t="s">
        <v>6</v>
      </c>
      <c r="D10" s="12" t="s">
        <v>5</v>
      </c>
      <c r="E10" s="12" t="s">
        <v>62</v>
      </c>
      <c r="F10" s="9" t="s">
        <v>3</v>
      </c>
      <c r="G10" s="9" t="s">
        <v>78</v>
      </c>
      <c r="H10" s="12" t="s">
        <v>77</v>
      </c>
      <c r="I10" s="6">
        <v>44243</v>
      </c>
      <c r="J10" s="12">
        <v>1</v>
      </c>
      <c r="K10" s="12">
        <v>8</v>
      </c>
      <c r="L10" s="12">
        <v>10.5</v>
      </c>
      <c r="M10" s="4">
        <f>((L10*6300)+(L10*6300)*10%)+11000+(K10*200)</f>
        <v>85365</v>
      </c>
      <c r="N10" s="4">
        <f t="shared" si="0"/>
        <v>12705</v>
      </c>
      <c r="O10" s="4">
        <f t="shared" si="3"/>
        <v>22083.599999999999</v>
      </c>
      <c r="P10" s="4">
        <f t="shared" si="2"/>
        <v>11550</v>
      </c>
      <c r="Q10" s="4">
        <f t="shared" si="1"/>
        <v>131703.6</v>
      </c>
      <c r="R10" s="3">
        <v>4431100</v>
      </c>
      <c r="S10" s="22" t="s">
        <v>67</v>
      </c>
      <c r="T10" s="3" t="s">
        <v>135</v>
      </c>
      <c r="U10" s="22" t="s">
        <v>173</v>
      </c>
      <c r="V10" s="2" t="s">
        <v>184</v>
      </c>
    </row>
    <row r="11" spans="1:22" x14ac:dyDescent="0.25">
      <c r="A11" s="13">
        <v>10</v>
      </c>
      <c r="B11" s="12" t="s">
        <v>76</v>
      </c>
      <c r="C11" s="12" t="s">
        <v>6</v>
      </c>
      <c r="D11" s="12" t="s">
        <v>75</v>
      </c>
      <c r="E11" s="12" t="s">
        <v>74</v>
      </c>
      <c r="F11" s="9" t="s">
        <v>3</v>
      </c>
      <c r="G11" s="9" t="s">
        <v>73</v>
      </c>
      <c r="H11" s="12" t="s">
        <v>72</v>
      </c>
      <c r="I11" s="6">
        <v>44244</v>
      </c>
      <c r="J11" s="12">
        <v>2</v>
      </c>
      <c r="K11" s="12">
        <v>52</v>
      </c>
      <c r="L11" s="12">
        <v>52</v>
      </c>
      <c r="M11" s="4">
        <f>((L11*73200)+(L11*73200)*10%)+11000+(K11*200)</f>
        <v>4208440</v>
      </c>
      <c r="N11" s="4">
        <f t="shared" si="0"/>
        <v>62920</v>
      </c>
      <c r="O11" s="4">
        <f>(2103*L11)+110000</f>
        <v>219356</v>
      </c>
      <c r="P11" s="4">
        <f>L11*500</f>
        <v>26000</v>
      </c>
      <c r="Q11" s="4">
        <f t="shared" si="1"/>
        <v>4516716</v>
      </c>
      <c r="R11" s="3">
        <v>4516716</v>
      </c>
      <c r="S11" s="22" t="s">
        <v>98</v>
      </c>
      <c r="T11" s="3" t="s">
        <v>66</v>
      </c>
      <c r="U11" s="22"/>
      <c r="V11" s="2"/>
    </row>
    <row r="12" spans="1:22" x14ac:dyDescent="0.25">
      <c r="A12" s="31">
        <v>11</v>
      </c>
      <c r="B12" s="12" t="s">
        <v>71</v>
      </c>
      <c r="C12" s="12" t="s">
        <v>6</v>
      </c>
      <c r="D12" s="12" t="s">
        <v>5</v>
      </c>
      <c r="E12" s="12" t="s">
        <v>62</v>
      </c>
      <c r="F12" s="9" t="s">
        <v>3</v>
      </c>
      <c r="G12" s="9" t="s">
        <v>70</v>
      </c>
      <c r="H12" s="12" t="s">
        <v>69</v>
      </c>
      <c r="I12" s="6">
        <v>44247</v>
      </c>
      <c r="J12" s="12">
        <v>3</v>
      </c>
      <c r="K12" s="12">
        <v>53</v>
      </c>
      <c r="L12" s="12">
        <v>53.5</v>
      </c>
      <c r="M12" s="4">
        <f>((L12*10200)+(L12*10200)*10%)+11000+(K12*200)</f>
        <v>621870</v>
      </c>
      <c r="N12" s="19">
        <f t="shared" si="0"/>
        <v>64735</v>
      </c>
      <c r="O12" s="19">
        <f>(((((L12*1280)+(L12*182)+(L12*400)+(L12*50))))*10%)+(((((L12*1280)+(L12*182)+(L12*400)+(L12*50)))))</f>
        <v>112521.2</v>
      </c>
      <c r="P12" s="19">
        <f>L12*2100</f>
        <v>112350</v>
      </c>
      <c r="Q12" s="4">
        <f t="shared" si="1"/>
        <v>911476.2</v>
      </c>
      <c r="R12" s="3">
        <v>9660500</v>
      </c>
      <c r="S12" s="3" t="s">
        <v>221</v>
      </c>
      <c r="T12" s="3" t="s">
        <v>135</v>
      </c>
      <c r="U12" s="22" t="s">
        <v>174</v>
      </c>
      <c r="V12" s="2" t="s">
        <v>201</v>
      </c>
    </row>
    <row r="13" spans="1:22" x14ac:dyDescent="0.25">
      <c r="A13" s="13">
        <v>12</v>
      </c>
      <c r="B13" s="20" t="s">
        <v>68</v>
      </c>
      <c r="C13" s="20" t="s">
        <v>6</v>
      </c>
      <c r="D13" s="20" t="s">
        <v>39</v>
      </c>
      <c r="E13" s="20" t="s">
        <v>38</v>
      </c>
      <c r="F13" s="9" t="s">
        <v>3</v>
      </c>
      <c r="G13" s="9" t="s">
        <v>9</v>
      </c>
      <c r="H13" s="20" t="s">
        <v>8</v>
      </c>
      <c r="I13" s="21">
        <v>44250</v>
      </c>
      <c r="J13" s="20">
        <v>18</v>
      </c>
      <c r="K13" s="20">
        <v>200</v>
      </c>
      <c r="L13" s="20">
        <v>202.5</v>
      </c>
      <c r="M13" s="4">
        <f>((L13*11300)+(L13*11300)*10%)+11000+(0*200)</f>
        <v>2528075</v>
      </c>
      <c r="N13" s="19">
        <f t="shared" si="0"/>
        <v>245025</v>
      </c>
      <c r="O13" s="19">
        <f>(((((L13*1280)+(L13*182)+(L13*400)+(L13*50))))*10%)+(((((L13*1280)+(L13*182)+(L13*400)+(L13*50)))))</f>
        <v>425898</v>
      </c>
      <c r="P13" s="19">
        <f>L13*1100</f>
        <v>222750</v>
      </c>
      <c r="Q13" s="4">
        <f t="shared" si="1"/>
        <v>3421748</v>
      </c>
      <c r="R13" s="3">
        <v>3421748</v>
      </c>
      <c r="S13" s="22" t="s">
        <v>67</v>
      </c>
      <c r="T13" s="3" t="s">
        <v>66</v>
      </c>
      <c r="U13" s="22"/>
      <c r="V13" s="2"/>
    </row>
    <row r="14" spans="1:22" x14ac:dyDescent="0.25">
      <c r="A14" s="31">
        <v>13</v>
      </c>
      <c r="B14" s="20" t="s">
        <v>65</v>
      </c>
      <c r="C14" s="20" t="s">
        <v>6</v>
      </c>
      <c r="D14" s="20" t="s">
        <v>5</v>
      </c>
      <c r="E14" s="20" t="s">
        <v>62</v>
      </c>
      <c r="F14" s="9" t="s">
        <v>3</v>
      </c>
      <c r="G14" s="9" t="s">
        <v>18</v>
      </c>
      <c r="H14" s="20" t="s">
        <v>64</v>
      </c>
      <c r="I14" s="21">
        <v>44250</v>
      </c>
      <c r="J14" s="20">
        <v>1</v>
      </c>
      <c r="K14" s="20">
        <v>19</v>
      </c>
      <c r="L14" s="20">
        <v>19</v>
      </c>
      <c r="M14" s="4">
        <f>((L14*9500)+(L14*9500)*10%)+11000+(0*200)</f>
        <v>209550</v>
      </c>
      <c r="N14" s="19">
        <f t="shared" si="0"/>
        <v>22990</v>
      </c>
      <c r="O14" s="19">
        <f>(((((L14*1280)+(L14*182)+(L14*400)+(L14*50))))*10%)+(((((L14*1280)+(L14*182)+(L14*400)+(L14*50)))))</f>
        <v>39960.800000000003</v>
      </c>
      <c r="P14" s="19">
        <f>L14*2100</f>
        <v>39900</v>
      </c>
      <c r="Q14" s="4">
        <f t="shared" si="1"/>
        <v>312400.8</v>
      </c>
      <c r="R14" s="3">
        <v>9660500</v>
      </c>
      <c r="S14" s="3" t="s">
        <v>221</v>
      </c>
      <c r="T14" s="3" t="s">
        <v>135</v>
      </c>
      <c r="U14" s="22" t="s">
        <v>175</v>
      </c>
      <c r="V14" s="2" t="s">
        <v>202</v>
      </c>
    </row>
    <row r="15" spans="1:22" x14ac:dyDescent="0.25">
      <c r="A15" s="13">
        <v>14</v>
      </c>
      <c r="B15" s="20" t="s">
        <v>63</v>
      </c>
      <c r="C15" s="20" t="s">
        <v>6</v>
      </c>
      <c r="D15" s="20" t="s">
        <v>5</v>
      </c>
      <c r="E15" s="20" t="s">
        <v>62</v>
      </c>
      <c r="F15" s="9" t="s">
        <v>3</v>
      </c>
      <c r="G15" s="9" t="s">
        <v>12</v>
      </c>
      <c r="H15" s="20" t="s">
        <v>11</v>
      </c>
      <c r="I15" s="21">
        <v>44250</v>
      </c>
      <c r="J15" s="20">
        <v>2</v>
      </c>
      <c r="K15" s="20">
        <v>18</v>
      </c>
      <c r="L15" s="20">
        <v>20</v>
      </c>
      <c r="M15" s="4">
        <f>((L15*11500)+(L15*11500)*10%)+11000+(0*200)</f>
        <v>264000</v>
      </c>
      <c r="N15" s="19">
        <f t="shared" si="0"/>
        <v>24200</v>
      </c>
      <c r="O15" s="19">
        <f>(((((L15*1280)+(L15*182)+(L15*400)+(L15*50))))*10%)+(((((L15*1280)+(L15*182)+(L15*400)+(L15*50)))))</f>
        <v>42064</v>
      </c>
      <c r="P15" s="19">
        <f>L15*2100</f>
        <v>42000</v>
      </c>
      <c r="Q15" s="4">
        <f t="shared" si="1"/>
        <v>372264</v>
      </c>
      <c r="R15" s="3">
        <v>9660500</v>
      </c>
      <c r="S15" s="3" t="s">
        <v>221</v>
      </c>
      <c r="T15" s="3" t="s">
        <v>135</v>
      </c>
      <c r="U15" s="22" t="s">
        <v>175</v>
      </c>
      <c r="V15" s="2" t="s">
        <v>202</v>
      </c>
    </row>
    <row r="16" spans="1:22" x14ac:dyDescent="0.25">
      <c r="L16">
        <f>SUBTOTAL(9,L2:L15)</f>
        <v>733.5</v>
      </c>
      <c r="Q16" s="18"/>
    </row>
  </sheetData>
  <autoFilter ref="A1:U1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37" workbookViewId="0">
      <pane xSplit="2" topLeftCell="C1" activePane="topRight" state="frozen"/>
      <selection pane="topRight" activeCell="H47" sqref="H47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12.7109375" bestFit="1" customWidth="1"/>
    <col min="5" max="5" width="14.28515625" bestFit="1" customWidth="1"/>
    <col min="9" max="9" width="9.85546875" style="55" bestFit="1" customWidth="1"/>
    <col min="13" max="13" width="10.5703125" bestFit="1" customWidth="1"/>
    <col min="16" max="17" width="11.5703125" bestFit="1" customWidth="1"/>
    <col min="18" max="20" width="12.42578125" bestFit="1" customWidth="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3">
        <v>1</v>
      </c>
      <c r="B2" s="12" t="s">
        <v>40</v>
      </c>
      <c r="C2" s="1" t="s">
        <v>6</v>
      </c>
      <c r="D2" s="7" t="s">
        <v>39</v>
      </c>
      <c r="E2" s="7" t="s">
        <v>38</v>
      </c>
      <c r="F2" s="1" t="s">
        <v>3</v>
      </c>
      <c r="G2" s="1" t="s">
        <v>9</v>
      </c>
      <c r="H2" s="1" t="s">
        <v>8</v>
      </c>
      <c r="I2" s="6">
        <v>44258</v>
      </c>
      <c r="J2" s="5">
        <v>15</v>
      </c>
      <c r="K2" s="11">
        <v>150</v>
      </c>
      <c r="L2" s="11">
        <v>163</v>
      </c>
      <c r="M2" s="4">
        <f>((L2*11300)+(L2*11300)*10%)+11000+(0*130)</f>
        <v>2037090</v>
      </c>
      <c r="N2" s="4">
        <f t="shared" ref="N2:N15" si="0">L2*1210</f>
        <v>197230</v>
      </c>
      <c r="O2" s="4">
        <f t="shared" ref="O2:O4" si="1">2103.2*L2</f>
        <v>342821.6</v>
      </c>
      <c r="P2" s="4">
        <f>L2*1100</f>
        <v>179300</v>
      </c>
      <c r="Q2" s="4">
        <f t="shared" ref="Q2:Q15" si="2">SUM(M2:P2)</f>
        <v>2756441.6</v>
      </c>
      <c r="R2" s="3">
        <v>4204271</v>
      </c>
      <c r="S2" s="22" t="s">
        <v>183</v>
      </c>
      <c r="T2" s="3" t="s">
        <v>145</v>
      </c>
      <c r="U2" s="3"/>
      <c r="V2" s="61" t="s">
        <v>176</v>
      </c>
      <c r="W2" s="2"/>
    </row>
    <row r="3" spans="1:23" x14ac:dyDescent="0.25">
      <c r="A3" s="13">
        <v>2</v>
      </c>
      <c r="B3" s="12" t="s">
        <v>37</v>
      </c>
      <c r="C3" s="1" t="s">
        <v>6</v>
      </c>
      <c r="D3" s="7" t="s">
        <v>36</v>
      </c>
      <c r="E3" s="7" t="s">
        <v>35</v>
      </c>
      <c r="F3" s="1" t="s">
        <v>3</v>
      </c>
      <c r="G3" s="1" t="s">
        <v>9</v>
      </c>
      <c r="H3" s="1" t="s">
        <v>8</v>
      </c>
      <c r="I3" s="6">
        <v>44258</v>
      </c>
      <c r="J3" s="5">
        <v>1</v>
      </c>
      <c r="K3" s="11">
        <v>30</v>
      </c>
      <c r="L3" s="11">
        <v>30</v>
      </c>
      <c r="M3" s="4">
        <f>((L3*11300)+(L3*11300)*10%)+11000+(0*130)</f>
        <v>383900</v>
      </c>
      <c r="N3" s="4">
        <f t="shared" si="0"/>
        <v>36300</v>
      </c>
      <c r="O3" s="4">
        <f t="shared" si="1"/>
        <v>63095.999999999993</v>
      </c>
      <c r="P3" s="4">
        <f>L3*1100</f>
        <v>33000</v>
      </c>
      <c r="Q3" s="4">
        <f t="shared" si="2"/>
        <v>516296</v>
      </c>
      <c r="R3" s="3">
        <v>505296</v>
      </c>
      <c r="S3" s="22" t="s">
        <v>98</v>
      </c>
      <c r="T3" s="3" t="s">
        <v>145</v>
      </c>
      <c r="U3" s="3"/>
      <c r="V3" s="2"/>
      <c r="W3" s="2"/>
    </row>
    <row r="4" spans="1:23" x14ac:dyDescent="0.25">
      <c r="A4" s="9">
        <v>3</v>
      </c>
      <c r="B4" s="9" t="s">
        <v>34</v>
      </c>
      <c r="C4" s="8" t="s">
        <v>6</v>
      </c>
      <c r="D4" s="8" t="s">
        <v>33</v>
      </c>
      <c r="E4" s="8" t="s">
        <v>32</v>
      </c>
      <c r="F4" s="9" t="s">
        <v>3</v>
      </c>
      <c r="G4" s="9" t="s">
        <v>9</v>
      </c>
      <c r="H4" s="9" t="s">
        <v>8</v>
      </c>
      <c r="I4" s="6">
        <v>44259</v>
      </c>
      <c r="J4" s="10">
        <v>1</v>
      </c>
      <c r="K4" s="10">
        <v>15</v>
      </c>
      <c r="L4" s="10">
        <v>15</v>
      </c>
      <c r="M4" s="4">
        <f>((L4*11300)+(L4*11300)*10%)+11000+(0*130)</f>
        <v>197450</v>
      </c>
      <c r="N4" s="4">
        <f t="shared" si="0"/>
        <v>18150</v>
      </c>
      <c r="O4" s="4">
        <f t="shared" si="1"/>
        <v>31547.999999999996</v>
      </c>
      <c r="P4" s="4">
        <f>L4*1100</f>
        <v>16500</v>
      </c>
      <c r="Q4" s="4">
        <f t="shared" si="2"/>
        <v>263648</v>
      </c>
      <c r="R4" s="3">
        <v>4204271</v>
      </c>
      <c r="S4" s="22" t="s">
        <v>183</v>
      </c>
      <c r="T4" s="3" t="s">
        <v>145</v>
      </c>
      <c r="U4" s="3"/>
      <c r="V4" s="61" t="s">
        <v>177</v>
      </c>
      <c r="W4" s="2"/>
    </row>
    <row r="5" spans="1:23" x14ac:dyDescent="0.25">
      <c r="A5" s="1">
        <v>4</v>
      </c>
      <c r="B5" s="1" t="s">
        <v>31</v>
      </c>
      <c r="C5" s="8" t="s">
        <v>6</v>
      </c>
      <c r="D5" s="7" t="s">
        <v>5</v>
      </c>
      <c r="E5" s="7" t="s">
        <v>4</v>
      </c>
      <c r="F5" s="1" t="s">
        <v>3</v>
      </c>
      <c r="G5" s="1" t="s">
        <v>26</v>
      </c>
      <c r="H5" s="1" t="s">
        <v>30</v>
      </c>
      <c r="I5" s="6">
        <v>44259</v>
      </c>
      <c r="J5" s="5">
        <v>1</v>
      </c>
      <c r="K5" s="5">
        <v>7</v>
      </c>
      <c r="L5" s="5">
        <v>10</v>
      </c>
      <c r="M5" s="4">
        <f>((L5*12800)+(L5*12800)*10%)+11000+(0*130)</f>
        <v>151800</v>
      </c>
      <c r="N5" s="4">
        <f t="shared" si="0"/>
        <v>12100</v>
      </c>
      <c r="O5" s="4">
        <f t="shared" ref="O5:O15" si="3">2103.2*L5</f>
        <v>21032</v>
      </c>
      <c r="P5" s="4">
        <f t="shared" ref="P5:P15" si="4">L5*2100</f>
        <v>21000</v>
      </c>
      <c r="Q5" s="4">
        <f t="shared" si="2"/>
        <v>205932</v>
      </c>
      <c r="R5" s="3">
        <v>26483000</v>
      </c>
      <c r="S5" s="22" t="s">
        <v>181</v>
      </c>
      <c r="T5" s="3" t="s">
        <v>145</v>
      </c>
      <c r="U5" s="2"/>
      <c r="V5" s="61" t="s">
        <v>177</v>
      </c>
      <c r="W5" s="2" t="s">
        <v>240</v>
      </c>
    </row>
    <row r="6" spans="1:23" x14ac:dyDescent="0.25">
      <c r="A6" s="1">
        <v>5</v>
      </c>
      <c r="B6" s="1" t="s">
        <v>29</v>
      </c>
      <c r="C6" s="8" t="s">
        <v>6</v>
      </c>
      <c r="D6" s="7" t="s">
        <v>5</v>
      </c>
      <c r="E6" s="7" t="s">
        <v>4</v>
      </c>
      <c r="F6" s="1" t="s">
        <v>3</v>
      </c>
      <c r="G6" s="1" t="s">
        <v>2</v>
      </c>
      <c r="H6" s="1" t="s">
        <v>28</v>
      </c>
      <c r="I6" s="6">
        <v>44259</v>
      </c>
      <c r="J6" s="5">
        <v>1</v>
      </c>
      <c r="K6" s="5">
        <v>9</v>
      </c>
      <c r="L6" s="5">
        <v>10</v>
      </c>
      <c r="M6" s="4">
        <f>((L6*14500)+(L6*14500)*10%)+11000+(0*130)</f>
        <v>170500</v>
      </c>
      <c r="N6" s="4">
        <f t="shared" si="0"/>
        <v>12100</v>
      </c>
      <c r="O6" s="4">
        <f t="shared" si="3"/>
        <v>21032</v>
      </c>
      <c r="P6" s="4">
        <f t="shared" si="4"/>
        <v>21000</v>
      </c>
      <c r="Q6" s="4">
        <f t="shared" si="2"/>
        <v>224632</v>
      </c>
      <c r="R6" s="3">
        <v>26483000</v>
      </c>
      <c r="S6" s="22" t="s">
        <v>181</v>
      </c>
      <c r="T6" s="3" t="s">
        <v>145</v>
      </c>
      <c r="U6" s="2"/>
      <c r="V6" s="61" t="s">
        <v>177</v>
      </c>
      <c r="W6" s="2" t="s">
        <v>240</v>
      </c>
    </row>
    <row r="7" spans="1:23" x14ac:dyDescent="0.25">
      <c r="A7" s="1">
        <v>6</v>
      </c>
      <c r="B7" s="1" t="s">
        <v>27</v>
      </c>
      <c r="C7" s="8" t="s">
        <v>6</v>
      </c>
      <c r="D7" s="7" t="s">
        <v>5</v>
      </c>
      <c r="E7" s="7" t="s">
        <v>4</v>
      </c>
      <c r="F7" s="1" t="s">
        <v>3</v>
      </c>
      <c r="G7" s="1" t="s">
        <v>26</v>
      </c>
      <c r="H7" s="1" t="s">
        <v>25</v>
      </c>
      <c r="I7" s="6">
        <v>44259</v>
      </c>
      <c r="J7" s="5">
        <v>9</v>
      </c>
      <c r="K7" s="5">
        <v>210</v>
      </c>
      <c r="L7" s="5">
        <v>219</v>
      </c>
      <c r="M7" s="4">
        <f>((L7*12800)+(L7*12800)*10%)+11000+(0*130)</f>
        <v>3094520</v>
      </c>
      <c r="N7" s="4">
        <f t="shared" si="0"/>
        <v>264990</v>
      </c>
      <c r="O7" s="4">
        <f t="shared" si="3"/>
        <v>460600.8</v>
      </c>
      <c r="P7" s="4">
        <f t="shared" si="4"/>
        <v>459900</v>
      </c>
      <c r="Q7" s="4">
        <f t="shared" si="2"/>
        <v>4280010.8</v>
      </c>
      <c r="R7" s="3">
        <v>26483000</v>
      </c>
      <c r="S7" s="22" t="s">
        <v>181</v>
      </c>
      <c r="T7" s="3" t="s">
        <v>145</v>
      </c>
      <c r="U7" s="2"/>
      <c r="V7" s="61" t="s">
        <v>177</v>
      </c>
      <c r="W7" s="2" t="s">
        <v>240</v>
      </c>
    </row>
    <row r="8" spans="1:23" x14ac:dyDescent="0.25">
      <c r="A8" s="1">
        <v>7</v>
      </c>
      <c r="B8" s="1" t="s">
        <v>24</v>
      </c>
      <c r="C8" s="8" t="s">
        <v>6</v>
      </c>
      <c r="D8" s="7" t="s">
        <v>5</v>
      </c>
      <c r="E8" s="7" t="s">
        <v>4</v>
      </c>
      <c r="F8" s="1" t="s">
        <v>3</v>
      </c>
      <c r="G8" s="1" t="s">
        <v>22</v>
      </c>
      <c r="H8" s="1" t="s">
        <v>21</v>
      </c>
      <c r="I8" s="6">
        <v>44259</v>
      </c>
      <c r="J8" s="5">
        <v>1</v>
      </c>
      <c r="K8" s="5">
        <v>18</v>
      </c>
      <c r="L8" s="5">
        <v>18</v>
      </c>
      <c r="M8" s="4">
        <f>((L8*6300)+(L8*6300)*10%)+11000+(0*130)</f>
        <v>135740</v>
      </c>
      <c r="N8" s="4">
        <f t="shared" si="0"/>
        <v>21780</v>
      </c>
      <c r="O8" s="4">
        <f t="shared" si="3"/>
        <v>37857.599999999999</v>
      </c>
      <c r="P8" s="4">
        <f t="shared" si="4"/>
        <v>37800</v>
      </c>
      <c r="Q8" s="4">
        <f t="shared" si="2"/>
        <v>233177.60000000001</v>
      </c>
      <c r="R8" s="3">
        <v>26483000</v>
      </c>
      <c r="S8" s="22" t="s">
        <v>181</v>
      </c>
      <c r="T8" s="3" t="s">
        <v>145</v>
      </c>
      <c r="U8" s="2"/>
      <c r="V8" s="61" t="s">
        <v>177</v>
      </c>
      <c r="W8" s="2" t="s">
        <v>240</v>
      </c>
    </row>
    <row r="9" spans="1:23" x14ac:dyDescent="0.25">
      <c r="A9" s="1">
        <v>8</v>
      </c>
      <c r="B9" s="1" t="s">
        <v>23</v>
      </c>
      <c r="C9" s="8" t="s">
        <v>6</v>
      </c>
      <c r="D9" s="7" t="s">
        <v>5</v>
      </c>
      <c r="E9" s="7" t="s">
        <v>4</v>
      </c>
      <c r="F9" s="1" t="s">
        <v>3</v>
      </c>
      <c r="G9" s="1" t="s">
        <v>22</v>
      </c>
      <c r="H9" s="1" t="s">
        <v>21</v>
      </c>
      <c r="I9" s="6">
        <v>44259</v>
      </c>
      <c r="J9" s="5">
        <v>1</v>
      </c>
      <c r="K9" s="5">
        <v>18</v>
      </c>
      <c r="L9" s="5">
        <v>18</v>
      </c>
      <c r="M9" s="4">
        <f>((L9*6300)+(L9*6300)*10%)+11000+(0*130)</f>
        <v>135740</v>
      </c>
      <c r="N9" s="4">
        <f t="shared" si="0"/>
        <v>21780</v>
      </c>
      <c r="O9" s="4">
        <f t="shared" si="3"/>
        <v>37857.599999999999</v>
      </c>
      <c r="P9" s="4">
        <f t="shared" si="4"/>
        <v>37800</v>
      </c>
      <c r="Q9" s="4">
        <f t="shared" si="2"/>
        <v>233177.60000000001</v>
      </c>
      <c r="R9" s="3">
        <v>26483000</v>
      </c>
      <c r="S9" s="22" t="s">
        <v>181</v>
      </c>
      <c r="T9" s="3" t="s">
        <v>145</v>
      </c>
      <c r="U9" s="2"/>
      <c r="V9" s="61" t="s">
        <v>177</v>
      </c>
      <c r="W9" s="2" t="s">
        <v>240</v>
      </c>
    </row>
    <row r="10" spans="1:23" x14ac:dyDescent="0.25">
      <c r="A10" s="1">
        <v>9</v>
      </c>
      <c r="B10" s="1" t="s">
        <v>20</v>
      </c>
      <c r="C10" s="8" t="s">
        <v>6</v>
      </c>
      <c r="D10" s="7" t="s">
        <v>5</v>
      </c>
      <c r="E10" s="7" t="s">
        <v>4</v>
      </c>
      <c r="F10" s="1" t="s">
        <v>3</v>
      </c>
      <c r="G10" s="1" t="s">
        <v>18</v>
      </c>
      <c r="H10" s="1" t="s">
        <v>17</v>
      </c>
      <c r="I10" s="6">
        <v>44259</v>
      </c>
      <c r="J10" s="5">
        <v>1</v>
      </c>
      <c r="K10" s="5">
        <v>24</v>
      </c>
      <c r="L10" s="5">
        <v>27.5</v>
      </c>
      <c r="M10" s="4">
        <f>((L10*9500)+(L10*9500)*10%)+11000+(0*130)</f>
        <v>298375</v>
      </c>
      <c r="N10" s="4">
        <f t="shared" si="0"/>
        <v>33275</v>
      </c>
      <c r="O10" s="4">
        <f t="shared" si="3"/>
        <v>57837.999999999993</v>
      </c>
      <c r="P10" s="4">
        <f t="shared" si="4"/>
        <v>57750</v>
      </c>
      <c r="Q10" s="4">
        <f t="shared" si="2"/>
        <v>447238</v>
      </c>
      <c r="R10" s="3">
        <v>26483000</v>
      </c>
      <c r="S10" s="22" t="s">
        <v>181</v>
      </c>
      <c r="T10" s="3" t="s">
        <v>145</v>
      </c>
      <c r="U10" s="2"/>
      <c r="V10" s="61" t="s">
        <v>177</v>
      </c>
      <c r="W10" s="2" t="s">
        <v>240</v>
      </c>
    </row>
    <row r="11" spans="1:23" x14ac:dyDescent="0.25">
      <c r="A11" s="1">
        <v>10</v>
      </c>
      <c r="B11" s="1" t="s">
        <v>19</v>
      </c>
      <c r="C11" s="8" t="s">
        <v>6</v>
      </c>
      <c r="D11" s="7" t="s">
        <v>5</v>
      </c>
      <c r="E11" s="7" t="s">
        <v>4</v>
      </c>
      <c r="F11" s="1" t="s">
        <v>3</v>
      </c>
      <c r="G11" s="1" t="s">
        <v>18</v>
      </c>
      <c r="H11" s="1" t="s">
        <v>17</v>
      </c>
      <c r="I11" s="6">
        <v>44259</v>
      </c>
      <c r="J11" s="5">
        <v>3</v>
      </c>
      <c r="K11" s="5">
        <v>32</v>
      </c>
      <c r="L11" s="5">
        <v>32</v>
      </c>
      <c r="M11" s="4">
        <f>((L11*9500)+(L11*9500)*10%)+11000+(0*130)</f>
        <v>345400</v>
      </c>
      <c r="N11" s="4">
        <f t="shared" si="0"/>
        <v>38720</v>
      </c>
      <c r="O11" s="4">
        <f t="shared" si="3"/>
        <v>67302.399999999994</v>
      </c>
      <c r="P11" s="4">
        <f t="shared" si="4"/>
        <v>67200</v>
      </c>
      <c r="Q11" s="4">
        <f t="shared" si="2"/>
        <v>518622.4</v>
      </c>
      <c r="R11" s="3">
        <v>26483000</v>
      </c>
      <c r="S11" s="22" t="s">
        <v>181</v>
      </c>
      <c r="T11" s="3" t="s">
        <v>145</v>
      </c>
      <c r="U11" s="2"/>
      <c r="V11" s="61" t="s">
        <v>177</v>
      </c>
      <c r="W11" s="2" t="s">
        <v>240</v>
      </c>
    </row>
    <row r="12" spans="1:23" x14ac:dyDescent="0.25">
      <c r="A12" s="1">
        <v>11</v>
      </c>
      <c r="B12" s="1" t="s">
        <v>16</v>
      </c>
      <c r="C12" s="8" t="s">
        <v>6</v>
      </c>
      <c r="D12" s="7" t="s">
        <v>5</v>
      </c>
      <c r="E12" s="7" t="s">
        <v>4</v>
      </c>
      <c r="F12" s="1" t="s">
        <v>3</v>
      </c>
      <c r="G12" s="1" t="s">
        <v>15</v>
      </c>
      <c r="H12" s="1" t="s">
        <v>14</v>
      </c>
      <c r="I12" s="6">
        <v>44259</v>
      </c>
      <c r="J12" s="5">
        <v>1</v>
      </c>
      <c r="K12" s="5">
        <v>32</v>
      </c>
      <c r="L12" s="5">
        <v>37.5</v>
      </c>
      <c r="M12" s="4">
        <f>((L12*17000)+(L12*17000)*10%)+11000+(0*130)</f>
        <v>712250</v>
      </c>
      <c r="N12" s="4">
        <f t="shared" si="0"/>
        <v>45375</v>
      </c>
      <c r="O12" s="4">
        <f t="shared" si="3"/>
        <v>78870</v>
      </c>
      <c r="P12" s="4">
        <f t="shared" si="4"/>
        <v>78750</v>
      </c>
      <c r="Q12" s="4">
        <f t="shared" si="2"/>
        <v>915245</v>
      </c>
      <c r="R12" s="3">
        <v>26483000</v>
      </c>
      <c r="S12" s="22" t="s">
        <v>181</v>
      </c>
      <c r="T12" s="3" t="s">
        <v>145</v>
      </c>
      <c r="U12" s="2"/>
      <c r="V12" s="61" t="s">
        <v>177</v>
      </c>
      <c r="W12" s="2" t="s">
        <v>240</v>
      </c>
    </row>
    <row r="13" spans="1:23" x14ac:dyDescent="0.25">
      <c r="A13" s="1">
        <v>12</v>
      </c>
      <c r="B13" s="1" t="s">
        <v>13</v>
      </c>
      <c r="C13" s="8" t="s">
        <v>6</v>
      </c>
      <c r="D13" s="7" t="s">
        <v>5</v>
      </c>
      <c r="E13" s="7" t="s">
        <v>4</v>
      </c>
      <c r="F13" s="1" t="s">
        <v>3</v>
      </c>
      <c r="G13" s="1" t="s">
        <v>12</v>
      </c>
      <c r="H13" s="1" t="s">
        <v>11</v>
      </c>
      <c r="I13" s="6">
        <v>44259</v>
      </c>
      <c r="J13" s="5">
        <v>1</v>
      </c>
      <c r="K13" s="5">
        <v>18</v>
      </c>
      <c r="L13" s="5">
        <v>18</v>
      </c>
      <c r="M13" s="4">
        <f>((L13*11500)+(L13*11500)*10%)+11000+(0*130)</f>
        <v>238700</v>
      </c>
      <c r="N13" s="4">
        <f t="shared" si="0"/>
        <v>21780</v>
      </c>
      <c r="O13" s="4">
        <f t="shared" si="3"/>
        <v>37857.599999999999</v>
      </c>
      <c r="P13" s="4">
        <f t="shared" si="4"/>
        <v>37800</v>
      </c>
      <c r="Q13" s="4">
        <f t="shared" si="2"/>
        <v>336137.6</v>
      </c>
      <c r="R13" s="3">
        <v>26483000</v>
      </c>
      <c r="S13" s="22" t="s">
        <v>181</v>
      </c>
      <c r="T13" s="3" t="s">
        <v>145</v>
      </c>
      <c r="U13" s="2"/>
      <c r="V13" s="61" t="s">
        <v>177</v>
      </c>
      <c r="W13" s="2" t="s">
        <v>240</v>
      </c>
    </row>
    <row r="14" spans="1:23" x14ac:dyDescent="0.25">
      <c r="A14" s="1">
        <v>13</v>
      </c>
      <c r="B14" s="1" t="s">
        <v>10</v>
      </c>
      <c r="C14" s="8" t="s">
        <v>6</v>
      </c>
      <c r="D14" s="7" t="s">
        <v>5</v>
      </c>
      <c r="E14" s="7" t="s">
        <v>4</v>
      </c>
      <c r="F14" s="1" t="s">
        <v>3</v>
      </c>
      <c r="G14" s="1" t="s">
        <v>9</v>
      </c>
      <c r="H14" s="1" t="s">
        <v>8</v>
      </c>
      <c r="I14" s="6">
        <v>44259</v>
      </c>
      <c r="J14" s="5">
        <v>1</v>
      </c>
      <c r="K14" s="5">
        <v>18</v>
      </c>
      <c r="L14" s="5">
        <v>18</v>
      </c>
      <c r="M14" s="4">
        <f>((L14*11300)+(L14*11300)*10%)+11000+(0*130)</f>
        <v>234740</v>
      </c>
      <c r="N14" s="4">
        <f t="shared" si="0"/>
        <v>21780</v>
      </c>
      <c r="O14" s="4">
        <f t="shared" si="3"/>
        <v>37857.599999999999</v>
      </c>
      <c r="P14" s="4">
        <f t="shared" si="4"/>
        <v>37800</v>
      </c>
      <c r="Q14" s="4">
        <f t="shared" si="2"/>
        <v>332177.59999999998</v>
      </c>
      <c r="R14" s="3">
        <v>26483000</v>
      </c>
      <c r="S14" s="22" t="s">
        <v>181</v>
      </c>
      <c r="T14" s="3" t="s">
        <v>145</v>
      </c>
      <c r="U14" s="2"/>
      <c r="V14" s="61" t="s">
        <v>177</v>
      </c>
      <c r="W14" s="2" t="s">
        <v>240</v>
      </c>
    </row>
    <row r="15" spans="1:23" x14ac:dyDescent="0.25">
      <c r="A15" s="1">
        <v>14</v>
      </c>
      <c r="B15" s="1" t="s">
        <v>7</v>
      </c>
      <c r="C15" s="8" t="s">
        <v>6</v>
      </c>
      <c r="D15" s="7" t="s">
        <v>5</v>
      </c>
      <c r="E15" s="7" t="s">
        <v>4</v>
      </c>
      <c r="F15" s="1" t="s">
        <v>3</v>
      </c>
      <c r="G15" s="1" t="s">
        <v>2</v>
      </c>
      <c r="H15" s="1" t="s">
        <v>1</v>
      </c>
      <c r="I15" s="6">
        <v>44259</v>
      </c>
      <c r="J15" s="5">
        <v>8</v>
      </c>
      <c r="K15" s="5">
        <v>187</v>
      </c>
      <c r="L15" s="5">
        <v>187</v>
      </c>
      <c r="M15" s="4">
        <f>((L15*14500)+(L15*14500)*10%)+11000+(0*130)</f>
        <v>2993650</v>
      </c>
      <c r="N15" s="4">
        <f t="shared" si="0"/>
        <v>226270</v>
      </c>
      <c r="O15" s="4">
        <f t="shared" si="3"/>
        <v>393298.39999999997</v>
      </c>
      <c r="P15" s="4">
        <f t="shared" si="4"/>
        <v>392700</v>
      </c>
      <c r="Q15" s="4">
        <f t="shared" si="2"/>
        <v>4005918.4</v>
      </c>
      <c r="R15" s="3">
        <v>26483000</v>
      </c>
      <c r="S15" s="22" t="s">
        <v>181</v>
      </c>
      <c r="T15" s="3" t="s">
        <v>145</v>
      </c>
      <c r="U15" s="2"/>
      <c r="V15" s="61" t="s">
        <v>177</v>
      </c>
      <c r="W15" s="2" t="s">
        <v>240</v>
      </c>
    </row>
    <row r="16" spans="1:23" x14ac:dyDescent="0.25">
      <c r="A16" s="1">
        <v>15</v>
      </c>
      <c r="B16" s="1" t="s">
        <v>146</v>
      </c>
      <c r="C16" s="7" t="s">
        <v>6</v>
      </c>
      <c r="D16" s="7" t="s">
        <v>5</v>
      </c>
      <c r="E16" s="7" t="s">
        <v>4</v>
      </c>
      <c r="F16" s="1" t="s">
        <v>3</v>
      </c>
      <c r="G16" s="1" t="s">
        <v>70</v>
      </c>
      <c r="H16" s="1" t="s">
        <v>69</v>
      </c>
      <c r="I16" s="56">
        <v>44260</v>
      </c>
      <c r="J16" s="5">
        <v>1</v>
      </c>
      <c r="K16" s="5">
        <v>29</v>
      </c>
      <c r="L16" s="5">
        <v>33.5</v>
      </c>
      <c r="M16" s="4">
        <f>((L16*10200)+(L16*10200)*10%)+11000+(K16*200)</f>
        <v>392670</v>
      </c>
      <c r="N16" s="4">
        <f t="shared" ref="N16" si="5">L16*1210</f>
        <v>40535</v>
      </c>
      <c r="O16" s="4">
        <f>2103.2*L16</f>
        <v>70457.2</v>
      </c>
      <c r="P16" s="4">
        <f t="shared" ref="P16" si="6">L16*2100</f>
        <v>70350</v>
      </c>
      <c r="Q16" s="4">
        <f t="shared" ref="Q16" si="7">SUM(M16:P16)</f>
        <v>574012.19999999995</v>
      </c>
      <c r="R16" s="3">
        <v>26483000</v>
      </c>
      <c r="S16" s="22" t="s">
        <v>181</v>
      </c>
      <c r="T16" s="3" t="s">
        <v>145</v>
      </c>
      <c r="U16" s="2"/>
      <c r="V16" s="61" t="s">
        <v>178</v>
      </c>
      <c r="W16" s="2" t="s">
        <v>222</v>
      </c>
    </row>
    <row r="17" spans="1:23" x14ac:dyDescent="0.25">
      <c r="A17" s="1">
        <v>16</v>
      </c>
      <c r="B17" s="1" t="s">
        <v>147</v>
      </c>
      <c r="C17" s="7" t="s">
        <v>6</v>
      </c>
      <c r="D17" s="7" t="s">
        <v>5</v>
      </c>
      <c r="E17" s="7" t="s">
        <v>4</v>
      </c>
      <c r="F17" s="1" t="s">
        <v>3</v>
      </c>
      <c r="G17" s="1" t="s">
        <v>15</v>
      </c>
      <c r="H17" s="1" t="s">
        <v>148</v>
      </c>
      <c r="I17" s="56">
        <v>44260</v>
      </c>
      <c r="J17" s="5">
        <v>3</v>
      </c>
      <c r="K17" s="5">
        <v>57</v>
      </c>
      <c r="L17" s="5">
        <v>59</v>
      </c>
      <c r="M17" s="4">
        <f>((L17*17000)+(L17*17000)*10%)+11000+(0*200)</f>
        <v>1114300</v>
      </c>
      <c r="N17" s="4">
        <f t="shared" ref="N17" si="8">L17*1210</f>
        <v>71390</v>
      </c>
      <c r="O17" s="4">
        <f>2103.2*L17</f>
        <v>124088.79999999999</v>
      </c>
      <c r="P17" s="4">
        <f t="shared" ref="P17" si="9">L17*2100</f>
        <v>123900</v>
      </c>
      <c r="Q17" s="4">
        <f t="shared" ref="Q17" si="10">SUM(M17:P17)</f>
        <v>1433678.8</v>
      </c>
      <c r="R17" s="3">
        <v>26483000</v>
      </c>
      <c r="S17" s="22" t="s">
        <v>181</v>
      </c>
      <c r="T17" s="3" t="s">
        <v>145</v>
      </c>
      <c r="U17" s="2"/>
      <c r="V17" s="61" t="s">
        <v>178</v>
      </c>
      <c r="W17" s="2" t="s">
        <v>222</v>
      </c>
    </row>
    <row r="18" spans="1:23" x14ac:dyDescent="0.25">
      <c r="A18" s="1">
        <v>17</v>
      </c>
      <c r="B18" s="1" t="s">
        <v>149</v>
      </c>
      <c r="C18" s="7" t="s">
        <v>6</v>
      </c>
      <c r="D18" s="7" t="s">
        <v>5</v>
      </c>
      <c r="E18" s="7" t="s">
        <v>150</v>
      </c>
      <c r="F18" s="1" t="s">
        <v>3</v>
      </c>
      <c r="G18" s="1" t="s">
        <v>18</v>
      </c>
      <c r="H18" s="1" t="s">
        <v>17</v>
      </c>
      <c r="I18" s="56">
        <v>44260</v>
      </c>
      <c r="J18" s="5">
        <v>2</v>
      </c>
      <c r="K18" s="5">
        <v>82</v>
      </c>
      <c r="L18" s="5">
        <v>82</v>
      </c>
      <c r="M18" s="4">
        <f>((L18*9500)+(L18*9500)*10%)+11000+(0*200)</f>
        <v>867900</v>
      </c>
      <c r="N18" s="4">
        <f t="shared" ref="N18:N23" si="11">L18*1210</f>
        <v>99220</v>
      </c>
      <c r="O18" s="4">
        <f>2103.2*L18</f>
        <v>172462.4</v>
      </c>
      <c r="P18" s="4">
        <f t="shared" ref="P18:P26" si="12">L18*2100</f>
        <v>172200</v>
      </c>
      <c r="Q18" s="4">
        <f t="shared" ref="Q18:Q23" si="13">SUM(M18:P18)</f>
        <v>1311782.3999999999</v>
      </c>
      <c r="R18" s="3">
        <v>26483000</v>
      </c>
      <c r="S18" s="22" t="s">
        <v>181</v>
      </c>
      <c r="T18" s="3" t="s">
        <v>145</v>
      </c>
      <c r="U18" s="2"/>
      <c r="V18" s="61" t="s">
        <v>178</v>
      </c>
      <c r="W18" s="2" t="s">
        <v>222</v>
      </c>
    </row>
    <row r="19" spans="1:23" x14ac:dyDescent="0.25">
      <c r="A19" s="9">
        <v>18</v>
      </c>
      <c r="B19" s="1" t="s">
        <v>151</v>
      </c>
      <c r="C19" s="7" t="s">
        <v>6</v>
      </c>
      <c r="D19" s="7" t="s">
        <v>5</v>
      </c>
      <c r="E19" s="7" t="s">
        <v>4</v>
      </c>
      <c r="F19" s="1" t="s">
        <v>3</v>
      </c>
      <c r="G19" s="1" t="s">
        <v>152</v>
      </c>
      <c r="H19" s="1" t="s">
        <v>153</v>
      </c>
      <c r="I19" s="57">
        <v>44261</v>
      </c>
      <c r="J19" s="5">
        <v>1</v>
      </c>
      <c r="K19" s="5">
        <v>10</v>
      </c>
      <c r="L19" s="5">
        <v>10</v>
      </c>
      <c r="M19" s="4">
        <f>((L19*37100)+(L19*37100)*10%)+11000+(K19*200)</f>
        <v>421100</v>
      </c>
      <c r="N19" s="4">
        <f t="shared" si="11"/>
        <v>12100</v>
      </c>
      <c r="O19" s="4">
        <f t="shared" ref="O19:O23" si="14">2103.2*L19</f>
        <v>21032</v>
      </c>
      <c r="P19" s="4">
        <f t="shared" si="12"/>
        <v>21000</v>
      </c>
      <c r="Q19" s="4">
        <f t="shared" si="13"/>
        <v>475232</v>
      </c>
      <c r="R19" s="3">
        <v>26483000</v>
      </c>
      <c r="S19" s="22" t="s">
        <v>181</v>
      </c>
      <c r="T19" s="3" t="s">
        <v>145</v>
      </c>
      <c r="U19" s="2"/>
      <c r="V19" s="61" t="s">
        <v>179</v>
      </c>
      <c r="W19" s="2" t="s">
        <v>223</v>
      </c>
    </row>
    <row r="20" spans="1:23" x14ac:dyDescent="0.25">
      <c r="A20" s="9">
        <v>19</v>
      </c>
      <c r="B20" s="1" t="s">
        <v>154</v>
      </c>
      <c r="C20" s="7" t="s">
        <v>6</v>
      </c>
      <c r="D20" s="7" t="s">
        <v>5</v>
      </c>
      <c r="E20" s="7" t="s">
        <v>4</v>
      </c>
      <c r="F20" s="1" t="s">
        <v>3</v>
      </c>
      <c r="G20" s="1" t="s">
        <v>70</v>
      </c>
      <c r="H20" s="1" t="s">
        <v>69</v>
      </c>
      <c r="I20" s="57">
        <v>44261</v>
      </c>
      <c r="J20" s="5">
        <v>3</v>
      </c>
      <c r="K20" s="5">
        <v>98</v>
      </c>
      <c r="L20" s="5">
        <v>109</v>
      </c>
      <c r="M20" s="4">
        <f>((L20*10200)+(L20*10200)*10%)+11000+(K20*200)</f>
        <v>1253580</v>
      </c>
      <c r="N20" s="4">
        <f t="shared" si="11"/>
        <v>131890</v>
      </c>
      <c r="O20" s="4">
        <f t="shared" si="14"/>
        <v>229248.8</v>
      </c>
      <c r="P20" s="4">
        <f t="shared" si="12"/>
        <v>228900</v>
      </c>
      <c r="Q20" s="4">
        <f t="shared" si="13"/>
        <v>1843618.8</v>
      </c>
      <c r="R20" s="3">
        <v>26483000</v>
      </c>
      <c r="S20" s="22" t="s">
        <v>181</v>
      </c>
      <c r="T20" s="3" t="s">
        <v>145</v>
      </c>
      <c r="U20" s="2"/>
      <c r="V20" s="61" t="s">
        <v>179</v>
      </c>
      <c r="W20" s="2" t="s">
        <v>223</v>
      </c>
    </row>
    <row r="21" spans="1:23" x14ac:dyDescent="0.25">
      <c r="A21" s="9">
        <v>20</v>
      </c>
      <c r="B21" s="1" t="s">
        <v>155</v>
      </c>
      <c r="C21" s="7" t="s">
        <v>6</v>
      </c>
      <c r="D21" s="7" t="s">
        <v>5</v>
      </c>
      <c r="E21" s="7" t="s">
        <v>4</v>
      </c>
      <c r="F21" s="1" t="s">
        <v>3</v>
      </c>
      <c r="G21" s="1" t="s">
        <v>70</v>
      </c>
      <c r="H21" s="1" t="s">
        <v>69</v>
      </c>
      <c r="I21" s="57">
        <v>44261</v>
      </c>
      <c r="J21" s="5">
        <v>1</v>
      </c>
      <c r="K21" s="5">
        <v>39</v>
      </c>
      <c r="L21" s="5">
        <v>39</v>
      </c>
      <c r="M21" s="4">
        <f>((L21*10200)+(L21*10200)*10%)+11000+(K21*200)</f>
        <v>456380</v>
      </c>
      <c r="N21" s="4">
        <f t="shared" si="11"/>
        <v>47190</v>
      </c>
      <c r="O21" s="4">
        <f t="shared" si="14"/>
        <v>82024.799999999988</v>
      </c>
      <c r="P21" s="4">
        <f t="shared" si="12"/>
        <v>81900</v>
      </c>
      <c r="Q21" s="4">
        <f t="shared" si="13"/>
        <v>667494.80000000005</v>
      </c>
      <c r="R21" s="3">
        <v>26483000</v>
      </c>
      <c r="S21" s="22" t="s">
        <v>181</v>
      </c>
      <c r="T21" s="3" t="s">
        <v>145</v>
      </c>
      <c r="U21" s="2"/>
      <c r="V21" s="61" t="s">
        <v>179</v>
      </c>
      <c r="W21" s="2" t="s">
        <v>223</v>
      </c>
    </row>
    <row r="22" spans="1:23" x14ac:dyDescent="0.25">
      <c r="A22" s="9">
        <v>21</v>
      </c>
      <c r="B22" s="1" t="s">
        <v>156</v>
      </c>
      <c r="C22" s="7" t="s">
        <v>6</v>
      </c>
      <c r="D22" s="7" t="s">
        <v>5</v>
      </c>
      <c r="E22" s="7" t="s">
        <v>4</v>
      </c>
      <c r="F22" s="1" t="s">
        <v>3</v>
      </c>
      <c r="G22" s="1" t="s">
        <v>15</v>
      </c>
      <c r="H22" s="1" t="s">
        <v>148</v>
      </c>
      <c r="I22" s="57">
        <v>44261</v>
      </c>
      <c r="J22" s="5">
        <v>1</v>
      </c>
      <c r="K22" s="5">
        <v>5</v>
      </c>
      <c r="L22" s="5">
        <v>10</v>
      </c>
      <c r="M22" s="4">
        <f>((L22*17000)+(L22*17000)*10%)+11000+(0*200)</f>
        <v>198000</v>
      </c>
      <c r="N22" s="4">
        <f t="shared" si="11"/>
        <v>12100</v>
      </c>
      <c r="O22" s="4">
        <f t="shared" si="14"/>
        <v>21032</v>
      </c>
      <c r="P22" s="4">
        <f t="shared" si="12"/>
        <v>21000</v>
      </c>
      <c r="Q22" s="4">
        <f t="shared" si="13"/>
        <v>252132</v>
      </c>
      <c r="R22" s="3">
        <v>26483000</v>
      </c>
      <c r="S22" s="22" t="s">
        <v>181</v>
      </c>
      <c r="T22" s="3" t="s">
        <v>145</v>
      </c>
      <c r="U22" s="2"/>
      <c r="V22" s="61" t="s">
        <v>179</v>
      </c>
      <c r="W22" s="2" t="s">
        <v>223</v>
      </c>
    </row>
    <row r="23" spans="1:23" x14ac:dyDescent="0.25">
      <c r="A23" s="9">
        <v>22</v>
      </c>
      <c r="B23" s="1" t="s">
        <v>157</v>
      </c>
      <c r="C23" s="7" t="s">
        <v>6</v>
      </c>
      <c r="D23" s="7" t="s">
        <v>5</v>
      </c>
      <c r="E23" s="7" t="s">
        <v>4</v>
      </c>
      <c r="F23" s="1" t="s">
        <v>3</v>
      </c>
      <c r="G23" s="1" t="s">
        <v>152</v>
      </c>
      <c r="H23" s="1" t="s">
        <v>158</v>
      </c>
      <c r="I23" s="57">
        <v>44262</v>
      </c>
      <c r="J23" s="5">
        <v>4</v>
      </c>
      <c r="K23" s="5">
        <v>117</v>
      </c>
      <c r="L23" s="5">
        <v>128.5</v>
      </c>
      <c r="M23" s="4">
        <f>((L23*37100)+(L23*37100)*10%)+11000+(K23*200)</f>
        <v>5278485</v>
      </c>
      <c r="N23" s="4">
        <f t="shared" si="11"/>
        <v>155485</v>
      </c>
      <c r="O23" s="4">
        <f t="shared" si="14"/>
        <v>270261.19999999995</v>
      </c>
      <c r="P23" s="4">
        <f t="shared" si="12"/>
        <v>269850</v>
      </c>
      <c r="Q23" s="4">
        <f t="shared" si="13"/>
        <v>5974081.2000000002</v>
      </c>
      <c r="R23" s="3">
        <v>26483000</v>
      </c>
      <c r="S23" s="22" t="s">
        <v>181</v>
      </c>
      <c r="T23" s="3" t="s">
        <v>145</v>
      </c>
      <c r="U23" s="2"/>
      <c r="V23" s="61" t="s">
        <v>180</v>
      </c>
      <c r="W23" s="2" t="s">
        <v>224</v>
      </c>
    </row>
    <row r="24" spans="1:23" x14ac:dyDescent="0.25">
      <c r="A24" s="1">
        <v>23</v>
      </c>
      <c r="B24" s="1" t="s">
        <v>163</v>
      </c>
      <c r="C24" s="7" t="s">
        <v>6</v>
      </c>
      <c r="D24" s="7" t="s">
        <v>39</v>
      </c>
      <c r="E24" s="7" t="s">
        <v>38</v>
      </c>
      <c r="F24" s="1" t="s">
        <v>3</v>
      </c>
      <c r="G24" s="1" t="s">
        <v>9</v>
      </c>
      <c r="H24" s="1" t="s">
        <v>8</v>
      </c>
      <c r="I24" s="57">
        <v>44264</v>
      </c>
      <c r="J24" s="5">
        <v>4</v>
      </c>
      <c r="K24" s="5">
        <v>69</v>
      </c>
      <c r="L24" s="5">
        <v>69</v>
      </c>
      <c r="M24" s="4">
        <f>((L24*11300)+(L24*11300)*10%)+11000+(0*200)</f>
        <v>868670</v>
      </c>
      <c r="N24" s="4">
        <f t="shared" ref="N24" si="15">L24*1210</f>
        <v>83490</v>
      </c>
      <c r="O24" s="4">
        <f t="shared" ref="O24" si="16">2103.2*L24</f>
        <v>145120.79999999999</v>
      </c>
      <c r="P24" s="4">
        <f>L24*1100</f>
        <v>75900</v>
      </c>
      <c r="Q24" s="4">
        <f t="shared" ref="Q24" si="17">SUM(M24:P24)</f>
        <v>1173180.8</v>
      </c>
      <c r="R24" s="3">
        <v>4204271</v>
      </c>
      <c r="S24" s="22" t="s">
        <v>183</v>
      </c>
      <c r="T24" s="3" t="s">
        <v>145</v>
      </c>
      <c r="U24" s="2"/>
      <c r="V24" s="61" t="s">
        <v>181</v>
      </c>
      <c r="W24" s="2"/>
    </row>
    <row r="25" spans="1:23" x14ac:dyDescent="0.25">
      <c r="A25" s="1">
        <v>24</v>
      </c>
      <c r="B25" s="1" t="s">
        <v>164</v>
      </c>
      <c r="C25" s="7" t="s">
        <v>6</v>
      </c>
      <c r="D25" s="7" t="s">
        <v>5</v>
      </c>
      <c r="E25" s="7" t="s">
        <v>4</v>
      </c>
      <c r="F25" s="1" t="s">
        <v>3</v>
      </c>
      <c r="G25" s="1" t="s">
        <v>15</v>
      </c>
      <c r="H25" s="1" t="s">
        <v>148</v>
      </c>
      <c r="I25" s="57">
        <v>44264</v>
      </c>
      <c r="J25" s="5">
        <v>1</v>
      </c>
      <c r="K25" s="5">
        <v>6</v>
      </c>
      <c r="L25" s="5">
        <v>10</v>
      </c>
      <c r="M25" s="4">
        <f>((L25*17000)+(L25*17000)*10%)+11000+(0*200)</f>
        <v>198000</v>
      </c>
      <c r="N25" s="4">
        <f t="shared" ref="N25" si="18">L25*1210</f>
        <v>12100</v>
      </c>
      <c r="O25" s="4">
        <f t="shared" ref="O25" si="19">2103.2*L25</f>
        <v>21032</v>
      </c>
      <c r="P25" s="4">
        <f t="shared" si="12"/>
        <v>21000</v>
      </c>
      <c r="Q25" s="4">
        <f t="shared" ref="Q25" si="20">SUM(M25:P25)</f>
        <v>252132</v>
      </c>
      <c r="R25" s="3">
        <v>26483000</v>
      </c>
      <c r="S25" s="22" t="s">
        <v>181</v>
      </c>
      <c r="T25" s="3" t="s">
        <v>145</v>
      </c>
      <c r="U25" s="2"/>
      <c r="V25" s="61" t="s">
        <v>181</v>
      </c>
      <c r="W25" s="2"/>
    </row>
    <row r="26" spans="1:23" x14ac:dyDescent="0.25">
      <c r="A26" s="1">
        <v>25</v>
      </c>
      <c r="B26" s="1" t="s">
        <v>165</v>
      </c>
      <c r="C26" s="7" t="s">
        <v>6</v>
      </c>
      <c r="D26" s="7" t="s">
        <v>5</v>
      </c>
      <c r="E26" s="7" t="s">
        <v>4</v>
      </c>
      <c r="F26" s="1" t="s">
        <v>3</v>
      </c>
      <c r="G26" s="1" t="s">
        <v>18</v>
      </c>
      <c r="H26" s="1" t="s">
        <v>64</v>
      </c>
      <c r="I26" s="57">
        <v>44264</v>
      </c>
      <c r="J26" s="5">
        <v>1</v>
      </c>
      <c r="K26" s="5">
        <v>115</v>
      </c>
      <c r="L26" s="5">
        <v>115</v>
      </c>
      <c r="M26" s="4">
        <f>((L26*9500)+(L26*9500)*10%)+11000+(0*200)</f>
        <v>1212750</v>
      </c>
      <c r="N26" s="4">
        <f t="shared" ref="N26" si="21">L26*1210</f>
        <v>139150</v>
      </c>
      <c r="O26" s="4">
        <f t="shared" ref="O26" si="22">2103.2*L26</f>
        <v>241867.99999999997</v>
      </c>
      <c r="P26" s="4">
        <f t="shared" si="12"/>
        <v>241500</v>
      </c>
      <c r="Q26" s="4">
        <f t="shared" ref="Q26" si="23">SUM(M26:P26)</f>
        <v>1835268</v>
      </c>
      <c r="R26" s="3">
        <v>26483000</v>
      </c>
      <c r="S26" s="22" t="s">
        <v>181</v>
      </c>
      <c r="T26" s="3" t="s">
        <v>145</v>
      </c>
      <c r="U26" s="2"/>
      <c r="V26" s="61" t="s">
        <v>181</v>
      </c>
      <c r="W26" s="2"/>
    </row>
    <row r="27" spans="1:23" x14ac:dyDescent="0.25">
      <c r="A27" s="1">
        <v>26</v>
      </c>
      <c r="B27" s="1" t="s">
        <v>166</v>
      </c>
      <c r="C27" s="7" t="s">
        <v>102</v>
      </c>
      <c r="D27" s="7" t="s">
        <v>39</v>
      </c>
      <c r="E27" s="7" t="s">
        <v>38</v>
      </c>
      <c r="F27" s="1" t="s">
        <v>3</v>
      </c>
      <c r="G27" s="1" t="s">
        <v>100</v>
      </c>
      <c r="H27" s="1" t="s">
        <v>130</v>
      </c>
      <c r="I27" s="57">
        <v>44264</v>
      </c>
      <c r="J27" s="5">
        <v>1</v>
      </c>
      <c r="K27" s="5">
        <v>31</v>
      </c>
      <c r="L27" s="5">
        <v>31</v>
      </c>
      <c r="M27" s="4">
        <f>((L27*14700)+(L27*14700)*10%)+11000+((K27*800)+(K27*800)*10%)</f>
        <v>539550</v>
      </c>
      <c r="N27" s="4">
        <f t="shared" ref="N27:N30" si="24">L27*1210</f>
        <v>37510</v>
      </c>
      <c r="O27" s="62">
        <f>((1280*L27)+(400*L27)+(182*L27)+5000)*10%+((1280*L27)+(400*L27)+(182*L27)+5000)</f>
        <v>68994.2</v>
      </c>
      <c r="P27" s="4">
        <f>L27*1100</f>
        <v>34100</v>
      </c>
      <c r="Q27" s="4">
        <f t="shared" ref="Q27" si="25">SUM(M27:P27)</f>
        <v>680154.2</v>
      </c>
      <c r="R27" s="3">
        <v>680154</v>
      </c>
      <c r="S27" s="22" t="s">
        <v>245</v>
      </c>
      <c r="T27" s="3" t="s">
        <v>145</v>
      </c>
      <c r="U27" s="2"/>
      <c r="V27" s="61" t="s">
        <v>181</v>
      </c>
      <c r="W27" s="2" t="s">
        <v>184</v>
      </c>
    </row>
    <row r="28" spans="1:23" x14ac:dyDescent="0.25">
      <c r="A28" s="1">
        <v>27</v>
      </c>
      <c r="B28" s="1" t="s">
        <v>168</v>
      </c>
      <c r="C28" s="7" t="s">
        <v>6</v>
      </c>
      <c r="D28" s="7" t="s">
        <v>5</v>
      </c>
      <c r="E28" s="7" t="s">
        <v>4</v>
      </c>
      <c r="F28" s="1" t="s">
        <v>3</v>
      </c>
      <c r="G28" s="1" t="s">
        <v>78</v>
      </c>
      <c r="H28" s="1" t="s">
        <v>77</v>
      </c>
      <c r="I28" s="57">
        <v>44265</v>
      </c>
      <c r="J28" s="5">
        <v>1</v>
      </c>
      <c r="K28" s="5">
        <v>8</v>
      </c>
      <c r="L28" s="5">
        <v>11.5</v>
      </c>
      <c r="M28" s="4">
        <f>((L28*6300)+(L28*6300)*10%)+11000+(L28*200)</f>
        <v>92995</v>
      </c>
      <c r="N28" s="4">
        <f t="shared" si="24"/>
        <v>13915</v>
      </c>
      <c r="O28" s="4">
        <f t="shared" ref="O28:O29" si="26">2103.2*L28</f>
        <v>24186.799999999999</v>
      </c>
      <c r="P28" s="4">
        <f>L28*2100</f>
        <v>24150</v>
      </c>
      <c r="Q28" s="4">
        <f t="shared" ref="Q28:Q30" si="27">SUM(M28:P28)</f>
        <v>155246.79999999999</v>
      </c>
      <c r="R28" s="3">
        <v>26483000</v>
      </c>
      <c r="S28" s="22" t="s">
        <v>181</v>
      </c>
      <c r="T28" s="3" t="s">
        <v>145</v>
      </c>
      <c r="U28" s="2"/>
      <c r="V28" s="61" t="s">
        <v>182</v>
      </c>
      <c r="W28" s="2"/>
    </row>
    <row r="29" spans="1:23" x14ac:dyDescent="0.25">
      <c r="A29" s="1">
        <v>28</v>
      </c>
      <c r="B29" s="1" t="s">
        <v>169</v>
      </c>
      <c r="C29" s="7" t="s">
        <v>6</v>
      </c>
      <c r="D29" s="7" t="s">
        <v>5</v>
      </c>
      <c r="E29" s="7" t="s">
        <v>4</v>
      </c>
      <c r="F29" s="1" t="s">
        <v>3</v>
      </c>
      <c r="G29" s="1" t="s">
        <v>22</v>
      </c>
      <c r="H29" s="1" t="s">
        <v>21</v>
      </c>
      <c r="I29" s="57">
        <v>44265</v>
      </c>
      <c r="J29" s="5">
        <v>1</v>
      </c>
      <c r="K29" s="5">
        <v>4</v>
      </c>
      <c r="L29" s="5">
        <v>11.5</v>
      </c>
      <c r="M29" s="4">
        <f>((L29*6300)+(L29*6300)*10%)+11000+(0*130)</f>
        <v>90695</v>
      </c>
      <c r="N29" s="4">
        <f t="shared" si="24"/>
        <v>13915</v>
      </c>
      <c r="O29" s="4">
        <f t="shared" si="26"/>
        <v>24186.799999999999</v>
      </c>
      <c r="P29" s="4">
        <f t="shared" ref="P29" si="28">L29*2100</f>
        <v>24150</v>
      </c>
      <c r="Q29" s="4">
        <f t="shared" si="27"/>
        <v>152946.79999999999</v>
      </c>
      <c r="R29" s="3">
        <v>26483000</v>
      </c>
      <c r="S29" s="22" t="s">
        <v>181</v>
      </c>
      <c r="T29" s="3" t="s">
        <v>145</v>
      </c>
      <c r="U29" s="2"/>
      <c r="V29" s="61" t="s">
        <v>182</v>
      </c>
      <c r="W29" s="2"/>
    </row>
    <row r="30" spans="1:23" x14ac:dyDescent="0.25">
      <c r="A30" s="1">
        <v>29</v>
      </c>
      <c r="B30" s="1" t="s">
        <v>185</v>
      </c>
      <c r="C30" s="7" t="s">
        <v>102</v>
      </c>
      <c r="D30" s="7" t="s">
        <v>75</v>
      </c>
      <c r="E30" s="7" t="s">
        <v>186</v>
      </c>
      <c r="F30" s="1" t="s">
        <v>3</v>
      </c>
      <c r="G30" s="1" t="s">
        <v>100</v>
      </c>
      <c r="H30" s="1" t="s">
        <v>187</v>
      </c>
      <c r="I30" s="57">
        <v>44268</v>
      </c>
      <c r="J30" s="5">
        <v>15</v>
      </c>
      <c r="K30" s="5">
        <v>147</v>
      </c>
      <c r="L30" s="5">
        <v>147</v>
      </c>
      <c r="M30" s="4">
        <f>((L30*14700)+(L30*14700)*10%)+11000+((K30*800)+(K30*800)*10%)</f>
        <v>2517350</v>
      </c>
      <c r="N30" s="4">
        <f t="shared" si="24"/>
        <v>177870</v>
      </c>
      <c r="O30" s="4">
        <f>((1280*L30)+(400*L30)+(182*L30)+5000)*10%+((1280*L30)+(400*L30)+(182*L30)+5000)</f>
        <v>306585.40000000002</v>
      </c>
      <c r="P30" s="4">
        <f>L30*500</f>
        <v>73500</v>
      </c>
      <c r="Q30" s="4">
        <f t="shared" si="27"/>
        <v>3075305.4</v>
      </c>
      <c r="R30" s="3">
        <v>3362312</v>
      </c>
      <c r="S30" s="22" t="s">
        <v>244</v>
      </c>
      <c r="T30" s="3" t="s">
        <v>145</v>
      </c>
      <c r="U30" s="2"/>
      <c r="V30" s="61" t="s">
        <v>189</v>
      </c>
      <c r="W30" s="2" t="s">
        <v>201</v>
      </c>
    </row>
    <row r="31" spans="1:23" x14ac:dyDescent="0.25">
      <c r="A31" s="1">
        <v>30</v>
      </c>
      <c r="B31" s="1" t="s">
        <v>188</v>
      </c>
      <c r="C31" s="7" t="s">
        <v>102</v>
      </c>
      <c r="D31" s="7" t="s">
        <v>75</v>
      </c>
      <c r="E31" s="7" t="s">
        <v>186</v>
      </c>
      <c r="F31" s="1" t="s">
        <v>3</v>
      </c>
      <c r="G31" s="1" t="s">
        <v>100</v>
      </c>
      <c r="H31" s="1" t="s">
        <v>187</v>
      </c>
      <c r="I31" s="57">
        <v>44268</v>
      </c>
      <c r="J31" s="5">
        <v>2</v>
      </c>
      <c r="K31" s="5">
        <v>13</v>
      </c>
      <c r="L31" s="5">
        <v>13</v>
      </c>
      <c r="M31" s="4">
        <f>((L31*14700)+(L31*14700)*10%)+11000+((K31*800)+(K31*800)*10%)</f>
        <v>232650</v>
      </c>
      <c r="N31" s="4">
        <f t="shared" ref="N31" si="29">L31*1210</f>
        <v>15730</v>
      </c>
      <c r="O31" s="4">
        <f>((1280*L31)+(400*L31)+(182*L31)+5000)*10%+((1280*L31)+(400*L31)+(182*L31)+5000)</f>
        <v>32126.6</v>
      </c>
      <c r="P31" s="4">
        <f>L31*500</f>
        <v>6500</v>
      </c>
      <c r="Q31" s="4">
        <f t="shared" ref="Q31" si="30">SUM(M31:P31)</f>
        <v>287006.59999999998</v>
      </c>
      <c r="R31" s="3">
        <v>3362312</v>
      </c>
      <c r="S31" s="22" t="s">
        <v>244</v>
      </c>
      <c r="T31" s="3" t="s">
        <v>145</v>
      </c>
      <c r="U31" s="2"/>
      <c r="V31" s="61" t="s">
        <v>189</v>
      </c>
      <c r="W31" s="2" t="s">
        <v>201</v>
      </c>
    </row>
    <row r="32" spans="1:23" x14ac:dyDescent="0.25">
      <c r="A32" s="1">
        <v>31</v>
      </c>
      <c r="B32" s="67" t="s">
        <v>190</v>
      </c>
      <c r="C32" s="7" t="s">
        <v>102</v>
      </c>
      <c r="D32" s="7" t="s">
        <v>5</v>
      </c>
      <c r="E32" s="7" t="s">
        <v>4</v>
      </c>
      <c r="F32" s="1" t="s">
        <v>3</v>
      </c>
      <c r="G32" s="1" t="s">
        <v>70</v>
      </c>
      <c r="H32" s="1" t="s">
        <v>191</v>
      </c>
      <c r="I32" s="57">
        <v>44272</v>
      </c>
      <c r="J32" s="5">
        <v>3</v>
      </c>
      <c r="K32" s="5">
        <v>66</v>
      </c>
      <c r="L32" s="5">
        <v>66</v>
      </c>
      <c r="M32" s="4">
        <f>((L32*9500)+(L32*9500)*10%)+11000+(L32*880)</f>
        <v>758780</v>
      </c>
      <c r="N32" s="4">
        <f t="shared" ref="N32:N45" si="31">L32*1210</f>
        <v>79860</v>
      </c>
      <c r="O32" s="4">
        <f>(L32*2048.2)+5500</f>
        <v>140681.19999999998</v>
      </c>
      <c r="P32" s="4">
        <f>L32*2100</f>
        <v>138600</v>
      </c>
      <c r="Q32" s="4">
        <f t="shared" ref="Q32:Q35" si="32">SUM(M32:P32)</f>
        <v>1117921.2</v>
      </c>
      <c r="R32" s="3">
        <v>14131000</v>
      </c>
      <c r="S32" s="22" t="s">
        <v>246</v>
      </c>
      <c r="T32" s="3" t="s">
        <v>145</v>
      </c>
      <c r="U32" s="2"/>
      <c r="V32" s="61" t="s">
        <v>198</v>
      </c>
      <c r="W32" s="2" t="s">
        <v>202</v>
      </c>
    </row>
    <row r="33" spans="1:23" x14ac:dyDescent="0.25">
      <c r="A33" s="1">
        <v>32</v>
      </c>
      <c r="B33" s="67" t="s">
        <v>192</v>
      </c>
      <c r="C33" s="7" t="s">
        <v>102</v>
      </c>
      <c r="D33" s="7" t="s">
        <v>5</v>
      </c>
      <c r="E33" s="7" t="s">
        <v>4</v>
      </c>
      <c r="F33" s="1" t="s">
        <v>3</v>
      </c>
      <c r="G33" s="1" t="s">
        <v>26</v>
      </c>
      <c r="H33" s="1" t="s">
        <v>193</v>
      </c>
      <c r="I33" s="57">
        <v>44272</v>
      </c>
      <c r="J33" s="5">
        <v>5</v>
      </c>
      <c r="K33" s="5">
        <v>90</v>
      </c>
      <c r="L33" s="5">
        <v>93</v>
      </c>
      <c r="M33" s="4">
        <f>((L33*12100)+(L33*12100)*10%)+11000+(L33*880)</f>
        <v>1330670</v>
      </c>
      <c r="N33" s="4">
        <f t="shared" si="31"/>
        <v>112530</v>
      </c>
      <c r="O33" s="4">
        <f t="shared" ref="O33:O50" si="33">(L33*2048.2)+5500</f>
        <v>195982.59999999998</v>
      </c>
      <c r="P33" s="4">
        <f t="shared" ref="P33:P45" si="34">L33*2100</f>
        <v>195300</v>
      </c>
      <c r="Q33" s="4">
        <f t="shared" si="32"/>
        <v>1834482.6</v>
      </c>
      <c r="R33" s="3">
        <v>14131000</v>
      </c>
      <c r="S33" s="22" t="s">
        <v>246</v>
      </c>
      <c r="T33" s="3" t="s">
        <v>145</v>
      </c>
      <c r="U33" s="2"/>
      <c r="V33" s="61" t="s">
        <v>198</v>
      </c>
      <c r="W33" s="2" t="s">
        <v>202</v>
      </c>
    </row>
    <row r="34" spans="1:23" x14ac:dyDescent="0.25">
      <c r="A34" s="1">
        <v>33</v>
      </c>
      <c r="B34" s="67" t="s">
        <v>194</v>
      </c>
      <c r="C34" s="7" t="s">
        <v>102</v>
      </c>
      <c r="D34" s="7" t="s">
        <v>5</v>
      </c>
      <c r="E34" s="7" t="s">
        <v>4</v>
      </c>
      <c r="F34" s="1" t="s">
        <v>3</v>
      </c>
      <c r="G34" s="1" t="s">
        <v>18</v>
      </c>
      <c r="H34" s="1" t="s">
        <v>195</v>
      </c>
      <c r="I34" s="57">
        <v>44272</v>
      </c>
      <c r="J34" s="5">
        <v>2</v>
      </c>
      <c r="K34" s="5">
        <v>38</v>
      </c>
      <c r="L34" s="5">
        <v>46</v>
      </c>
      <c r="M34" s="4">
        <f>((L34*8800)+(L34*8800)*10%)+11000+(L34*880)</f>
        <v>496760</v>
      </c>
      <c r="N34" s="4">
        <f t="shared" si="31"/>
        <v>55660</v>
      </c>
      <c r="O34" s="4">
        <f t="shared" si="33"/>
        <v>99717.2</v>
      </c>
      <c r="P34" s="4">
        <f t="shared" si="34"/>
        <v>96600</v>
      </c>
      <c r="Q34" s="4">
        <f t="shared" si="32"/>
        <v>748737.2</v>
      </c>
      <c r="R34" s="3">
        <v>14131000</v>
      </c>
      <c r="S34" s="22" t="s">
        <v>246</v>
      </c>
      <c r="T34" s="3" t="s">
        <v>145</v>
      </c>
      <c r="U34" s="2"/>
      <c r="V34" s="61" t="s">
        <v>198</v>
      </c>
      <c r="W34" s="2" t="s">
        <v>202</v>
      </c>
    </row>
    <row r="35" spans="1:23" x14ac:dyDescent="0.25">
      <c r="A35" s="1">
        <v>34</v>
      </c>
      <c r="B35" s="67" t="s">
        <v>196</v>
      </c>
      <c r="C35" s="7" t="s">
        <v>102</v>
      </c>
      <c r="D35" s="7" t="s">
        <v>5</v>
      </c>
      <c r="E35" s="7" t="s">
        <v>4</v>
      </c>
      <c r="F35" s="1" t="s">
        <v>3</v>
      </c>
      <c r="G35" s="1" t="s">
        <v>15</v>
      </c>
      <c r="H35" s="1" t="s">
        <v>197</v>
      </c>
      <c r="I35" s="57">
        <v>44272</v>
      </c>
      <c r="J35" s="5">
        <v>3</v>
      </c>
      <c r="K35" s="5">
        <v>36</v>
      </c>
      <c r="L35" s="5">
        <v>41</v>
      </c>
      <c r="M35" s="4">
        <f>((L35*16300)+(L35*16300)*10%)+(L35*880)+11000</f>
        <v>782210</v>
      </c>
      <c r="N35" s="4">
        <f t="shared" si="31"/>
        <v>49610</v>
      </c>
      <c r="O35" s="4">
        <f t="shared" si="33"/>
        <v>89476.2</v>
      </c>
      <c r="P35" s="4">
        <f t="shared" si="34"/>
        <v>86100</v>
      </c>
      <c r="Q35" s="4">
        <f t="shared" si="32"/>
        <v>1007396.2</v>
      </c>
      <c r="R35" s="3">
        <v>14131000</v>
      </c>
      <c r="S35" s="22" t="s">
        <v>246</v>
      </c>
      <c r="T35" s="3" t="s">
        <v>145</v>
      </c>
      <c r="U35" s="2"/>
      <c r="V35" s="61" t="s">
        <v>198</v>
      </c>
      <c r="W35" s="2" t="s">
        <v>202</v>
      </c>
    </row>
    <row r="36" spans="1:23" x14ac:dyDescent="0.25">
      <c r="A36" s="1">
        <v>35</v>
      </c>
      <c r="B36" s="67" t="s">
        <v>203</v>
      </c>
      <c r="C36" s="7" t="s">
        <v>102</v>
      </c>
      <c r="D36" s="7" t="s">
        <v>5</v>
      </c>
      <c r="E36" s="7" t="s">
        <v>4</v>
      </c>
      <c r="F36" s="1" t="s">
        <v>3</v>
      </c>
      <c r="G36" s="1" t="s">
        <v>70</v>
      </c>
      <c r="H36" s="1" t="s">
        <v>204</v>
      </c>
      <c r="I36" s="57">
        <v>44273</v>
      </c>
      <c r="J36" s="5">
        <v>2</v>
      </c>
      <c r="K36" s="5">
        <v>27</v>
      </c>
      <c r="L36" s="5">
        <v>29</v>
      </c>
      <c r="M36" s="4">
        <f>((((L36*9500)+(L36*800))+10000)*10%)+(((L36*9500)+(L36*800))+10000)</f>
        <v>339570</v>
      </c>
      <c r="N36" s="4">
        <f t="shared" si="31"/>
        <v>35090</v>
      </c>
      <c r="O36" s="4">
        <f t="shared" si="33"/>
        <v>64897.799999999996</v>
      </c>
      <c r="P36" s="4">
        <f t="shared" si="34"/>
        <v>60900</v>
      </c>
      <c r="Q36" s="4">
        <f t="shared" ref="Q36:Q45" si="35">SUM(M36:P36)</f>
        <v>500457.8</v>
      </c>
      <c r="R36" s="3">
        <v>14131000</v>
      </c>
      <c r="S36" s="22" t="s">
        <v>246</v>
      </c>
      <c r="T36" s="3" t="s">
        <v>145</v>
      </c>
      <c r="U36" s="2"/>
      <c r="V36" s="63" t="s">
        <v>220</v>
      </c>
      <c r="W36" s="2" t="s">
        <v>243</v>
      </c>
    </row>
    <row r="37" spans="1:23" x14ac:dyDescent="0.25">
      <c r="A37" s="1">
        <v>36</v>
      </c>
      <c r="B37" s="67" t="s">
        <v>205</v>
      </c>
      <c r="C37" s="7" t="s">
        <v>102</v>
      </c>
      <c r="D37" s="7" t="s">
        <v>5</v>
      </c>
      <c r="E37" s="7" t="s">
        <v>4</v>
      </c>
      <c r="F37" s="1" t="s">
        <v>3</v>
      </c>
      <c r="G37" s="1" t="s">
        <v>18</v>
      </c>
      <c r="H37" s="1" t="s">
        <v>206</v>
      </c>
      <c r="I37" s="57">
        <v>44273</v>
      </c>
      <c r="J37" s="5">
        <v>5</v>
      </c>
      <c r="K37" s="5">
        <v>78</v>
      </c>
      <c r="L37" s="5">
        <v>83</v>
      </c>
      <c r="M37" s="4">
        <f>((((L37*8800)+(L37*800))+10000)*10%)+(((L37*8800)+(L37*800))+10000)</f>
        <v>887480</v>
      </c>
      <c r="N37" s="4">
        <f t="shared" si="31"/>
        <v>100430</v>
      </c>
      <c r="O37" s="4">
        <f t="shared" si="33"/>
        <v>175500.59999999998</v>
      </c>
      <c r="P37" s="4">
        <f t="shared" si="34"/>
        <v>174300</v>
      </c>
      <c r="Q37" s="4">
        <f t="shared" si="35"/>
        <v>1337710.6000000001</v>
      </c>
      <c r="R37" s="3">
        <v>14131000</v>
      </c>
      <c r="S37" s="22" t="s">
        <v>246</v>
      </c>
      <c r="T37" s="3" t="s">
        <v>145</v>
      </c>
      <c r="U37" s="2"/>
      <c r="V37" s="63" t="s">
        <v>220</v>
      </c>
      <c r="W37" s="2" t="s">
        <v>243</v>
      </c>
    </row>
    <row r="38" spans="1:23" x14ac:dyDescent="0.25">
      <c r="A38" s="1">
        <v>37</v>
      </c>
      <c r="B38" s="67" t="s">
        <v>207</v>
      </c>
      <c r="C38" s="7" t="s">
        <v>102</v>
      </c>
      <c r="D38" s="7" t="s">
        <v>5</v>
      </c>
      <c r="E38" s="7" t="s">
        <v>4</v>
      </c>
      <c r="F38" s="1" t="s">
        <v>3</v>
      </c>
      <c r="G38" s="1" t="s">
        <v>9</v>
      </c>
      <c r="H38" s="1" t="s">
        <v>208</v>
      </c>
      <c r="I38" s="57">
        <v>44273</v>
      </c>
      <c r="J38" s="5">
        <v>1</v>
      </c>
      <c r="K38" s="5">
        <v>22</v>
      </c>
      <c r="L38" s="5">
        <v>22</v>
      </c>
      <c r="M38" s="4">
        <f>((((L38*10600)+(L38*800))+10000)*10%)+(((L38*10600)+(L38*800))+10000)</f>
        <v>286880</v>
      </c>
      <c r="N38" s="4">
        <f t="shared" si="31"/>
        <v>26620</v>
      </c>
      <c r="O38" s="4">
        <f t="shared" si="33"/>
        <v>50560.399999999994</v>
      </c>
      <c r="P38" s="4">
        <f t="shared" si="34"/>
        <v>46200</v>
      </c>
      <c r="Q38" s="4">
        <f t="shared" si="35"/>
        <v>410260.4</v>
      </c>
      <c r="R38" s="3">
        <v>14131000</v>
      </c>
      <c r="S38" s="22" t="s">
        <v>246</v>
      </c>
      <c r="T38" s="3" t="s">
        <v>145</v>
      </c>
      <c r="U38" s="2"/>
      <c r="V38" s="63" t="s">
        <v>220</v>
      </c>
      <c r="W38" s="2" t="s">
        <v>243</v>
      </c>
    </row>
    <row r="39" spans="1:23" x14ac:dyDescent="0.25">
      <c r="A39" s="1">
        <v>38</v>
      </c>
      <c r="B39" s="67" t="s">
        <v>209</v>
      </c>
      <c r="C39" s="7" t="s">
        <v>102</v>
      </c>
      <c r="D39" s="7" t="s">
        <v>5</v>
      </c>
      <c r="E39" s="7" t="s">
        <v>4</v>
      </c>
      <c r="F39" s="1" t="s">
        <v>3</v>
      </c>
      <c r="G39" s="1" t="s">
        <v>22</v>
      </c>
      <c r="H39" s="1" t="s">
        <v>210</v>
      </c>
      <c r="I39" s="57">
        <v>44273</v>
      </c>
      <c r="J39" s="5">
        <v>2</v>
      </c>
      <c r="K39" s="5">
        <v>24</v>
      </c>
      <c r="L39" s="5">
        <v>27</v>
      </c>
      <c r="M39" s="4">
        <f>((((L39*5600)+(L39*800))+10000)*10%)+(((L39*5600)+(L39*800))+10000)</f>
        <v>201080</v>
      </c>
      <c r="N39" s="4">
        <f t="shared" si="31"/>
        <v>32670</v>
      </c>
      <c r="O39" s="4">
        <f t="shared" si="33"/>
        <v>60801.399999999994</v>
      </c>
      <c r="P39" s="4">
        <f t="shared" si="34"/>
        <v>56700</v>
      </c>
      <c r="Q39" s="4">
        <f t="shared" si="35"/>
        <v>351251.4</v>
      </c>
      <c r="R39" s="3">
        <v>14131000</v>
      </c>
      <c r="S39" s="22" t="s">
        <v>246</v>
      </c>
      <c r="T39" s="3" t="s">
        <v>145</v>
      </c>
      <c r="U39" s="2"/>
      <c r="V39" s="63" t="s">
        <v>220</v>
      </c>
      <c r="W39" s="2" t="s">
        <v>243</v>
      </c>
    </row>
    <row r="40" spans="1:23" x14ac:dyDescent="0.25">
      <c r="A40" s="1">
        <v>39</v>
      </c>
      <c r="B40" s="67" t="s">
        <v>211</v>
      </c>
      <c r="C40" s="7" t="s">
        <v>102</v>
      </c>
      <c r="D40" s="7" t="s">
        <v>5</v>
      </c>
      <c r="E40" s="7" t="s">
        <v>4</v>
      </c>
      <c r="F40" s="1" t="s">
        <v>3</v>
      </c>
      <c r="G40" s="1" t="s">
        <v>12</v>
      </c>
      <c r="H40" s="1" t="s">
        <v>212</v>
      </c>
      <c r="I40" s="57">
        <v>44273</v>
      </c>
      <c r="J40" s="5">
        <v>1</v>
      </c>
      <c r="K40" s="5">
        <v>21</v>
      </c>
      <c r="L40" s="5">
        <v>22</v>
      </c>
      <c r="M40" s="4">
        <f>((((L40*10800)+(L40*800))+10000)*10%)+(((L40*10800)+(L40*800))+10000)</f>
        <v>291720</v>
      </c>
      <c r="N40" s="4">
        <f t="shared" si="31"/>
        <v>26620</v>
      </c>
      <c r="O40" s="4">
        <f t="shared" si="33"/>
        <v>50560.399999999994</v>
      </c>
      <c r="P40" s="4">
        <f t="shared" si="34"/>
        <v>46200</v>
      </c>
      <c r="Q40" s="4">
        <f t="shared" si="35"/>
        <v>415100.4</v>
      </c>
      <c r="R40" s="3">
        <v>14131000</v>
      </c>
      <c r="S40" s="22" t="s">
        <v>246</v>
      </c>
      <c r="T40" s="3" t="s">
        <v>145</v>
      </c>
      <c r="U40" s="2"/>
      <c r="V40" s="63" t="s">
        <v>220</v>
      </c>
      <c r="W40" s="2" t="s">
        <v>243</v>
      </c>
    </row>
    <row r="41" spans="1:23" x14ac:dyDescent="0.25">
      <c r="A41" s="1">
        <v>40</v>
      </c>
      <c r="B41" s="67" t="s">
        <v>213</v>
      </c>
      <c r="C41" s="7" t="s">
        <v>102</v>
      </c>
      <c r="D41" s="7" t="s">
        <v>5</v>
      </c>
      <c r="E41" s="7" t="s">
        <v>4</v>
      </c>
      <c r="F41" s="1" t="s">
        <v>3</v>
      </c>
      <c r="G41" s="1" t="s">
        <v>18</v>
      </c>
      <c r="H41" s="1" t="s">
        <v>206</v>
      </c>
      <c r="I41" s="57">
        <v>44275</v>
      </c>
      <c r="J41" s="5">
        <v>2</v>
      </c>
      <c r="K41" s="5">
        <v>44</v>
      </c>
      <c r="L41" s="5">
        <v>44</v>
      </c>
      <c r="M41" s="4">
        <f>((((L41*8800)+(L41*800))+10000)*10%)+(((L41*8800)+(L41*800))+10000)</f>
        <v>475640</v>
      </c>
      <c r="N41" s="4">
        <f t="shared" si="31"/>
        <v>53240</v>
      </c>
      <c r="O41" s="4">
        <f t="shared" si="33"/>
        <v>95620.799999999988</v>
      </c>
      <c r="P41" s="4">
        <f t="shared" si="34"/>
        <v>92400</v>
      </c>
      <c r="Q41" s="4">
        <f t="shared" si="35"/>
        <v>716900.8</v>
      </c>
      <c r="R41" s="3">
        <v>14131000</v>
      </c>
      <c r="S41" s="22" t="s">
        <v>246</v>
      </c>
      <c r="T41" s="3" t="s">
        <v>145</v>
      </c>
      <c r="U41" s="2"/>
      <c r="V41" s="63" t="s">
        <v>238</v>
      </c>
      <c r="W41" s="2" t="s">
        <v>240</v>
      </c>
    </row>
    <row r="42" spans="1:23" x14ac:dyDescent="0.25">
      <c r="A42" s="1">
        <v>41</v>
      </c>
      <c r="B42" s="67" t="s">
        <v>214</v>
      </c>
      <c r="C42" s="7" t="s">
        <v>102</v>
      </c>
      <c r="D42" s="7" t="s">
        <v>5</v>
      </c>
      <c r="E42" s="7" t="s">
        <v>4</v>
      </c>
      <c r="F42" s="1" t="s">
        <v>3</v>
      </c>
      <c r="G42" s="1" t="s">
        <v>215</v>
      </c>
      <c r="H42" s="1" t="s">
        <v>216</v>
      </c>
      <c r="I42" s="57">
        <v>44275</v>
      </c>
      <c r="J42" s="5">
        <v>1</v>
      </c>
      <c r="K42" s="5">
        <v>12</v>
      </c>
      <c r="L42" s="5">
        <v>13</v>
      </c>
      <c r="M42" s="4">
        <f>((((L42*23800)+(L42*800))+10000)*10%)+(((L42*23800)+(L42*800))+10000)</f>
        <v>362780</v>
      </c>
      <c r="N42" s="4">
        <f t="shared" si="31"/>
        <v>15730</v>
      </c>
      <c r="O42" s="4">
        <f t="shared" si="33"/>
        <v>32126.6</v>
      </c>
      <c r="P42" s="4">
        <f t="shared" si="34"/>
        <v>27300</v>
      </c>
      <c r="Q42" s="4">
        <f t="shared" si="35"/>
        <v>437936.6</v>
      </c>
      <c r="R42" s="3">
        <v>14131000</v>
      </c>
      <c r="S42" s="22" t="s">
        <v>246</v>
      </c>
      <c r="T42" s="3" t="s">
        <v>145</v>
      </c>
      <c r="U42" s="2"/>
      <c r="V42" s="63" t="s">
        <v>238</v>
      </c>
      <c r="W42" s="2" t="s">
        <v>240</v>
      </c>
    </row>
    <row r="43" spans="1:23" x14ac:dyDescent="0.25">
      <c r="A43" s="1">
        <v>42</v>
      </c>
      <c r="B43" s="67" t="s">
        <v>217</v>
      </c>
      <c r="C43" s="7" t="s">
        <v>102</v>
      </c>
      <c r="D43" s="7" t="s">
        <v>247</v>
      </c>
      <c r="E43" s="7" t="s">
        <v>4</v>
      </c>
      <c r="F43" s="1" t="s">
        <v>3</v>
      </c>
      <c r="G43" s="1" t="s">
        <v>218</v>
      </c>
      <c r="H43" s="1" t="s">
        <v>219</v>
      </c>
      <c r="I43" s="57">
        <v>44275</v>
      </c>
      <c r="J43" s="5">
        <v>3</v>
      </c>
      <c r="K43" s="5">
        <v>73</v>
      </c>
      <c r="L43" s="5">
        <v>73</v>
      </c>
      <c r="M43" s="4">
        <f>((((L43*14200)+(L43*800))+10000)*10%)+(((L43*14200)+(L43*800))+10000)</f>
        <v>1215500</v>
      </c>
      <c r="N43" s="4">
        <f t="shared" si="31"/>
        <v>88330</v>
      </c>
      <c r="O43" s="4">
        <f t="shared" si="33"/>
        <v>155018.59999999998</v>
      </c>
      <c r="P43" s="4">
        <f t="shared" si="34"/>
        <v>153300</v>
      </c>
      <c r="Q43" s="4">
        <f t="shared" si="35"/>
        <v>1612148.6</v>
      </c>
      <c r="R43" s="3">
        <v>1863199</v>
      </c>
      <c r="S43" s="22" t="s">
        <v>246</v>
      </c>
      <c r="T43" s="3" t="s">
        <v>145</v>
      </c>
      <c r="U43" s="2"/>
      <c r="V43" s="63" t="s">
        <v>238</v>
      </c>
      <c r="W43" s="2" t="s">
        <v>240</v>
      </c>
    </row>
    <row r="44" spans="1:23" x14ac:dyDescent="0.25">
      <c r="A44" s="1">
        <v>43</v>
      </c>
      <c r="B44" s="67" t="s">
        <v>225</v>
      </c>
      <c r="C44" s="7" t="s">
        <v>102</v>
      </c>
      <c r="D44" s="7" t="s">
        <v>5</v>
      </c>
      <c r="E44" s="7" t="s">
        <v>4</v>
      </c>
      <c r="F44" s="1" t="s">
        <v>3</v>
      </c>
      <c r="G44" s="1" t="s">
        <v>70</v>
      </c>
      <c r="H44" s="1" t="s">
        <v>204</v>
      </c>
      <c r="I44" s="57">
        <v>44278</v>
      </c>
      <c r="J44" s="5">
        <v>10</v>
      </c>
      <c r="K44" s="5">
        <v>184</v>
      </c>
      <c r="L44" s="5">
        <v>184</v>
      </c>
      <c r="M44" s="4">
        <f>((((L44*9500)+(L44*800))+10000)*10%)+(((L44*9500)+(L44*800))+10000)</f>
        <v>2095720</v>
      </c>
      <c r="N44" s="4">
        <f t="shared" si="31"/>
        <v>222640</v>
      </c>
      <c r="O44" s="4">
        <f t="shared" si="33"/>
        <v>382368.8</v>
      </c>
      <c r="P44" s="4">
        <f t="shared" si="34"/>
        <v>386400</v>
      </c>
      <c r="Q44" s="4">
        <f t="shared" si="35"/>
        <v>3087128.8</v>
      </c>
      <c r="R44" s="3">
        <v>14131000</v>
      </c>
      <c r="S44" s="22" t="s">
        <v>246</v>
      </c>
      <c r="T44" s="3" t="s">
        <v>145</v>
      </c>
      <c r="U44" s="2"/>
      <c r="V44" s="61" t="s">
        <v>239</v>
      </c>
      <c r="W44" s="2" t="s">
        <v>224</v>
      </c>
    </row>
    <row r="45" spans="1:23" x14ac:dyDescent="0.25">
      <c r="A45" s="1">
        <v>44</v>
      </c>
      <c r="B45" s="67" t="s">
        <v>226</v>
      </c>
      <c r="C45" s="7" t="s">
        <v>102</v>
      </c>
      <c r="D45" s="7" t="s">
        <v>5</v>
      </c>
      <c r="E45" s="7" t="s">
        <v>4</v>
      </c>
      <c r="F45" s="1" t="s">
        <v>3</v>
      </c>
      <c r="G45" s="1" t="s">
        <v>26</v>
      </c>
      <c r="H45" s="1" t="s">
        <v>227</v>
      </c>
      <c r="I45" s="57">
        <v>44278</v>
      </c>
      <c r="J45" s="5">
        <v>1</v>
      </c>
      <c r="K45" s="5">
        <v>9</v>
      </c>
      <c r="L45" s="5">
        <v>10</v>
      </c>
      <c r="M45" s="4">
        <f>((((L45*12100)+(L45*800))+10000)*10%)+(((L45*12100)+(L45*800))+10000)</f>
        <v>152900</v>
      </c>
      <c r="N45" s="4">
        <f t="shared" si="31"/>
        <v>12100</v>
      </c>
      <c r="O45" s="4">
        <f t="shared" si="33"/>
        <v>25982</v>
      </c>
      <c r="P45" s="4">
        <f t="shared" si="34"/>
        <v>21000</v>
      </c>
      <c r="Q45" s="4">
        <f t="shared" si="35"/>
        <v>211982</v>
      </c>
      <c r="R45" s="3">
        <v>14131000</v>
      </c>
      <c r="S45" s="22" t="s">
        <v>246</v>
      </c>
      <c r="T45" s="3" t="s">
        <v>145</v>
      </c>
      <c r="U45" s="2"/>
      <c r="V45" s="61" t="s">
        <v>239</v>
      </c>
      <c r="W45" s="2" t="s">
        <v>224</v>
      </c>
    </row>
    <row r="46" spans="1:23" x14ac:dyDescent="0.25">
      <c r="A46" s="1">
        <v>45</v>
      </c>
      <c r="B46" s="67" t="s">
        <v>228</v>
      </c>
      <c r="C46" s="7" t="s">
        <v>102</v>
      </c>
      <c r="D46" s="7" t="s">
        <v>5</v>
      </c>
      <c r="E46" s="7" t="s">
        <v>4</v>
      </c>
      <c r="F46" s="1" t="s">
        <v>3</v>
      </c>
      <c r="G46" s="1" t="s">
        <v>15</v>
      </c>
      <c r="H46" s="1" t="s">
        <v>229</v>
      </c>
      <c r="I46" s="57">
        <v>44278</v>
      </c>
      <c r="J46" s="5">
        <v>2</v>
      </c>
      <c r="K46" s="5">
        <v>27</v>
      </c>
      <c r="L46" s="5">
        <v>27</v>
      </c>
      <c r="M46" s="4">
        <f>((((L46*16300)+(L46*800))+10000)*10%)+(((L46*16300)+(L46*800))+10000)</f>
        <v>518870</v>
      </c>
      <c r="N46" s="4">
        <f t="shared" ref="N46:N51" si="36">L46*1210</f>
        <v>32670</v>
      </c>
      <c r="O46" s="4">
        <f t="shared" si="33"/>
        <v>60801.399999999994</v>
      </c>
      <c r="P46" s="4">
        <f t="shared" ref="P46:P50" si="37">L46*2100</f>
        <v>56700</v>
      </c>
      <c r="Q46" s="4">
        <f t="shared" ref="Q46:Q51" si="38">SUM(M46:P46)</f>
        <v>669041.4</v>
      </c>
      <c r="R46" s="3">
        <v>14131000</v>
      </c>
      <c r="S46" s="22" t="s">
        <v>246</v>
      </c>
      <c r="T46" s="3" t="s">
        <v>145</v>
      </c>
      <c r="U46" s="2"/>
      <c r="V46" s="61" t="s">
        <v>239</v>
      </c>
      <c r="W46" s="2" t="s">
        <v>224</v>
      </c>
    </row>
    <row r="47" spans="1:23" x14ac:dyDescent="0.25">
      <c r="A47" s="1">
        <v>46</v>
      </c>
      <c r="B47" s="67" t="s">
        <v>230</v>
      </c>
      <c r="C47" s="7" t="s">
        <v>102</v>
      </c>
      <c r="D47" s="7" t="s">
        <v>5</v>
      </c>
      <c r="E47" s="7" t="s">
        <v>4</v>
      </c>
      <c r="F47" s="1" t="s">
        <v>3</v>
      </c>
      <c r="G47" s="1" t="s">
        <v>231</v>
      </c>
      <c r="H47" s="1" t="s">
        <v>232</v>
      </c>
      <c r="I47" s="57">
        <v>44278</v>
      </c>
      <c r="J47" s="5">
        <v>1</v>
      </c>
      <c r="K47" s="5">
        <v>6</v>
      </c>
      <c r="L47" s="5">
        <v>10</v>
      </c>
      <c r="M47" s="4">
        <f>((((L47*6300)+(L47*800))+10000)*10%)+(((L47*6300)+(L47*800))+10000)</f>
        <v>89100</v>
      </c>
      <c r="N47" s="4">
        <f t="shared" si="36"/>
        <v>12100</v>
      </c>
      <c r="O47" s="4">
        <f t="shared" si="33"/>
        <v>25982</v>
      </c>
      <c r="P47" s="4">
        <f t="shared" si="37"/>
        <v>21000</v>
      </c>
      <c r="Q47" s="4">
        <f t="shared" si="38"/>
        <v>148182</v>
      </c>
      <c r="R47" s="3">
        <v>14131000</v>
      </c>
      <c r="S47" s="22" t="s">
        <v>246</v>
      </c>
      <c r="T47" s="3" t="s">
        <v>145</v>
      </c>
      <c r="U47" s="2"/>
      <c r="V47" s="61" t="s">
        <v>239</v>
      </c>
      <c r="W47" s="2" t="s">
        <v>224</v>
      </c>
    </row>
    <row r="48" spans="1:23" x14ac:dyDescent="0.25">
      <c r="A48" s="1">
        <v>47</v>
      </c>
      <c r="B48" s="67" t="s">
        <v>233</v>
      </c>
      <c r="C48" s="7" t="s">
        <v>102</v>
      </c>
      <c r="D48" s="7" t="s">
        <v>5</v>
      </c>
      <c r="E48" s="7" t="s">
        <v>4</v>
      </c>
      <c r="F48" s="1" t="s">
        <v>3</v>
      </c>
      <c r="G48" s="1" t="s">
        <v>18</v>
      </c>
      <c r="H48" s="1" t="s">
        <v>234</v>
      </c>
      <c r="I48" s="57">
        <v>44278</v>
      </c>
      <c r="J48" s="5">
        <v>3</v>
      </c>
      <c r="K48" s="5">
        <v>47</v>
      </c>
      <c r="L48" s="5">
        <v>51</v>
      </c>
      <c r="M48" s="4">
        <f>((((L48*8800)+(L48*800))+10000)*10%)+(((L48*8800)+(L48*800))+10000)</f>
        <v>549560</v>
      </c>
      <c r="N48" s="4">
        <f t="shared" si="36"/>
        <v>61710</v>
      </c>
      <c r="O48" s="4">
        <f t="shared" si="33"/>
        <v>109958.2</v>
      </c>
      <c r="P48" s="4">
        <f t="shared" si="37"/>
        <v>107100</v>
      </c>
      <c r="Q48" s="4">
        <f t="shared" si="38"/>
        <v>828328.2</v>
      </c>
      <c r="R48" s="3">
        <v>14131000</v>
      </c>
      <c r="S48" s="22" t="s">
        <v>246</v>
      </c>
      <c r="T48" s="3" t="s">
        <v>145</v>
      </c>
      <c r="U48" s="2"/>
      <c r="V48" s="61" t="s">
        <v>239</v>
      </c>
      <c r="W48" s="2" t="s">
        <v>224</v>
      </c>
    </row>
    <row r="49" spans="1:23" x14ac:dyDescent="0.25">
      <c r="A49" s="1">
        <v>48</v>
      </c>
      <c r="B49" s="67" t="s">
        <v>235</v>
      </c>
      <c r="C49" s="7" t="s">
        <v>102</v>
      </c>
      <c r="D49" s="7" t="s">
        <v>5</v>
      </c>
      <c r="E49" s="7" t="s">
        <v>4</v>
      </c>
      <c r="F49" s="1" t="s">
        <v>3</v>
      </c>
      <c r="G49" s="1" t="s">
        <v>100</v>
      </c>
      <c r="H49" s="1" t="s">
        <v>187</v>
      </c>
      <c r="I49" s="57">
        <v>44278</v>
      </c>
      <c r="J49" s="5">
        <v>1</v>
      </c>
      <c r="K49" s="5">
        <v>7</v>
      </c>
      <c r="L49" s="5">
        <v>10</v>
      </c>
      <c r="M49" s="4">
        <f>((((L49*14700)+(L49*800))+10000)*10%)+(((L49*14700)+(L49*800))+10000)</f>
        <v>181500</v>
      </c>
      <c r="N49" s="64">
        <f t="shared" si="36"/>
        <v>12100</v>
      </c>
      <c r="O49" s="4">
        <f t="shared" si="33"/>
        <v>25982</v>
      </c>
      <c r="P49" s="64">
        <f t="shared" si="37"/>
        <v>21000</v>
      </c>
      <c r="Q49" s="4">
        <f t="shared" si="38"/>
        <v>240582</v>
      </c>
      <c r="R49" s="3">
        <v>14131000</v>
      </c>
      <c r="S49" s="22" t="s">
        <v>246</v>
      </c>
      <c r="T49" s="3" t="s">
        <v>145</v>
      </c>
      <c r="U49" s="2"/>
      <c r="V49" s="61" t="s">
        <v>239</v>
      </c>
      <c r="W49" s="2" t="s">
        <v>224</v>
      </c>
    </row>
    <row r="50" spans="1:23" x14ac:dyDescent="0.25">
      <c r="A50" s="1">
        <v>49</v>
      </c>
      <c r="B50" s="67" t="s">
        <v>236</v>
      </c>
      <c r="C50" s="7" t="s">
        <v>102</v>
      </c>
      <c r="D50" s="7" t="s">
        <v>5</v>
      </c>
      <c r="E50" s="7" t="s">
        <v>4</v>
      </c>
      <c r="F50" s="1" t="s">
        <v>3</v>
      </c>
      <c r="G50" s="1" t="s">
        <v>2</v>
      </c>
      <c r="H50" s="1" t="s">
        <v>237</v>
      </c>
      <c r="I50" s="57">
        <v>44278</v>
      </c>
      <c r="J50" s="5">
        <v>1</v>
      </c>
      <c r="K50" s="5">
        <v>9</v>
      </c>
      <c r="L50" s="5">
        <v>10</v>
      </c>
      <c r="M50" s="4">
        <f>((((L50*13800)+(L50*800))+10000)*10%)+(((L50*13800)+(L50*800))+10000)</f>
        <v>171600</v>
      </c>
      <c r="N50" s="64">
        <f t="shared" si="36"/>
        <v>12100</v>
      </c>
      <c r="O50" s="4">
        <f t="shared" si="33"/>
        <v>25982</v>
      </c>
      <c r="P50" s="64">
        <f t="shared" si="37"/>
        <v>21000</v>
      </c>
      <c r="Q50" s="4">
        <f t="shared" si="38"/>
        <v>230682</v>
      </c>
      <c r="R50" s="3">
        <v>14131000</v>
      </c>
      <c r="S50" s="22" t="s">
        <v>246</v>
      </c>
      <c r="T50" s="3" t="s">
        <v>145</v>
      </c>
      <c r="U50" s="2"/>
      <c r="V50" s="61" t="s">
        <v>239</v>
      </c>
      <c r="W50" s="2" t="s">
        <v>224</v>
      </c>
    </row>
    <row r="51" spans="1:23" x14ac:dyDescent="0.25">
      <c r="A51" s="76">
        <v>50</v>
      </c>
      <c r="B51" s="76" t="s">
        <v>241</v>
      </c>
      <c r="C51" s="77" t="s">
        <v>102</v>
      </c>
      <c r="D51" s="77" t="s">
        <v>39</v>
      </c>
      <c r="E51" s="77" t="s">
        <v>242</v>
      </c>
      <c r="F51" s="76" t="s">
        <v>3</v>
      </c>
      <c r="G51" s="76" t="s">
        <v>9</v>
      </c>
      <c r="H51" s="76" t="s">
        <v>208</v>
      </c>
      <c r="I51" s="78">
        <v>44279</v>
      </c>
      <c r="J51" s="79">
        <v>15</v>
      </c>
      <c r="K51" s="79">
        <v>149</v>
      </c>
      <c r="L51" s="79">
        <v>149</v>
      </c>
      <c r="M51" s="80">
        <f>((((L51*10600)+(L51*800))+10000)*10%)+(((L51*10600)+(L51*800))+10000)</f>
        <v>1879460</v>
      </c>
      <c r="N51" s="81">
        <f t="shared" si="36"/>
        <v>180290</v>
      </c>
      <c r="O51" s="81">
        <f t="shared" ref="O51" si="39">((1280*L51)+(400*L51)+(182*L51)+5000)*10%+((1280*L51)+(400*L51)+(182*L51)+5000)</f>
        <v>310681.8</v>
      </c>
      <c r="P51" s="81">
        <f>L51*1100</f>
        <v>163900</v>
      </c>
      <c r="Q51" s="80">
        <f t="shared" si="38"/>
        <v>2534331.7999999998</v>
      </c>
      <c r="R51" s="82" t="s">
        <v>0</v>
      </c>
      <c r="S51" s="82" t="s">
        <v>0</v>
      </c>
      <c r="T51" s="82" t="s">
        <v>0</v>
      </c>
      <c r="U51" s="83"/>
      <c r="V51" s="84" t="s">
        <v>239</v>
      </c>
      <c r="W51" s="83" t="s">
        <v>224</v>
      </c>
    </row>
    <row r="52" spans="1:23" x14ac:dyDescent="0.25">
      <c r="K52" s="18"/>
      <c r="O52" s="66"/>
      <c r="P52" s="18"/>
      <c r="Q52" s="62"/>
      <c r="R52" s="69"/>
    </row>
    <row r="53" spans="1:23" x14ac:dyDescent="0.25">
      <c r="L53" s="68"/>
      <c r="R53" s="18"/>
    </row>
    <row r="54" spans="1:23" x14ac:dyDescent="0.25">
      <c r="L54" s="68"/>
    </row>
    <row r="55" spans="1:23" x14ac:dyDescent="0.25">
      <c r="L55" s="68"/>
    </row>
    <row r="56" spans="1:23" x14ac:dyDescent="0.25">
      <c r="L56" s="68"/>
    </row>
    <row r="57" spans="1:23" x14ac:dyDescent="0.25">
      <c r="L57" s="68"/>
    </row>
    <row r="58" spans="1:23" x14ac:dyDescent="0.25">
      <c r="L58" s="68"/>
    </row>
    <row r="59" spans="1:23" x14ac:dyDescent="0.25">
      <c r="L59" s="68"/>
    </row>
  </sheetData>
  <autoFilter ref="A1:U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pane xSplit="2" topLeftCell="C1" activePane="topRight" state="frozen"/>
      <selection pane="topRight" activeCell="D2" sqref="D2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12.7109375" bestFit="1" customWidth="1"/>
    <col min="5" max="5" width="18.140625" bestFit="1" customWidth="1"/>
    <col min="9" max="9" width="10.28515625" style="55" bestFit="1" customWidth="1"/>
    <col min="13" max="13" width="10.5703125" bestFit="1" customWidth="1"/>
    <col min="16" max="17" width="11.5703125" bestFit="1" customWidth="1"/>
    <col min="18" max="20" width="12.42578125" bestFit="1" customWidth="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3">
        <v>1</v>
      </c>
      <c r="B2" s="12" t="s">
        <v>248</v>
      </c>
      <c r="C2" s="1" t="s">
        <v>6</v>
      </c>
      <c r="D2" s="7" t="s">
        <v>75</v>
      </c>
      <c r="E2" s="7" t="s">
        <v>249</v>
      </c>
      <c r="F2" s="1" t="s">
        <v>3</v>
      </c>
      <c r="G2" s="1" t="s">
        <v>73</v>
      </c>
      <c r="H2" s="1" t="s">
        <v>250</v>
      </c>
      <c r="I2" s="6">
        <v>44327</v>
      </c>
      <c r="J2" s="5">
        <v>3</v>
      </c>
      <c r="K2" s="11">
        <v>75</v>
      </c>
      <c r="L2" s="11">
        <v>75</v>
      </c>
      <c r="M2" s="4">
        <f>((L2*73200)+(L2*73200)*10%)+11000+(K2*143)</f>
        <v>6060725</v>
      </c>
      <c r="N2" s="4">
        <f t="shared" ref="N2" si="0">L2*1210</f>
        <v>90750</v>
      </c>
      <c r="O2" s="4">
        <f>(2103.2*L2)+110000</f>
        <v>267740</v>
      </c>
      <c r="P2" s="4">
        <f>L2*500</f>
        <v>37500</v>
      </c>
      <c r="Q2" s="4">
        <f t="shared" ref="Q2" si="1">SUM(M2:P2)</f>
        <v>6456715</v>
      </c>
      <c r="R2" s="3">
        <v>6710144</v>
      </c>
      <c r="S2" s="22" t="s">
        <v>251</v>
      </c>
      <c r="T2" s="3" t="s">
        <v>66</v>
      </c>
      <c r="U2" s="3"/>
      <c r="V2" s="61"/>
      <c r="W2" s="2"/>
    </row>
    <row r="3" spans="1:23" x14ac:dyDescent="0.25">
      <c r="A3" s="9">
        <v>2</v>
      </c>
      <c r="B3" s="12" t="s">
        <v>252</v>
      </c>
      <c r="C3" s="1" t="s">
        <v>6</v>
      </c>
      <c r="D3" s="12" t="s">
        <v>5</v>
      </c>
      <c r="E3" s="12" t="s">
        <v>4</v>
      </c>
      <c r="F3" s="9" t="s">
        <v>3</v>
      </c>
      <c r="G3" s="9" t="s">
        <v>15</v>
      </c>
      <c r="H3" s="12" t="s">
        <v>148</v>
      </c>
      <c r="I3" s="6">
        <v>44335</v>
      </c>
      <c r="J3" s="12">
        <v>4</v>
      </c>
      <c r="K3" s="12">
        <v>106</v>
      </c>
      <c r="L3" s="12">
        <v>106</v>
      </c>
      <c r="M3" s="4">
        <f>((L3*17000)+(L3*17000)*10%)+11000+(K3*0)</f>
        <v>1993200</v>
      </c>
      <c r="N3" s="4">
        <f t="shared" ref="N3:N4" si="2">L3*1210</f>
        <v>128260</v>
      </c>
      <c r="O3" s="4">
        <f>(2103.2*L3)</f>
        <v>222939.19999999998</v>
      </c>
      <c r="P3" s="4">
        <f>L3*2100</f>
        <v>222600</v>
      </c>
      <c r="Q3" s="4">
        <f t="shared" ref="Q3:Q4" si="3">SUM(M3:P3)</f>
        <v>2566999.2000000002</v>
      </c>
      <c r="R3" s="3">
        <v>4935000</v>
      </c>
      <c r="S3" s="22" t="s">
        <v>255</v>
      </c>
      <c r="T3" s="3" t="s">
        <v>66</v>
      </c>
      <c r="U3" s="2"/>
      <c r="V3" s="2"/>
      <c r="W3" s="2"/>
    </row>
    <row r="4" spans="1:23" x14ac:dyDescent="0.25">
      <c r="A4" s="9">
        <v>3</v>
      </c>
      <c r="B4" s="12" t="s">
        <v>253</v>
      </c>
      <c r="C4" s="1" t="s">
        <v>6</v>
      </c>
      <c r="D4" s="12" t="s">
        <v>5</v>
      </c>
      <c r="E4" s="12" t="s">
        <v>254</v>
      </c>
      <c r="F4" s="9" t="s">
        <v>3</v>
      </c>
      <c r="G4" s="9" t="s">
        <v>2</v>
      </c>
      <c r="H4" s="12" t="s">
        <v>28</v>
      </c>
      <c r="I4" s="6">
        <v>44338</v>
      </c>
      <c r="J4" s="12">
        <v>5</v>
      </c>
      <c r="K4" s="12">
        <v>96</v>
      </c>
      <c r="L4" s="12">
        <v>108</v>
      </c>
      <c r="M4" s="4">
        <f>((L4*14500)+(L4*14500)*10%)+11000+(K4*0)</f>
        <v>1733600</v>
      </c>
      <c r="N4" s="4">
        <f t="shared" si="2"/>
        <v>130680</v>
      </c>
      <c r="O4" s="4">
        <f>(2103.2*L4)</f>
        <v>227145.59999999998</v>
      </c>
      <c r="P4" s="4">
        <f>L4*2100</f>
        <v>226800</v>
      </c>
      <c r="Q4" s="4">
        <f t="shared" si="3"/>
        <v>2318225.6</v>
      </c>
      <c r="R4" s="3">
        <v>4935000</v>
      </c>
      <c r="S4" s="22" t="s">
        <v>255</v>
      </c>
      <c r="T4" s="3" t="s">
        <v>66</v>
      </c>
      <c r="U4" s="2"/>
      <c r="V4" s="2"/>
      <c r="W4" s="2"/>
    </row>
    <row r="5" spans="1:23" x14ac:dyDescent="0.25">
      <c r="L5" s="68"/>
      <c r="Q5" s="18"/>
    </row>
    <row r="6" spans="1:23" x14ac:dyDescent="0.25">
      <c r="L6" s="68"/>
      <c r="Q6" s="18"/>
    </row>
    <row r="7" spans="1:23" x14ac:dyDescent="0.25">
      <c r="L7" s="68"/>
    </row>
    <row r="8" spans="1:23" x14ac:dyDescent="0.25">
      <c r="L8" s="68"/>
    </row>
    <row r="9" spans="1:23" x14ac:dyDescent="0.25">
      <c r="L9" s="68"/>
    </row>
    <row r="10" spans="1:23" x14ac:dyDescent="0.25">
      <c r="L10" s="68"/>
    </row>
  </sheetData>
  <autoFilter ref="A1:U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Q5" sqref="Q4:Q5"/>
    </sheetView>
  </sheetViews>
  <sheetFormatPr defaultRowHeight="15" x14ac:dyDescent="0.25"/>
  <cols>
    <col min="1" max="1" width="9.140625" style="71"/>
    <col min="2" max="2" width="12.7109375" style="71" bestFit="1" customWidth="1"/>
    <col min="3" max="3" width="11.140625" style="71" bestFit="1" customWidth="1"/>
    <col min="4" max="4" width="10.140625" style="71" bestFit="1" customWidth="1"/>
    <col min="5" max="5" width="16.42578125" style="71" bestFit="1" customWidth="1"/>
    <col min="6" max="7" width="9.140625" style="73"/>
    <col min="8" max="8" width="9.140625" style="71"/>
    <col min="9" max="9" width="10.28515625" style="74" bestFit="1" customWidth="1"/>
    <col min="10" max="12" width="9.140625" style="71"/>
    <col min="13" max="13" width="10.28515625" style="71" bestFit="1" customWidth="1"/>
    <col min="14" max="16" width="9.140625" style="71"/>
    <col min="17" max="17" width="10.28515625" style="71" bestFit="1" customWidth="1"/>
    <col min="18" max="18" width="13.28515625" style="71" bestFit="1" customWidth="1"/>
    <col min="19" max="19" width="12.85546875" style="71" bestFit="1" customWidth="1"/>
    <col min="20" max="20" width="12.42578125" style="71" bestFit="1" customWidth="1"/>
    <col min="21" max="16384" width="9.140625" style="7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3">
        <v>1</v>
      </c>
      <c r="B2" s="12" t="s">
        <v>256</v>
      </c>
      <c r="C2" s="1" t="s">
        <v>6</v>
      </c>
      <c r="D2" s="7" t="s">
        <v>257</v>
      </c>
      <c r="E2" s="7" t="s">
        <v>254</v>
      </c>
      <c r="F2" s="1" t="s">
        <v>3</v>
      </c>
      <c r="G2" s="1" t="s">
        <v>73</v>
      </c>
      <c r="H2" s="1" t="s">
        <v>72</v>
      </c>
      <c r="I2" s="6">
        <v>44366</v>
      </c>
      <c r="J2" s="5">
        <v>1</v>
      </c>
      <c r="K2" s="11">
        <v>27</v>
      </c>
      <c r="L2" s="11">
        <v>27</v>
      </c>
      <c r="M2" s="4">
        <f>((L2*24400)+(L2*24400)*10%)+11000+(0*143)</f>
        <v>735680</v>
      </c>
      <c r="N2" s="4">
        <f t="shared" ref="N2" si="0">L2*1210</f>
        <v>32670</v>
      </c>
      <c r="O2" s="4">
        <f>(2103.2*L2)</f>
        <v>56786.399999999994</v>
      </c>
      <c r="P2" s="4">
        <f>L2*1100</f>
        <v>29700</v>
      </c>
      <c r="Q2" s="4">
        <f t="shared" ref="Q2" si="1">SUM(M2:P2)</f>
        <v>854836.4</v>
      </c>
      <c r="R2" s="3">
        <v>904836</v>
      </c>
      <c r="S2" s="22" t="s">
        <v>259</v>
      </c>
      <c r="T2" s="3" t="s">
        <v>145</v>
      </c>
      <c r="U2" s="3"/>
      <c r="V2" s="72"/>
      <c r="W2" s="12"/>
    </row>
    <row r="3" spans="1:23" x14ac:dyDescent="0.25">
      <c r="A3" s="9">
        <v>2</v>
      </c>
      <c r="B3" s="12" t="s">
        <v>258</v>
      </c>
      <c r="C3" s="1" t="s">
        <v>6</v>
      </c>
      <c r="D3" s="12" t="s">
        <v>39</v>
      </c>
      <c r="E3" s="12" t="s">
        <v>38</v>
      </c>
      <c r="F3" s="9" t="s">
        <v>3</v>
      </c>
      <c r="G3" s="9" t="s">
        <v>9</v>
      </c>
      <c r="H3" s="12" t="s">
        <v>8</v>
      </c>
      <c r="I3" s="6">
        <v>44366</v>
      </c>
      <c r="J3" s="12">
        <v>10</v>
      </c>
      <c r="K3" s="12">
        <v>127</v>
      </c>
      <c r="L3" s="12">
        <v>127</v>
      </c>
      <c r="M3" s="4">
        <f>((L3*11300)+(L3*11300)*10%)+11000+(200*K3)</f>
        <v>1615010</v>
      </c>
      <c r="N3" s="4">
        <f t="shared" ref="N3" si="2">L3*1210</f>
        <v>153670</v>
      </c>
      <c r="O3" s="4">
        <f>(2103.2*L3)</f>
        <v>267106.39999999997</v>
      </c>
      <c r="P3" s="4">
        <f>L3*1100</f>
        <v>139700</v>
      </c>
      <c r="Q3" s="4">
        <f t="shared" ref="Q3" si="3">SUM(M3:P3)</f>
        <v>2175486.4</v>
      </c>
      <c r="R3" s="70">
        <v>2175486</v>
      </c>
      <c r="S3" s="22" t="s">
        <v>259</v>
      </c>
      <c r="T3" s="3" t="s">
        <v>145</v>
      </c>
      <c r="U3" s="12"/>
      <c r="V3" s="12"/>
      <c r="W3" s="12"/>
    </row>
    <row r="4" spans="1:23" x14ac:dyDescent="0.25">
      <c r="A4" s="9">
        <v>3</v>
      </c>
      <c r="B4" s="12" t="s">
        <v>260</v>
      </c>
      <c r="C4" s="12" t="s">
        <v>6</v>
      </c>
      <c r="D4" s="12" t="s">
        <v>261</v>
      </c>
      <c r="E4" s="12" t="s">
        <v>262</v>
      </c>
      <c r="F4" s="9" t="s">
        <v>3</v>
      </c>
      <c r="G4" s="9" t="s">
        <v>263</v>
      </c>
      <c r="H4" s="12" t="s">
        <v>108</v>
      </c>
      <c r="I4" s="75">
        <v>44370</v>
      </c>
      <c r="J4" s="12">
        <v>1</v>
      </c>
      <c r="K4" s="12">
        <v>29</v>
      </c>
      <c r="L4" s="12">
        <v>29</v>
      </c>
      <c r="M4" s="4">
        <f>((L4*53300)+(L4*53300)*10%)+11000+(200*0)</f>
        <v>1711270</v>
      </c>
      <c r="N4" s="4">
        <f t="shared" ref="N4" si="4">L4*1210</f>
        <v>35090</v>
      </c>
      <c r="O4" s="4">
        <f>(2103.2*L4)</f>
        <v>60992.799999999996</v>
      </c>
      <c r="P4" s="4">
        <f>L4*2500</f>
        <v>72500</v>
      </c>
      <c r="Q4" s="4">
        <f t="shared" ref="Q4" si="5">SUM(M4:P4)</f>
        <v>1879852.8</v>
      </c>
      <c r="R4" s="70" t="s">
        <v>0</v>
      </c>
      <c r="S4" s="70" t="s">
        <v>0</v>
      </c>
      <c r="T4" s="70" t="s">
        <v>0</v>
      </c>
    </row>
    <row r="5" spans="1:23" x14ac:dyDescent="0.25">
      <c r="A5" s="9">
        <v>4</v>
      </c>
      <c r="B5" s="12" t="s">
        <v>264</v>
      </c>
      <c r="C5" s="12" t="s">
        <v>6</v>
      </c>
      <c r="D5" s="12" t="s">
        <v>261</v>
      </c>
      <c r="E5" s="12" t="s">
        <v>62</v>
      </c>
      <c r="F5" s="9" t="s">
        <v>3</v>
      </c>
      <c r="G5" s="9" t="s">
        <v>265</v>
      </c>
      <c r="H5" s="12" t="s">
        <v>266</v>
      </c>
      <c r="I5" s="75">
        <v>44371</v>
      </c>
      <c r="J5" s="12">
        <v>1</v>
      </c>
      <c r="K5" s="12">
        <v>2</v>
      </c>
      <c r="L5" s="12">
        <v>10</v>
      </c>
      <c r="M5" s="4">
        <f>((L5*11300)+(L5*11300)*10%)+11000+(200*0)</f>
        <v>135300</v>
      </c>
      <c r="N5" s="4">
        <f t="shared" ref="N5" si="6">L5*1210</f>
        <v>12100</v>
      </c>
      <c r="O5" s="4">
        <f>(2103.2*L5)</f>
        <v>21032</v>
      </c>
      <c r="P5" s="4">
        <f>L5*2500</f>
        <v>25000</v>
      </c>
      <c r="Q5" s="4">
        <f t="shared" ref="Q5" si="7">SUM(M5:P5)</f>
        <v>193432</v>
      </c>
      <c r="R5" s="70" t="s">
        <v>0</v>
      </c>
      <c r="S5" s="70" t="s">
        <v>0</v>
      </c>
      <c r="T5" s="70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5"/>
  <sheetViews>
    <sheetView tabSelected="1" topLeftCell="F1" workbookViewId="0">
      <selection activeCell="Q6" sqref="Q6:Q15"/>
    </sheetView>
  </sheetViews>
  <sheetFormatPr defaultRowHeight="15" x14ac:dyDescent="0.25"/>
  <cols>
    <col min="1" max="1" width="4.28515625" style="71" bestFit="1" customWidth="1"/>
    <col min="2" max="2" width="12.7109375" style="71" bestFit="1" customWidth="1"/>
    <col min="3" max="3" width="11.140625" style="71" bestFit="1" customWidth="1"/>
    <col min="4" max="4" width="16.7109375" style="71" customWidth="1"/>
    <col min="5" max="5" width="16.42578125" style="71" bestFit="1" customWidth="1"/>
    <col min="6" max="7" width="9.140625" style="73"/>
    <col min="8" max="8" width="9.140625" style="71"/>
    <col min="9" max="9" width="10.28515625" style="97" bestFit="1" customWidth="1"/>
    <col min="10" max="12" width="9.140625" style="71"/>
    <col min="13" max="13" width="10.28515625" style="71" bestFit="1" customWidth="1"/>
    <col min="14" max="16" width="9.140625" style="71"/>
    <col min="17" max="17" width="10.28515625" style="71" bestFit="1" customWidth="1"/>
    <col min="18" max="18" width="13.28515625" style="71" bestFit="1" customWidth="1"/>
    <col min="19" max="19" width="12.85546875" style="71" bestFit="1" customWidth="1"/>
    <col min="20" max="20" width="12.42578125" style="71" bestFit="1" customWidth="1"/>
    <col min="21" max="16384" width="9.140625" style="7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hidden="1" x14ac:dyDescent="0.25">
      <c r="A2" s="9">
        <v>1</v>
      </c>
      <c r="B2" s="12" t="s">
        <v>267</v>
      </c>
      <c r="C2" s="1" t="s">
        <v>6</v>
      </c>
      <c r="D2" s="12" t="s">
        <v>39</v>
      </c>
      <c r="E2" s="12" t="s">
        <v>38</v>
      </c>
      <c r="F2" s="9" t="s">
        <v>3</v>
      </c>
      <c r="G2" s="9" t="s">
        <v>9</v>
      </c>
      <c r="H2" s="12" t="s">
        <v>8</v>
      </c>
      <c r="I2" s="96">
        <v>44380</v>
      </c>
      <c r="J2" s="12">
        <v>11</v>
      </c>
      <c r="K2" s="12">
        <v>136</v>
      </c>
      <c r="L2" s="12">
        <v>136</v>
      </c>
      <c r="M2" s="4">
        <f>((L2*11300)+(L2*11300)*10%)+11000+(200*K2)</f>
        <v>1728680</v>
      </c>
      <c r="N2" s="4">
        <f t="shared" ref="N2" si="0">L2*1210</f>
        <v>164560</v>
      </c>
      <c r="O2" s="4">
        <f>(2103*L2)</f>
        <v>286008</v>
      </c>
      <c r="P2" s="4">
        <f>L2*1100</f>
        <v>149600</v>
      </c>
      <c r="Q2" s="4">
        <f t="shared" ref="Q2" si="1">SUM(M2:P2)</f>
        <v>2328848</v>
      </c>
      <c r="R2" s="70">
        <v>2328848</v>
      </c>
      <c r="S2" s="22" t="s">
        <v>268</v>
      </c>
      <c r="T2" s="3" t="s">
        <v>145</v>
      </c>
      <c r="U2" s="12"/>
      <c r="V2" s="12"/>
      <c r="W2" s="12"/>
    </row>
    <row r="3" spans="1:23" hidden="1" x14ac:dyDescent="0.25">
      <c r="A3" s="9">
        <v>2</v>
      </c>
      <c r="B3" s="12" t="s">
        <v>269</v>
      </c>
      <c r="C3" s="1" t="s">
        <v>6</v>
      </c>
      <c r="D3" s="12" t="s">
        <v>5</v>
      </c>
      <c r="E3" s="12" t="s">
        <v>4</v>
      </c>
      <c r="F3" s="9" t="s">
        <v>3</v>
      </c>
      <c r="G3" s="9" t="s">
        <v>70</v>
      </c>
      <c r="H3" s="12" t="s">
        <v>69</v>
      </c>
      <c r="I3" s="96">
        <v>44386</v>
      </c>
      <c r="J3" s="12">
        <v>3</v>
      </c>
      <c r="K3" s="12">
        <v>58</v>
      </c>
      <c r="L3" s="12">
        <v>63</v>
      </c>
      <c r="M3" s="4">
        <f>((L3*10200)+(L3*10200)*10%)+11000+(0*L3)</f>
        <v>717860</v>
      </c>
      <c r="N3" s="4">
        <f t="shared" ref="N3:N4" si="2">L3*1210</f>
        <v>76230</v>
      </c>
      <c r="O3" s="4">
        <f>(2103*L3)</f>
        <v>132489</v>
      </c>
      <c r="P3" s="4">
        <f>L3*2100</f>
        <v>132300</v>
      </c>
      <c r="Q3" s="4">
        <f t="shared" ref="Q3:Q4" si="3">SUM(M3:P3)</f>
        <v>1058879</v>
      </c>
      <c r="R3" s="70">
        <v>1052379</v>
      </c>
      <c r="S3" s="22" t="s">
        <v>281</v>
      </c>
      <c r="T3" s="3" t="s">
        <v>145</v>
      </c>
      <c r="U3" s="12"/>
      <c r="V3" s="12"/>
      <c r="W3" s="12"/>
    </row>
    <row r="4" spans="1:23" hidden="1" x14ac:dyDescent="0.25">
      <c r="A4" s="9">
        <v>3</v>
      </c>
      <c r="B4" s="12" t="s">
        <v>282</v>
      </c>
      <c r="C4" s="12" t="s">
        <v>6</v>
      </c>
      <c r="D4" s="12" t="s">
        <v>5</v>
      </c>
      <c r="E4" s="12" t="s">
        <v>4</v>
      </c>
      <c r="F4" s="9" t="s">
        <v>3</v>
      </c>
      <c r="G4" s="9" t="s">
        <v>9</v>
      </c>
      <c r="H4" s="12" t="s">
        <v>8</v>
      </c>
      <c r="I4" s="96">
        <v>44400</v>
      </c>
      <c r="J4" s="12">
        <v>5</v>
      </c>
      <c r="K4" s="12">
        <v>93</v>
      </c>
      <c r="L4" s="12">
        <v>93</v>
      </c>
      <c r="M4" s="4">
        <f>((L4*11300)+(L4*11300)*10%)+11000+(200*K4)</f>
        <v>1185590</v>
      </c>
      <c r="N4" s="4">
        <f t="shared" si="2"/>
        <v>112530</v>
      </c>
      <c r="O4" s="4">
        <f>(2103*L4)</f>
        <v>195579</v>
      </c>
      <c r="P4" s="4">
        <f>L4*2100</f>
        <v>195300</v>
      </c>
      <c r="Q4" s="4">
        <f t="shared" si="3"/>
        <v>1688999</v>
      </c>
      <c r="R4" s="9" t="s">
        <v>0</v>
      </c>
      <c r="S4" s="9" t="s">
        <v>0</v>
      </c>
      <c r="T4" s="9" t="s">
        <v>0</v>
      </c>
      <c r="U4" s="12"/>
      <c r="V4" s="12"/>
      <c r="W4" s="12"/>
    </row>
    <row r="5" spans="1:23" hidden="1" x14ac:dyDescent="0.25">
      <c r="A5" s="9">
        <v>4</v>
      </c>
      <c r="B5" s="12" t="s">
        <v>283</v>
      </c>
      <c r="C5" s="12" t="s">
        <v>6</v>
      </c>
      <c r="D5" s="12" t="s">
        <v>5</v>
      </c>
      <c r="E5" s="12" t="s">
        <v>4</v>
      </c>
      <c r="F5" s="9" t="s">
        <v>3</v>
      </c>
      <c r="G5" s="9" t="s">
        <v>284</v>
      </c>
      <c r="H5" s="12" t="s">
        <v>285</v>
      </c>
      <c r="I5" s="96">
        <v>44400</v>
      </c>
      <c r="J5" s="12">
        <v>3</v>
      </c>
      <c r="K5" s="12">
        <v>94</v>
      </c>
      <c r="L5" s="12">
        <v>94</v>
      </c>
      <c r="M5" s="4">
        <f>((L5*8900)+(L5*8900)*10%)+11000+(200*K5)</f>
        <v>950060</v>
      </c>
      <c r="N5" s="4">
        <f t="shared" ref="N5" si="4">L5*1210</f>
        <v>113740</v>
      </c>
      <c r="O5" s="4">
        <f>(2103*L5)</f>
        <v>197682</v>
      </c>
      <c r="P5" s="4">
        <f>L5*2100</f>
        <v>197400</v>
      </c>
      <c r="Q5" s="4">
        <f t="shared" ref="Q5" si="5">SUM(M5:P5)</f>
        <v>1458882</v>
      </c>
      <c r="R5" s="9" t="s">
        <v>0</v>
      </c>
      <c r="S5" s="9" t="s">
        <v>0</v>
      </c>
      <c r="T5" s="9" t="s">
        <v>0</v>
      </c>
      <c r="U5" s="12"/>
      <c r="V5" s="12"/>
      <c r="W5" s="12"/>
    </row>
    <row r="6" spans="1:23" x14ac:dyDescent="0.25">
      <c r="A6" s="9">
        <v>5</v>
      </c>
      <c r="B6" s="87" t="s">
        <v>286</v>
      </c>
      <c r="C6" s="12" t="s">
        <v>288</v>
      </c>
      <c r="D6" s="12" t="s">
        <v>5</v>
      </c>
      <c r="E6" s="12" t="s">
        <v>4</v>
      </c>
      <c r="F6" s="89" t="s">
        <v>3</v>
      </c>
      <c r="G6" s="89" t="s">
        <v>70</v>
      </c>
      <c r="H6" s="88" t="s">
        <v>204</v>
      </c>
      <c r="I6" s="96">
        <v>44401</v>
      </c>
      <c r="J6" s="88">
        <v>4</v>
      </c>
      <c r="K6" s="88">
        <v>59</v>
      </c>
      <c r="L6" s="88">
        <v>76</v>
      </c>
      <c r="M6" s="4">
        <f>((L6*9500)+(L6*9500)*10%)+11000+(880*L6)</f>
        <v>872080</v>
      </c>
      <c r="N6" s="4">
        <f t="shared" ref="N6:N7" si="6">L6*1210</f>
        <v>91960</v>
      </c>
      <c r="O6" s="4">
        <f>(2048*L6)+5500</f>
        <v>161148</v>
      </c>
      <c r="P6" s="4">
        <f t="shared" ref="P6:P7" si="7">L6*2100</f>
        <v>159600</v>
      </c>
      <c r="Q6" s="4">
        <f t="shared" ref="Q6:Q7" si="8">SUM(M6:P6)</f>
        <v>1284788</v>
      </c>
      <c r="R6" s="9" t="s">
        <v>0</v>
      </c>
      <c r="S6" s="9" t="s">
        <v>0</v>
      </c>
      <c r="T6" s="9" t="s">
        <v>0</v>
      </c>
      <c r="U6" s="12"/>
      <c r="V6" s="12"/>
      <c r="W6" s="12"/>
    </row>
    <row r="7" spans="1:23" x14ac:dyDescent="0.25">
      <c r="A7" s="9">
        <v>6</v>
      </c>
      <c r="B7" s="87" t="s">
        <v>287</v>
      </c>
      <c r="C7" s="12" t="s">
        <v>288</v>
      </c>
      <c r="D7" s="12" t="s">
        <v>5</v>
      </c>
      <c r="E7" s="12" t="s">
        <v>4</v>
      </c>
      <c r="F7" s="89" t="s">
        <v>3</v>
      </c>
      <c r="G7" s="89" t="s">
        <v>284</v>
      </c>
      <c r="H7" s="88" t="s">
        <v>289</v>
      </c>
      <c r="I7" s="96">
        <v>44402</v>
      </c>
      <c r="J7" s="88">
        <v>2</v>
      </c>
      <c r="K7" s="88">
        <v>45</v>
      </c>
      <c r="L7" s="88">
        <v>52</v>
      </c>
      <c r="M7" s="4">
        <f>((L7*8200)+(L7*8200)*10%)+11000+(880*L7)</f>
        <v>525800</v>
      </c>
      <c r="N7" s="4">
        <f t="shared" si="6"/>
        <v>62920</v>
      </c>
      <c r="O7" s="4">
        <f>(2048*L7)+5500</f>
        <v>111996</v>
      </c>
      <c r="P7" s="4">
        <f t="shared" si="7"/>
        <v>109200</v>
      </c>
      <c r="Q7" s="4">
        <f t="shared" si="8"/>
        <v>809916</v>
      </c>
      <c r="R7" s="9" t="s">
        <v>0</v>
      </c>
      <c r="S7" s="9" t="s">
        <v>0</v>
      </c>
      <c r="T7" s="9" t="s">
        <v>0</v>
      </c>
      <c r="U7" s="12"/>
      <c r="V7" s="12"/>
      <c r="W7" s="12"/>
    </row>
    <row r="8" spans="1:23" x14ac:dyDescent="0.25">
      <c r="A8" s="9">
        <v>7</v>
      </c>
      <c r="B8" s="88" t="s">
        <v>290</v>
      </c>
      <c r="C8" s="12" t="s">
        <v>288</v>
      </c>
      <c r="D8" s="88" t="s">
        <v>5</v>
      </c>
      <c r="E8" s="12" t="s">
        <v>4</v>
      </c>
      <c r="F8" s="89" t="s">
        <v>3</v>
      </c>
      <c r="G8" s="89" t="s">
        <v>292</v>
      </c>
      <c r="H8" s="88" t="s">
        <v>293</v>
      </c>
      <c r="I8" s="98">
        <v>44403</v>
      </c>
      <c r="J8" s="88">
        <v>7</v>
      </c>
      <c r="K8" s="88">
        <v>127</v>
      </c>
      <c r="L8" s="88">
        <v>127</v>
      </c>
      <c r="M8" s="4">
        <f>((L8*10800)+(L8*10800)*10%)+11000+(880*L8)</f>
        <v>1631520</v>
      </c>
      <c r="N8" s="4">
        <f t="shared" ref="N8:N12" si="9">L8*1210</f>
        <v>153670</v>
      </c>
      <c r="O8" s="4">
        <f t="shared" ref="O8:O9" si="10">(2048*L8)+5500</f>
        <v>265596</v>
      </c>
      <c r="P8" s="4">
        <f t="shared" ref="P8:P12" si="11">L8*2100</f>
        <v>266700</v>
      </c>
      <c r="Q8" s="4">
        <f t="shared" ref="Q8:Q12" si="12">SUM(M8:P8)</f>
        <v>2317486</v>
      </c>
      <c r="R8" s="9" t="s">
        <v>0</v>
      </c>
      <c r="S8" s="9" t="s">
        <v>0</v>
      </c>
      <c r="T8" s="9" t="s">
        <v>0</v>
      </c>
      <c r="U8" s="12"/>
      <c r="V8" s="12"/>
      <c r="W8" s="12"/>
    </row>
    <row r="9" spans="1:23" x14ac:dyDescent="0.25">
      <c r="A9" s="9">
        <v>8</v>
      </c>
      <c r="B9" s="88" t="s">
        <v>291</v>
      </c>
      <c r="C9" s="12" t="s">
        <v>288</v>
      </c>
      <c r="D9" s="88" t="s">
        <v>5</v>
      </c>
      <c r="E9" s="12" t="s">
        <v>4</v>
      </c>
      <c r="F9" s="89" t="s">
        <v>3</v>
      </c>
      <c r="G9" s="89" t="s">
        <v>100</v>
      </c>
      <c r="H9" s="88" t="s">
        <v>130</v>
      </c>
      <c r="I9" s="98">
        <v>44403</v>
      </c>
      <c r="J9" s="88">
        <v>5</v>
      </c>
      <c r="K9" s="88">
        <v>127</v>
      </c>
      <c r="L9" s="88">
        <v>127</v>
      </c>
      <c r="M9" s="4">
        <f>((L9*14700)+(L9*14700)*10%)+11000+(880*L9)</f>
        <v>2176350</v>
      </c>
      <c r="N9" s="4">
        <f t="shared" si="9"/>
        <v>153670</v>
      </c>
      <c r="O9" s="4">
        <f t="shared" si="10"/>
        <v>265596</v>
      </c>
      <c r="P9" s="4">
        <f t="shared" si="11"/>
        <v>266700</v>
      </c>
      <c r="Q9" s="4">
        <f t="shared" si="12"/>
        <v>2862316</v>
      </c>
      <c r="R9" s="9" t="s">
        <v>0</v>
      </c>
      <c r="S9" s="9" t="s">
        <v>0</v>
      </c>
      <c r="T9" s="9" t="s">
        <v>0</v>
      </c>
      <c r="U9" s="12"/>
      <c r="V9" s="12"/>
      <c r="W9" s="12"/>
    </row>
    <row r="10" spans="1:23" hidden="1" x14ac:dyDescent="0.25">
      <c r="A10" s="9">
        <v>9</v>
      </c>
      <c r="B10" s="12" t="s">
        <v>294</v>
      </c>
      <c r="C10" s="12" t="s">
        <v>6</v>
      </c>
      <c r="D10" s="12" t="s">
        <v>5</v>
      </c>
      <c r="E10" s="12" t="s">
        <v>4</v>
      </c>
      <c r="F10" s="9" t="s">
        <v>3</v>
      </c>
      <c r="G10" s="9" t="s">
        <v>12</v>
      </c>
      <c r="H10" s="12" t="s">
        <v>11</v>
      </c>
      <c r="I10" s="99">
        <v>44404</v>
      </c>
      <c r="J10" s="12">
        <v>8</v>
      </c>
      <c r="K10" s="12">
        <v>165</v>
      </c>
      <c r="L10" s="12">
        <v>165</v>
      </c>
      <c r="M10" s="4">
        <f>((L10*11500)+(L10*11500)*10%)+11000+(200*K10)</f>
        <v>2131250</v>
      </c>
      <c r="N10" s="4">
        <f t="shared" si="9"/>
        <v>199650</v>
      </c>
      <c r="O10" s="4">
        <f t="shared" ref="O10:O11" si="13">(2103*L10)</f>
        <v>346995</v>
      </c>
      <c r="P10" s="4">
        <f t="shared" si="11"/>
        <v>346500</v>
      </c>
      <c r="Q10" s="4">
        <f t="shared" si="12"/>
        <v>3024395</v>
      </c>
      <c r="R10" s="9" t="s">
        <v>0</v>
      </c>
      <c r="S10" s="9" t="s">
        <v>0</v>
      </c>
      <c r="T10" s="9" t="s">
        <v>0</v>
      </c>
      <c r="U10" s="12"/>
      <c r="V10" s="12"/>
      <c r="W10" s="12"/>
    </row>
    <row r="11" spans="1:23" hidden="1" x14ac:dyDescent="0.25">
      <c r="A11" s="9">
        <v>10</v>
      </c>
      <c r="B11" s="12" t="s">
        <v>295</v>
      </c>
      <c r="C11" s="12" t="s">
        <v>6</v>
      </c>
      <c r="D11" s="12" t="s">
        <v>5</v>
      </c>
      <c r="E11" s="12" t="s">
        <v>4</v>
      </c>
      <c r="F11" s="9" t="s">
        <v>3</v>
      </c>
      <c r="G11" s="9" t="s">
        <v>87</v>
      </c>
      <c r="H11" s="12" t="s">
        <v>296</v>
      </c>
      <c r="I11" s="99">
        <v>44405</v>
      </c>
      <c r="J11" s="12">
        <v>5</v>
      </c>
      <c r="K11" s="12">
        <v>74</v>
      </c>
      <c r="L11" s="12">
        <v>74</v>
      </c>
      <c r="M11" s="4">
        <f>((L11*15200)+(L11*15200)*10%)+11000+(0*K11)</f>
        <v>1248280</v>
      </c>
      <c r="N11" s="4">
        <f t="shared" si="9"/>
        <v>89540</v>
      </c>
      <c r="O11" s="4">
        <f t="shared" si="13"/>
        <v>155622</v>
      </c>
      <c r="P11" s="4">
        <f t="shared" si="11"/>
        <v>155400</v>
      </c>
      <c r="Q11" s="4">
        <f t="shared" si="12"/>
        <v>1648842</v>
      </c>
      <c r="R11" s="9" t="s">
        <v>0</v>
      </c>
      <c r="S11" s="9" t="s">
        <v>0</v>
      </c>
      <c r="T11" s="9" t="s">
        <v>0</v>
      </c>
      <c r="U11" s="12"/>
      <c r="V11" s="12"/>
      <c r="W11" s="12"/>
    </row>
    <row r="12" spans="1:23" x14ac:dyDescent="0.25">
      <c r="A12" s="9">
        <v>11</v>
      </c>
      <c r="B12" s="88" t="s">
        <v>297</v>
      </c>
      <c r="C12" s="12" t="s">
        <v>288</v>
      </c>
      <c r="D12" s="88" t="s">
        <v>5</v>
      </c>
      <c r="E12" s="12" t="s">
        <v>4</v>
      </c>
      <c r="F12" s="89" t="s">
        <v>3</v>
      </c>
      <c r="G12" s="89" t="s">
        <v>284</v>
      </c>
      <c r="H12" s="88" t="s">
        <v>289</v>
      </c>
      <c r="I12" s="98">
        <v>44406</v>
      </c>
      <c r="J12" s="88">
        <v>13</v>
      </c>
      <c r="K12" s="88">
        <v>368</v>
      </c>
      <c r="L12" s="88">
        <v>368</v>
      </c>
      <c r="M12" s="4">
        <f>((L12*8200)+(L12*8200)*10%)+11000+(880*L12)</f>
        <v>3654200</v>
      </c>
      <c r="N12" s="4">
        <f t="shared" si="9"/>
        <v>445280</v>
      </c>
      <c r="O12" s="4">
        <f>(2048*L12)+5500</f>
        <v>759164</v>
      </c>
      <c r="P12" s="4">
        <f t="shared" si="11"/>
        <v>772800</v>
      </c>
      <c r="Q12" s="4">
        <f t="shared" si="12"/>
        <v>5631444</v>
      </c>
      <c r="R12" s="9" t="s">
        <v>0</v>
      </c>
      <c r="S12" s="9" t="s">
        <v>0</v>
      </c>
      <c r="T12" s="9" t="s">
        <v>0</v>
      </c>
      <c r="U12" s="12"/>
      <c r="V12" s="12"/>
      <c r="W12" s="12"/>
    </row>
    <row r="13" spans="1:23" x14ac:dyDescent="0.25">
      <c r="A13" s="9">
        <v>12</v>
      </c>
      <c r="B13" s="88" t="s">
        <v>298</v>
      </c>
      <c r="C13" s="12" t="s">
        <v>288</v>
      </c>
      <c r="D13" s="88" t="s">
        <v>5</v>
      </c>
      <c r="E13" s="12" t="s">
        <v>4</v>
      </c>
      <c r="F13" s="89" t="s">
        <v>3</v>
      </c>
      <c r="G13" s="89" t="s">
        <v>9</v>
      </c>
      <c r="H13" s="88" t="s">
        <v>208</v>
      </c>
      <c r="I13" s="98">
        <v>44406</v>
      </c>
      <c r="J13" s="88">
        <v>5</v>
      </c>
      <c r="K13" s="88">
        <v>139</v>
      </c>
      <c r="L13" s="88">
        <v>139</v>
      </c>
      <c r="M13" s="4">
        <f>((L13*10600)+(L13*10600)*10%)+11000+(880*L13)</f>
        <v>1754060</v>
      </c>
      <c r="N13" s="4">
        <f t="shared" ref="N13:N15" si="14">L13*1210</f>
        <v>168190</v>
      </c>
      <c r="O13" s="4">
        <f t="shared" ref="O13:O15" si="15">(2048*L13)+5500</f>
        <v>290172</v>
      </c>
      <c r="P13" s="4">
        <f t="shared" ref="P13:P15" si="16">L13*2100</f>
        <v>291900</v>
      </c>
      <c r="Q13" s="4">
        <f t="shared" ref="Q13:Q15" si="17">SUM(M13:P13)</f>
        <v>2504322</v>
      </c>
      <c r="R13" s="9" t="s">
        <v>0</v>
      </c>
      <c r="S13" s="9" t="s">
        <v>0</v>
      </c>
      <c r="T13" s="9" t="s">
        <v>0</v>
      </c>
      <c r="U13" s="12"/>
      <c r="V13" s="12"/>
      <c r="W13" s="12"/>
    </row>
    <row r="14" spans="1:23" x14ac:dyDescent="0.25">
      <c r="A14" s="9">
        <v>13</v>
      </c>
      <c r="B14" s="88" t="s">
        <v>299</v>
      </c>
      <c r="C14" s="12" t="s">
        <v>288</v>
      </c>
      <c r="D14" s="88" t="s">
        <v>301</v>
      </c>
      <c r="E14" s="12" t="s">
        <v>302</v>
      </c>
      <c r="F14" s="89" t="s">
        <v>3</v>
      </c>
      <c r="G14" s="89" t="s">
        <v>284</v>
      </c>
      <c r="H14" s="88" t="s">
        <v>289</v>
      </c>
      <c r="I14" s="98">
        <v>44407</v>
      </c>
      <c r="J14" s="88">
        <v>1</v>
      </c>
      <c r="K14" s="88">
        <v>6</v>
      </c>
      <c r="L14" s="88">
        <v>11</v>
      </c>
      <c r="M14" s="4">
        <f>((L14*8200)+(L14*8200)*10%)+11000+(880*L14)</f>
        <v>119900</v>
      </c>
      <c r="N14" s="4">
        <f t="shared" si="14"/>
        <v>13310</v>
      </c>
      <c r="O14" s="4">
        <f>(2048*L14)+5500</f>
        <v>28028</v>
      </c>
      <c r="P14" s="4">
        <f>L14*1100</f>
        <v>12100</v>
      </c>
      <c r="Q14" s="4">
        <f t="shared" si="17"/>
        <v>173338</v>
      </c>
      <c r="R14" s="9" t="s">
        <v>0</v>
      </c>
      <c r="S14" s="9" t="s">
        <v>0</v>
      </c>
      <c r="T14" s="9" t="s">
        <v>0</v>
      </c>
      <c r="U14" s="12"/>
      <c r="V14" s="12"/>
      <c r="W14" s="12"/>
    </row>
    <row r="15" spans="1:23" x14ac:dyDescent="0.25">
      <c r="A15" s="9">
        <v>14</v>
      </c>
      <c r="B15" s="44" t="s">
        <v>300</v>
      </c>
      <c r="C15" s="12" t="s">
        <v>288</v>
      </c>
      <c r="D15" s="12" t="s">
        <v>5</v>
      </c>
      <c r="E15" s="12" t="s">
        <v>4</v>
      </c>
      <c r="F15" s="89" t="s">
        <v>3</v>
      </c>
      <c r="G15" s="33" t="s">
        <v>12</v>
      </c>
      <c r="H15" s="44" t="s">
        <v>303</v>
      </c>
      <c r="I15" s="98">
        <v>44407</v>
      </c>
      <c r="J15" s="44">
        <v>9</v>
      </c>
      <c r="K15" s="44">
        <v>119</v>
      </c>
      <c r="L15" s="44">
        <v>229</v>
      </c>
      <c r="M15" s="4">
        <f>((L15*10800)+(L15*10800)*10%)+11000+(880*L15)</f>
        <v>2933040</v>
      </c>
      <c r="N15" s="4">
        <f t="shared" si="14"/>
        <v>277090</v>
      </c>
      <c r="O15" s="4">
        <f t="shared" si="15"/>
        <v>474492</v>
      </c>
      <c r="P15" s="4">
        <f t="shared" si="16"/>
        <v>480900</v>
      </c>
      <c r="Q15" s="4">
        <f t="shared" si="17"/>
        <v>4165522</v>
      </c>
      <c r="R15" s="9" t="s">
        <v>0</v>
      </c>
      <c r="S15" s="9" t="s">
        <v>0</v>
      </c>
      <c r="T15" s="9" t="s">
        <v>0</v>
      </c>
      <c r="U15" s="12"/>
      <c r="V15" s="12"/>
      <c r="W15" s="12"/>
    </row>
  </sheetData>
  <autoFilter ref="A1:W15">
    <filterColumn colId="2">
      <filters>
        <filter val="Citilink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5" x14ac:dyDescent="0.25"/>
  <cols>
    <col min="1" max="1" width="3.5703125" bestFit="1" customWidth="1"/>
    <col min="3" max="3" width="13.28515625" bestFit="1" customWidth="1"/>
  </cols>
  <sheetData>
    <row r="1" spans="1:3" x14ac:dyDescent="0.25">
      <c r="A1" s="95" t="s">
        <v>0</v>
      </c>
      <c r="B1" s="95"/>
      <c r="C1" s="95"/>
    </row>
    <row r="2" spans="1:3" x14ac:dyDescent="0.25">
      <c r="A2" s="2" t="s">
        <v>270</v>
      </c>
      <c r="B2" s="2" t="s">
        <v>271</v>
      </c>
      <c r="C2" s="2" t="s">
        <v>272</v>
      </c>
    </row>
    <row r="3" spans="1:3" x14ac:dyDescent="0.25">
      <c r="A3" s="2">
        <v>1</v>
      </c>
      <c r="B3" s="2" t="s">
        <v>273</v>
      </c>
      <c r="C3" s="85">
        <v>0</v>
      </c>
    </row>
    <row r="4" spans="1:3" x14ac:dyDescent="0.25">
      <c r="A4" s="2">
        <v>2</v>
      </c>
      <c r="B4" s="2" t="s">
        <v>274</v>
      </c>
      <c r="C4" s="85">
        <v>0</v>
      </c>
    </row>
    <row r="5" spans="1:3" x14ac:dyDescent="0.25">
      <c r="A5" s="2">
        <v>3</v>
      </c>
      <c r="B5" s="2" t="s">
        <v>275</v>
      </c>
      <c r="C5" s="85">
        <v>0</v>
      </c>
    </row>
    <row r="6" spans="1:3" x14ac:dyDescent="0.25">
      <c r="A6" s="2">
        <v>4</v>
      </c>
      <c r="B6" s="2" t="s">
        <v>276</v>
      </c>
      <c r="C6" s="85">
        <v>0</v>
      </c>
    </row>
    <row r="7" spans="1:3" x14ac:dyDescent="0.25">
      <c r="A7" s="2">
        <v>5</v>
      </c>
      <c r="B7" s="2" t="s">
        <v>277</v>
      </c>
      <c r="C7" s="85">
        <v>0</v>
      </c>
    </row>
    <row r="8" spans="1:3" x14ac:dyDescent="0.25">
      <c r="A8" s="2">
        <v>6</v>
      </c>
      <c r="B8" s="2" t="s">
        <v>278</v>
      </c>
      <c r="C8" s="86">
        <v>2073285</v>
      </c>
    </row>
    <row r="10" spans="1:3" x14ac:dyDescent="0.25">
      <c r="A10" s="95" t="s">
        <v>280</v>
      </c>
      <c r="B10" s="95"/>
      <c r="C10" s="95"/>
    </row>
    <row r="11" spans="1:3" x14ac:dyDescent="0.25">
      <c r="A11" s="2" t="s">
        <v>270</v>
      </c>
      <c r="B11" s="2" t="s">
        <v>271</v>
      </c>
      <c r="C11" s="2" t="s">
        <v>272</v>
      </c>
    </row>
    <row r="12" spans="1:3" x14ac:dyDescent="0.25">
      <c r="A12" s="2">
        <v>1</v>
      </c>
      <c r="B12" s="2" t="s">
        <v>279</v>
      </c>
      <c r="C12" s="86">
        <v>1058879</v>
      </c>
    </row>
  </sheetData>
  <mergeCells count="2">
    <mergeCell ref="A1:C1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Januari</vt:lpstr>
      <vt:lpstr>Februari</vt:lpstr>
      <vt:lpstr>Maret</vt:lpstr>
      <vt:lpstr>Mei</vt:lpstr>
      <vt:lpstr>Juni</vt:lpstr>
      <vt:lpstr>Juli</vt:lpstr>
      <vt:lpstr>Rekap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2021-03-04T06:49:48Z</dcterms:created>
  <dcterms:modified xsi:type="dcterms:W3CDTF">2021-07-30T04:50:06Z</dcterms:modified>
</cp:coreProperties>
</file>