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KERJAAN INTI\"/>
    </mc:Choice>
  </mc:AlternateContent>
  <bookViews>
    <workbookView xWindow="0" yWindow="0" windowWidth="20490" windowHeight="7455" firstSheet="7" activeTab="11"/>
  </bookViews>
  <sheets>
    <sheet name="Januari nGen" sheetId="1" r:id="rId1"/>
    <sheet name="Februari nGen" sheetId="5" r:id="rId2"/>
    <sheet name="Maret nGen" sheetId="6" r:id="rId3"/>
    <sheet name="April nGen" sheetId="8" r:id="rId4"/>
    <sheet name="Mei nGen " sheetId="9" r:id="rId5"/>
    <sheet name="Juni nGen" sheetId="11" r:id="rId6"/>
    <sheet name="Juli nGen" sheetId="14" r:id="rId7"/>
    <sheet name="Agusuts nGen" sheetId="15" r:id="rId8"/>
    <sheet name="September nGen" sheetId="19" r:id="rId9"/>
    <sheet name="APLOG" sheetId="16" r:id="rId10"/>
    <sheet name="Projek" sheetId="18" r:id="rId11"/>
    <sheet name="Rekap Outstanding" sheetId="17" r:id="rId12"/>
    <sheet name="DIMAS NEW" sheetId="20" state="hidden" r:id="rId13"/>
  </sheets>
  <definedNames>
    <definedName name="_xlnm._FilterDatabase" localSheetId="7" hidden="1">'Agusuts nGen'!$A$1:$V$113</definedName>
    <definedName name="_xlnm._FilterDatabase" localSheetId="3" hidden="1">'April nGen'!$A$1:$V$5</definedName>
    <definedName name="_xlnm._FilterDatabase" localSheetId="1" hidden="1">'Februari nGen'!$A$1:$T$70</definedName>
    <definedName name="_xlnm._FilterDatabase" localSheetId="0" hidden="1">'Januari nGen'!$A$1:$T$41</definedName>
    <definedName name="_xlnm._FilterDatabase" localSheetId="6" hidden="1">'Juli nGen'!$A$1:$V$56</definedName>
    <definedName name="_xlnm._FilterDatabase" localSheetId="5" hidden="1">'Juni nGen'!$A$1:$T$71</definedName>
    <definedName name="_xlnm._FilterDatabase" localSheetId="2" hidden="1">'Maret nGen'!$A$1:$V$70</definedName>
    <definedName name="_xlnm._FilterDatabase" localSheetId="4" hidden="1">'Mei nGen '!$A$1:$T$20</definedName>
    <definedName name="_xlnm._FilterDatabase" localSheetId="8" hidden="1">'September nGen'!$A$1:$V$122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50" i="17" l="1"/>
  <c r="P96" i="19" l="1"/>
  <c r="P71" i="19"/>
  <c r="P78" i="19"/>
  <c r="P80" i="19"/>
  <c r="P89" i="19"/>
  <c r="P90" i="19"/>
  <c r="P91" i="19"/>
  <c r="P112" i="19"/>
  <c r="P113" i="19"/>
  <c r="P16" i="19"/>
  <c r="P17" i="19"/>
  <c r="P19" i="19"/>
  <c r="P21" i="19"/>
  <c r="P22" i="19"/>
  <c r="P23" i="19"/>
  <c r="P24" i="19"/>
  <c r="P25" i="19"/>
  <c r="P27" i="19"/>
  <c r="P30" i="19"/>
  <c r="P33" i="19"/>
  <c r="P35" i="19"/>
  <c r="P36" i="19"/>
  <c r="P38" i="19"/>
  <c r="P41" i="19"/>
  <c r="P42" i="19"/>
  <c r="P43" i="19"/>
  <c r="P44" i="19"/>
  <c r="P46" i="19"/>
  <c r="P47" i="19"/>
  <c r="P49" i="19"/>
  <c r="P51" i="19"/>
  <c r="P52" i="19"/>
  <c r="P53" i="19"/>
  <c r="P54" i="19"/>
  <c r="P55" i="19"/>
  <c r="P58" i="19"/>
  <c r="P59" i="19"/>
  <c r="P68" i="19"/>
  <c r="P69" i="19"/>
  <c r="P70" i="19"/>
  <c r="P73" i="19"/>
  <c r="P74" i="19"/>
  <c r="P76" i="19"/>
  <c r="P77" i="19"/>
  <c r="P79" i="19"/>
  <c r="P81" i="19"/>
  <c r="P84" i="19"/>
  <c r="P85" i="19"/>
  <c r="P86" i="19"/>
  <c r="P87" i="19"/>
  <c r="P88" i="19"/>
  <c r="P92" i="19"/>
  <c r="P93" i="19"/>
  <c r="P94" i="19"/>
  <c r="P97" i="19"/>
  <c r="P99" i="19"/>
  <c r="P100" i="19"/>
  <c r="P101" i="19"/>
  <c r="P102" i="19"/>
  <c r="P103" i="19"/>
  <c r="P104" i="19"/>
  <c r="P105" i="19"/>
  <c r="P106" i="19"/>
  <c r="P107" i="19"/>
  <c r="P108" i="19"/>
  <c r="P114" i="19"/>
  <c r="P115" i="19"/>
  <c r="P116" i="19"/>
  <c r="P117" i="19"/>
  <c r="P118" i="19"/>
  <c r="P119" i="19"/>
  <c r="P120" i="19"/>
  <c r="M122" i="19"/>
  <c r="M120" i="19"/>
  <c r="M121" i="19"/>
  <c r="M119" i="19"/>
  <c r="M118" i="19"/>
  <c r="M117" i="19"/>
  <c r="M116" i="19"/>
  <c r="M115" i="19"/>
  <c r="M114" i="19"/>
  <c r="M113" i="19"/>
  <c r="M112" i="19"/>
  <c r="M111" i="19"/>
  <c r="M110" i="19"/>
  <c r="M109" i="19"/>
  <c r="M108" i="19"/>
  <c r="M107" i="19"/>
  <c r="M106" i="19"/>
  <c r="M105" i="19"/>
  <c r="M104" i="19"/>
  <c r="M103" i="19"/>
  <c r="M102" i="19"/>
  <c r="M101" i="19"/>
  <c r="M100" i="19"/>
  <c r="P122" i="19"/>
  <c r="O122" i="19"/>
  <c r="N122" i="19"/>
  <c r="Q122" i="19" s="1"/>
  <c r="P121" i="19"/>
  <c r="O121" i="19"/>
  <c r="N121" i="19"/>
  <c r="O120" i="19"/>
  <c r="N120" i="19"/>
  <c r="O119" i="19"/>
  <c r="N119" i="19"/>
  <c r="O118" i="19"/>
  <c r="N118" i="19"/>
  <c r="O117" i="19"/>
  <c r="N117" i="19"/>
  <c r="Q117" i="19"/>
  <c r="O116" i="19"/>
  <c r="N116" i="19"/>
  <c r="O115" i="19"/>
  <c r="N115" i="19"/>
  <c r="Q115" i="19" s="1"/>
  <c r="O114" i="19"/>
  <c r="N114" i="19"/>
  <c r="O113" i="19"/>
  <c r="N113" i="19"/>
  <c r="O112" i="19"/>
  <c r="N112" i="19"/>
  <c r="P111" i="19"/>
  <c r="O111" i="19"/>
  <c r="N111" i="19"/>
  <c r="P110" i="19"/>
  <c r="O110" i="19"/>
  <c r="N110" i="19"/>
  <c r="P109" i="19"/>
  <c r="O109" i="19"/>
  <c r="N109" i="19"/>
  <c r="O108" i="19"/>
  <c r="N108" i="19"/>
  <c r="O107" i="19"/>
  <c r="N107" i="19"/>
  <c r="O106" i="19"/>
  <c r="N106" i="19"/>
  <c r="O105" i="19"/>
  <c r="N105" i="19"/>
  <c r="O104" i="19"/>
  <c r="N104" i="19"/>
  <c r="Q104" i="19"/>
  <c r="O103" i="19"/>
  <c r="N103" i="19"/>
  <c r="Q103" i="19" s="1"/>
  <c r="O102" i="19"/>
  <c r="N102" i="19"/>
  <c r="O101" i="19"/>
  <c r="N101" i="19"/>
  <c r="O100" i="19"/>
  <c r="N100" i="19"/>
  <c r="Q100" i="19" s="1"/>
  <c r="O99" i="19"/>
  <c r="N99" i="19"/>
  <c r="M99" i="19"/>
  <c r="Q113" i="19" l="1"/>
  <c r="Q108" i="19"/>
  <c r="Q121" i="19"/>
  <c r="Q107" i="19"/>
  <c r="Q119" i="19"/>
  <c r="Q120" i="19"/>
  <c r="Q102" i="19"/>
  <c r="Q106" i="19"/>
  <c r="Q110" i="19"/>
  <c r="Q112" i="19"/>
  <c r="Q114" i="19"/>
  <c r="Q116" i="19"/>
  <c r="Q118" i="19"/>
  <c r="Q101" i="19"/>
  <c r="Q105" i="19"/>
  <c r="Q109" i="19"/>
  <c r="Q111" i="19"/>
  <c r="Q99" i="19"/>
  <c r="M8" i="20"/>
  <c r="P95" i="19" l="1"/>
  <c r="M20" i="19"/>
  <c r="M91" i="15"/>
  <c r="M111" i="15"/>
  <c r="M90" i="15"/>
  <c r="M98" i="19"/>
  <c r="P98" i="19"/>
  <c r="O98" i="19"/>
  <c r="N98" i="19"/>
  <c r="M97" i="19"/>
  <c r="M96" i="19"/>
  <c r="M93" i="19"/>
  <c r="M92" i="19"/>
  <c r="M90" i="19"/>
  <c r="M89" i="19"/>
  <c r="M88" i="19"/>
  <c r="M87" i="19"/>
  <c r="M86" i="19"/>
  <c r="O97" i="19"/>
  <c r="N97" i="19"/>
  <c r="O96" i="19"/>
  <c r="N96" i="19"/>
  <c r="O95" i="19"/>
  <c r="N95" i="19"/>
  <c r="M95" i="19"/>
  <c r="O94" i="19"/>
  <c r="N94" i="19"/>
  <c r="M94" i="19"/>
  <c r="O93" i="19"/>
  <c r="N93" i="19"/>
  <c r="O92" i="19"/>
  <c r="N92" i="19"/>
  <c r="O91" i="19"/>
  <c r="N91" i="19"/>
  <c r="M91" i="19"/>
  <c r="O90" i="19"/>
  <c r="N90" i="19"/>
  <c r="O89" i="19"/>
  <c r="N89" i="19"/>
  <c r="O88" i="19"/>
  <c r="N88" i="19"/>
  <c r="O87" i="19"/>
  <c r="N87" i="19"/>
  <c r="O86" i="19"/>
  <c r="N86" i="19"/>
  <c r="Q86" i="19" l="1"/>
  <c r="Q88" i="19"/>
  <c r="Q90" i="19"/>
  <c r="Q93" i="19"/>
  <c r="Q97" i="19"/>
  <c r="Q87" i="19"/>
  <c r="Q89" i="19"/>
  <c r="Q92" i="19"/>
  <c r="Q96" i="19"/>
  <c r="Q91" i="19"/>
  <c r="Q94" i="19"/>
  <c r="Q95" i="19"/>
  <c r="Q98" i="19"/>
  <c r="M72" i="19" l="1"/>
  <c r="P72" i="19"/>
  <c r="O72" i="19"/>
  <c r="N72" i="19"/>
  <c r="M45" i="19"/>
  <c r="P45" i="19"/>
  <c r="O45" i="19"/>
  <c r="N45" i="19"/>
  <c r="M32" i="19"/>
  <c r="P32" i="19"/>
  <c r="O32" i="19"/>
  <c r="N32" i="19"/>
  <c r="P18" i="19"/>
  <c r="O18" i="19"/>
  <c r="N18" i="19"/>
  <c r="M18" i="19"/>
  <c r="M85" i="19"/>
  <c r="M84" i="19"/>
  <c r="M83" i="19"/>
  <c r="M82" i="19"/>
  <c r="M81" i="19"/>
  <c r="M80" i="19"/>
  <c r="M79" i="19"/>
  <c r="M78" i="19"/>
  <c r="M77" i="19"/>
  <c r="M75" i="19"/>
  <c r="M74" i="19"/>
  <c r="O85" i="19"/>
  <c r="N85" i="19"/>
  <c r="O84" i="19"/>
  <c r="N84" i="19"/>
  <c r="P83" i="19"/>
  <c r="O83" i="19"/>
  <c r="N83" i="19"/>
  <c r="P82" i="19"/>
  <c r="O82" i="19"/>
  <c r="N82" i="19"/>
  <c r="O81" i="19"/>
  <c r="N81" i="19"/>
  <c r="O80" i="19"/>
  <c r="N80" i="19"/>
  <c r="O79" i="19"/>
  <c r="N79" i="19"/>
  <c r="O78" i="19"/>
  <c r="N78" i="19"/>
  <c r="O77" i="19"/>
  <c r="N77" i="19"/>
  <c r="O76" i="19"/>
  <c r="N76" i="19"/>
  <c r="M76" i="19"/>
  <c r="P75" i="19"/>
  <c r="O75" i="19"/>
  <c r="N75" i="19"/>
  <c r="O74" i="19"/>
  <c r="N74" i="19"/>
  <c r="L17" i="16"/>
  <c r="L18" i="16" s="1"/>
  <c r="L16" i="16"/>
  <c r="L15" i="16"/>
  <c r="Q18" i="19" l="1"/>
  <c r="Q45" i="19"/>
  <c r="Q72" i="19"/>
  <c r="Q74" i="19"/>
  <c r="Q77" i="19"/>
  <c r="Q79" i="19"/>
  <c r="Q81" i="19"/>
  <c r="Q83" i="19"/>
  <c r="Q85" i="19"/>
  <c r="Q75" i="19"/>
  <c r="Q78" i="19"/>
  <c r="Q80" i="19"/>
  <c r="Q82" i="19"/>
  <c r="Q84" i="19"/>
  <c r="Q32" i="19"/>
  <c r="Q76" i="19"/>
  <c r="P66" i="19"/>
  <c r="M51" i="14" l="1"/>
  <c r="M73" i="19" l="1"/>
  <c r="M71" i="19"/>
  <c r="M70" i="19"/>
  <c r="M69" i="19"/>
  <c r="M68" i="19"/>
  <c r="M67" i="19"/>
  <c r="M66" i="19"/>
  <c r="M65" i="19"/>
  <c r="M64" i="19"/>
  <c r="M63" i="19"/>
  <c r="M62" i="19"/>
  <c r="M61" i="19"/>
  <c r="M60" i="19"/>
  <c r="M58" i="19"/>
  <c r="M59" i="19"/>
  <c r="M57" i="19"/>
  <c r="M56" i="19"/>
  <c r="O73" i="19"/>
  <c r="N73" i="19"/>
  <c r="O71" i="19"/>
  <c r="N71" i="19"/>
  <c r="O70" i="19"/>
  <c r="N70" i="19"/>
  <c r="O69" i="19"/>
  <c r="N69" i="19"/>
  <c r="O68" i="19"/>
  <c r="N68" i="19"/>
  <c r="P67" i="19"/>
  <c r="O67" i="19"/>
  <c r="N67" i="19"/>
  <c r="O66" i="19"/>
  <c r="N66" i="19"/>
  <c r="Q66" i="19" s="1"/>
  <c r="P65" i="19"/>
  <c r="O65" i="19"/>
  <c r="N65" i="19"/>
  <c r="P64" i="19"/>
  <c r="O64" i="19"/>
  <c r="N64" i="19"/>
  <c r="Q64" i="19" s="1"/>
  <c r="P63" i="19"/>
  <c r="O63" i="19"/>
  <c r="N63" i="19"/>
  <c r="P62" i="19"/>
  <c r="O62" i="19"/>
  <c r="N62" i="19"/>
  <c r="P61" i="19"/>
  <c r="O61" i="19"/>
  <c r="N61" i="19"/>
  <c r="P60" i="19"/>
  <c r="O60" i="19"/>
  <c r="N60" i="19"/>
  <c r="O59" i="19"/>
  <c r="N59" i="19"/>
  <c r="O58" i="19"/>
  <c r="N58" i="19"/>
  <c r="P57" i="19"/>
  <c r="O57" i="19"/>
  <c r="N57" i="19"/>
  <c r="P56" i="19"/>
  <c r="O56" i="19"/>
  <c r="N56" i="19"/>
  <c r="Q65" i="19" l="1"/>
  <c r="Q56" i="19"/>
  <c r="Q60" i="19"/>
  <c r="Q62" i="19"/>
  <c r="Q68" i="19"/>
  <c r="Q70" i="19"/>
  <c r="Q73" i="19"/>
  <c r="Q57" i="19"/>
  <c r="Q58" i="19"/>
  <c r="Q59" i="19"/>
  <c r="Q67" i="19"/>
  <c r="Q69" i="19"/>
  <c r="Q71" i="19"/>
  <c r="Q61" i="19"/>
  <c r="Q63" i="19"/>
  <c r="X113" i="15"/>
  <c r="E154" i="17" l="1"/>
  <c r="P14" i="19"/>
  <c r="P15" i="19"/>
  <c r="P26" i="19"/>
  <c r="P28" i="19"/>
  <c r="P29" i="19"/>
  <c r="P31" i="19"/>
  <c r="P50" i="19"/>
  <c r="M55" i="19"/>
  <c r="M54" i="19"/>
  <c r="M53" i="19"/>
  <c r="M52" i="19"/>
  <c r="M51" i="19"/>
  <c r="M50" i="19"/>
  <c r="M49" i="19"/>
  <c r="M48" i="19"/>
  <c r="M46" i="19"/>
  <c r="M47" i="19"/>
  <c r="M44" i="19"/>
  <c r="M43" i="19"/>
  <c r="M42" i="19"/>
  <c r="M41" i="19"/>
  <c r="M40" i="19"/>
  <c r="M39" i="19"/>
  <c r="M38" i="19"/>
  <c r="M37" i="19"/>
  <c r="M36" i="19"/>
  <c r="M35" i="19"/>
  <c r="M34" i="19"/>
  <c r="M33" i="19"/>
  <c r="M31" i="19"/>
  <c r="M30" i="19"/>
  <c r="M29" i="19"/>
  <c r="M28" i="19"/>
  <c r="M27" i="19"/>
  <c r="M26" i="19"/>
  <c r="M25" i="19"/>
  <c r="M24" i="19"/>
  <c r="M23" i="19"/>
  <c r="M22" i="19"/>
  <c r="M21" i="19"/>
  <c r="M19" i="19"/>
  <c r="O55" i="19"/>
  <c r="N55" i="19"/>
  <c r="O54" i="19"/>
  <c r="N54" i="19"/>
  <c r="O53" i="19"/>
  <c r="N53" i="19"/>
  <c r="O52" i="19"/>
  <c r="N52" i="19"/>
  <c r="O51" i="19"/>
  <c r="N51" i="19"/>
  <c r="O50" i="19"/>
  <c r="N50" i="19"/>
  <c r="O49" i="19"/>
  <c r="N49" i="19"/>
  <c r="P48" i="19"/>
  <c r="O48" i="19"/>
  <c r="N48" i="19"/>
  <c r="O47" i="19"/>
  <c r="N47" i="19"/>
  <c r="O46" i="19"/>
  <c r="N46" i="19"/>
  <c r="O44" i="19"/>
  <c r="N44" i="19"/>
  <c r="O43" i="19"/>
  <c r="N43" i="19"/>
  <c r="O42" i="19"/>
  <c r="N42" i="19"/>
  <c r="O41" i="19"/>
  <c r="N41" i="19"/>
  <c r="P40" i="19"/>
  <c r="O40" i="19"/>
  <c r="N40" i="19"/>
  <c r="P39" i="19"/>
  <c r="O39" i="19"/>
  <c r="N39" i="19"/>
  <c r="O38" i="19"/>
  <c r="N38" i="19"/>
  <c r="P37" i="19"/>
  <c r="O37" i="19"/>
  <c r="N37" i="19"/>
  <c r="O36" i="19"/>
  <c r="N36" i="19"/>
  <c r="O35" i="19"/>
  <c r="N35" i="19"/>
  <c r="P34" i="19"/>
  <c r="O34" i="19"/>
  <c r="N34" i="19"/>
  <c r="O33" i="19"/>
  <c r="N33" i="19"/>
  <c r="O31" i="19"/>
  <c r="N31" i="19"/>
  <c r="O30" i="19"/>
  <c r="N30" i="19"/>
  <c r="O29" i="19"/>
  <c r="N29" i="19"/>
  <c r="O28" i="19"/>
  <c r="N28" i="19"/>
  <c r="O27" i="19"/>
  <c r="N27" i="19"/>
  <c r="O26" i="19"/>
  <c r="N26" i="19"/>
  <c r="O25" i="19"/>
  <c r="N25" i="19"/>
  <c r="O24" i="19"/>
  <c r="N24" i="19"/>
  <c r="O23" i="19"/>
  <c r="N23" i="19"/>
  <c r="O22" i="19"/>
  <c r="N22" i="19"/>
  <c r="O21" i="19"/>
  <c r="N21" i="19"/>
  <c r="P20" i="19"/>
  <c r="O20" i="19"/>
  <c r="N20" i="19"/>
  <c r="O19" i="19"/>
  <c r="N19" i="19"/>
  <c r="Q43" i="19" l="1"/>
  <c r="Q48" i="19"/>
  <c r="Q50" i="19"/>
  <c r="Q24" i="19"/>
  <c r="Q30" i="19"/>
  <c r="Q54" i="19"/>
  <c r="Q19" i="19"/>
  <c r="Q20" i="19"/>
  <c r="Q22" i="19"/>
  <c r="Q23" i="19"/>
  <c r="Q35" i="19"/>
  <c r="Q36" i="19"/>
  <c r="Q41" i="19"/>
  <c r="Q21" i="19"/>
  <c r="Q34" i="19"/>
  <c r="Q47" i="19"/>
  <c r="Q37" i="19"/>
  <c r="Q29" i="19"/>
  <c r="Q42" i="19"/>
  <c r="Q49" i="19"/>
  <c r="Q55" i="19"/>
  <c r="Q28" i="19"/>
  <c r="Q26" i="19"/>
  <c r="Q39" i="19"/>
  <c r="Q52" i="19"/>
  <c r="Q25" i="19"/>
  <c r="Q38" i="19"/>
  <c r="Q27" i="19"/>
  <c r="Q40" i="19"/>
  <c r="Q53" i="19"/>
  <c r="Q51" i="19"/>
  <c r="Q33" i="19"/>
  <c r="Q46" i="19"/>
  <c r="Q31" i="19"/>
  <c r="Q44" i="19"/>
  <c r="E17" i="16" l="1"/>
  <c r="E16" i="16"/>
  <c r="E15" i="16"/>
  <c r="M4" i="17"/>
  <c r="E18" i="16" l="1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62" i="15"/>
  <c r="O69" i="15"/>
  <c r="O80" i="15"/>
  <c r="O81" i="15"/>
  <c r="O82" i="15"/>
  <c r="O93" i="15"/>
  <c r="O94" i="15"/>
  <c r="O109" i="15"/>
  <c r="O110" i="15"/>
  <c r="O112" i="15"/>
  <c r="O113" i="15"/>
  <c r="M46" i="17" l="1"/>
  <c r="E153" i="17" s="1"/>
  <c r="P5" i="19" l="1"/>
  <c r="P4" i="19"/>
  <c r="P3" i="19"/>
  <c r="P2" i="19"/>
  <c r="P6" i="19"/>
  <c r="P11" i="19"/>
  <c r="P12" i="19"/>
  <c r="P13" i="19"/>
  <c r="M17" i="19"/>
  <c r="M16" i="19"/>
  <c r="M15" i="19"/>
  <c r="M14" i="19"/>
  <c r="M13" i="19"/>
  <c r="M12" i="19"/>
  <c r="M11" i="19"/>
  <c r="M10" i="19"/>
  <c r="M8" i="19"/>
  <c r="M6" i="19"/>
  <c r="M7" i="19"/>
  <c r="M5" i="19"/>
  <c r="M4" i="19"/>
  <c r="M3" i="19"/>
  <c r="M2" i="19"/>
  <c r="O17" i="19"/>
  <c r="N17" i="19"/>
  <c r="O16" i="19"/>
  <c r="N16" i="19"/>
  <c r="O15" i="19"/>
  <c r="N15" i="19"/>
  <c r="O14" i="19"/>
  <c r="N14" i="19"/>
  <c r="O13" i="19"/>
  <c r="N13" i="19"/>
  <c r="O12" i="19"/>
  <c r="N12" i="19"/>
  <c r="O11" i="19"/>
  <c r="N11" i="19"/>
  <c r="P10" i="19"/>
  <c r="O10" i="19"/>
  <c r="N10" i="19"/>
  <c r="P9" i="19"/>
  <c r="O9" i="19"/>
  <c r="N9" i="19"/>
  <c r="M9" i="19"/>
  <c r="P8" i="19"/>
  <c r="O8" i="19"/>
  <c r="N8" i="19"/>
  <c r="P7" i="19"/>
  <c r="O7" i="19"/>
  <c r="N7" i="19"/>
  <c r="O6" i="19"/>
  <c r="N6" i="19"/>
  <c r="O5" i="19"/>
  <c r="N5" i="19"/>
  <c r="O4" i="19"/>
  <c r="N4" i="19"/>
  <c r="O3" i="19"/>
  <c r="N3" i="19"/>
  <c r="O2" i="19"/>
  <c r="N2" i="19"/>
  <c r="Q2" i="19" l="1"/>
  <c r="Q12" i="19"/>
  <c r="Q16" i="19"/>
  <c r="Q4" i="19"/>
  <c r="Q6" i="19"/>
  <c r="Q14" i="19"/>
  <c r="Q15" i="19"/>
  <c r="Q5" i="19"/>
  <c r="Q7" i="19"/>
  <c r="Q8" i="19"/>
  <c r="Q11" i="19"/>
  <c r="Q13" i="19"/>
  <c r="Q17" i="19"/>
  <c r="Q3" i="19"/>
  <c r="Q10" i="19"/>
  <c r="Q9" i="19"/>
  <c r="H33" i="18"/>
  <c r="G32" i="18"/>
  <c r="E32" i="18"/>
  <c r="H32" i="18" s="1"/>
  <c r="H31" i="18"/>
  <c r="G31" i="18"/>
  <c r="H34" i="18" l="1"/>
  <c r="AD6" i="16" l="1"/>
  <c r="X6" i="16"/>
  <c r="R6" i="16"/>
  <c r="AD5" i="16"/>
  <c r="X5" i="16"/>
  <c r="R5" i="16"/>
  <c r="AD4" i="16"/>
  <c r="X4" i="16"/>
  <c r="R4" i="16"/>
  <c r="R7" i="16" l="1"/>
  <c r="AD7" i="16"/>
  <c r="X7" i="16"/>
  <c r="M113" i="15" l="1"/>
  <c r="M112" i="15"/>
  <c r="M110" i="15"/>
  <c r="M109" i="15"/>
  <c r="P113" i="15"/>
  <c r="N113" i="15"/>
  <c r="P112" i="15"/>
  <c r="N112" i="15"/>
  <c r="P111" i="15"/>
  <c r="O111" i="15"/>
  <c r="N111" i="15"/>
  <c r="P110" i="15"/>
  <c r="N110" i="15"/>
  <c r="P109" i="15"/>
  <c r="N109" i="15"/>
  <c r="Q109" i="15" l="1"/>
  <c r="Q111" i="15"/>
  <c r="Q113" i="15"/>
  <c r="Q110" i="15"/>
  <c r="Q112" i="15"/>
  <c r="M8" i="15" l="1"/>
  <c r="P37" i="14" l="1"/>
  <c r="P105" i="15" l="1"/>
  <c r="P101" i="15"/>
  <c r="P102" i="15"/>
  <c r="P107" i="15"/>
  <c r="P108" i="15"/>
  <c r="M108" i="15"/>
  <c r="M107" i="15"/>
  <c r="M106" i="15"/>
  <c r="M105" i="15"/>
  <c r="M104" i="15"/>
  <c r="M103" i="15"/>
  <c r="M101" i="15"/>
  <c r="O108" i="15"/>
  <c r="N108" i="15"/>
  <c r="O107" i="15"/>
  <c r="N107" i="15"/>
  <c r="P106" i="15"/>
  <c r="O106" i="15"/>
  <c r="N106" i="15"/>
  <c r="O105" i="15"/>
  <c r="N105" i="15"/>
  <c r="P104" i="15"/>
  <c r="O104" i="15"/>
  <c r="N104" i="15"/>
  <c r="P103" i="15"/>
  <c r="O103" i="15"/>
  <c r="N103" i="15"/>
  <c r="O102" i="15"/>
  <c r="N102" i="15"/>
  <c r="M102" i="15"/>
  <c r="O101" i="15"/>
  <c r="N101" i="15"/>
  <c r="M100" i="15"/>
  <c r="M99" i="15"/>
  <c r="M92" i="15"/>
  <c r="P100" i="15"/>
  <c r="P99" i="15"/>
  <c r="P98" i="15"/>
  <c r="P97" i="15"/>
  <c r="P96" i="15"/>
  <c r="P95" i="15"/>
  <c r="M98" i="15"/>
  <c r="M97" i="15"/>
  <c r="M96" i="15"/>
  <c r="M95" i="15"/>
  <c r="O100" i="15"/>
  <c r="N100" i="15"/>
  <c r="O99" i="15"/>
  <c r="N99" i="15"/>
  <c r="O98" i="15"/>
  <c r="N98" i="15"/>
  <c r="O97" i="15"/>
  <c r="N97" i="15"/>
  <c r="O96" i="15"/>
  <c r="N96" i="15"/>
  <c r="P91" i="15"/>
  <c r="O91" i="15"/>
  <c r="N91" i="15"/>
  <c r="Q91" i="15" s="1"/>
  <c r="P92" i="15"/>
  <c r="O92" i="15"/>
  <c r="N92" i="15"/>
  <c r="P90" i="15"/>
  <c r="O90" i="15"/>
  <c r="N90" i="15"/>
  <c r="O95" i="15"/>
  <c r="N95" i="15"/>
  <c r="Q103" i="15" l="1"/>
  <c r="Q105" i="15"/>
  <c r="Q106" i="15"/>
  <c r="Q101" i="15"/>
  <c r="Q102" i="15"/>
  <c r="Q108" i="15"/>
  <c r="Q104" i="15"/>
  <c r="Q107" i="15"/>
  <c r="Q90" i="15"/>
  <c r="Q100" i="15"/>
  <c r="Q98" i="15"/>
  <c r="Q92" i="15"/>
  <c r="Q97" i="15"/>
  <c r="Q95" i="15"/>
  <c r="Q99" i="15"/>
  <c r="Q96" i="15"/>
  <c r="M94" i="15" l="1"/>
  <c r="M93" i="15"/>
  <c r="M89" i="15"/>
  <c r="M88" i="15"/>
  <c r="M87" i="15"/>
  <c r="M86" i="15"/>
  <c r="M85" i="15"/>
  <c r="M84" i="15"/>
  <c r="M83" i="15"/>
  <c r="M82" i="15"/>
  <c r="M81" i="15"/>
  <c r="M80" i="15"/>
  <c r="P94" i="15"/>
  <c r="N94" i="15"/>
  <c r="P93" i="15"/>
  <c r="N93" i="15"/>
  <c r="P89" i="15"/>
  <c r="O89" i="15"/>
  <c r="N89" i="15"/>
  <c r="P88" i="15"/>
  <c r="O88" i="15"/>
  <c r="N88" i="15"/>
  <c r="P87" i="15"/>
  <c r="O87" i="15"/>
  <c r="N87" i="15"/>
  <c r="P86" i="15"/>
  <c r="O86" i="15"/>
  <c r="N86" i="15"/>
  <c r="P85" i="15"/>
  <c r="O85" i="15"/>
  <c r="N85" i="15"/>
  <c r="P84" i="15"/>
  <c r="O84" i="15"/>
  <c r="N84" i="15"/>
  <c r="P83" i="15"/>
  <c r="O83" i="15"/>
  <c r="N83" i="15"/>
  <c r="P82" i="15"/>
  <c r="N82" i="15"/>
  <c r="P81" i="15"/>
  <c r="N81" i="15"/>
  <c r="P80" i="15"/>
  <c r="N80" i="15"/>
  <c r="Q84" i="15" l="1"/>
  <c r="Q80" i="15"/>
  <c r="Q82" i="15"/>
  <c r="Q86" i="15"/>
  <c r="Q88" i="15"/>
  <c r="Q93" i="15"/>
  <c r="Q81" i="15"/>
  <c r="Q83" i="15"/>
  <c r="Q85" i="15"/>
  <c r="Q87" i="15"/>
  <c r="Q89" i="15"/>
  <c r="Q94" i="15"/>
  <c r="E155" i="17"/>
  <c r="P69" i="15" l="1"/>
  <c r="P62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P44" i="15"/>
  <c r="P43" i="15"/>
  <c r="P42" i="15"/>
  <c r="M62" i="15"/>
  <c r="M56" i="15"/>
  <c r="M48" i="15"/>
  <c r="M42" i="15"/>
  <c r="M36" i="15"/>
  <c r="M77" i="15" l="1"/>
  <c r="M76" i="15"/>
  <c r="M75" i="15"/>
  <c r="P78" i="15"/>
  <c r="P79" i="15"/>
  <c r="M79" i="15"/>
  <c r="M78" i="15"/>
  <c r="M74" i="15"/>
  <c r="M73" i="15"/>
  <c r="M72" i="15"/>
  <c r="M71" i="15"/>
  <c r="P77" i="15"/>
  <c r="O77" i="15"/>
  <c r="N77" i="15"/>
  <c r="P76" i="15"/>
  <c r="O76" i="15"/>
  <c r="N76" i="15"/>
  <c r="P75" i="15"/>
  <c r="O75" i="15"/>
  <c r="N75" i="15"/>
  <c r="O79" i="15"/>
  <c r="N79" i="15"/>
  <c r="O78" i="15"/>
  <c r="N78" i="15"/>
  <c r="P74" i="15"/>
  <c r="O74" i="15"/>
  <c r="N74" i="15"/>
  <c r="P73" i="15"/>
  <c r="O73" i="15"/>
  <c r="N73" i="15"/>
  <c r="P72" i="15"/>
  <c r="O72" i="15"/>
  <c r="N72" i="15"/>
  <c r="P71" i="15"/>
  <c r="O71" i="15"/>
  <c r="N71" i="15"/>
  <c r="Q73" i="15" l="1"/>
  <c r="Q75" i="15"/>
  <c r="Q77" i="15"/>
  <c r="Q71" i="15"/>
  <c r="Q74" i="15"/>
  <c r="Q72" i="15"/>
  <c r="Q79" i="15"/>
  <c r="Q78" i="15"/>
  <c r="Q76" i="15"/>
  <c r="M67" i="15" l="1"/>
  <c r="M70" i="15"/>
  <c r="P67" i="15"/>
  <c r="P70" i="15"/>
  <c r="P66" i="15"/>
  <c r="P65" i="15"/>
  <c r="M66" i="15"/>
  <c r="M65" i="15"/>
  <c r="O67" i="15"/>
  <c r="N67" i="15"/>
  <c r="O70" i="15"/>
  <c r="N70" i="15"/>
  <c r="O66" i="15"/>
  <c r="N66" i="15"/>
  <c r="O65" i="15"/>
  <c r="N65" i="15"/>
  <c r="Q66" i="15" l="1"/>
  <c r="Q67" i="15"/>
  <c r="Q65" i="15"/>
  <c r="Q70" i="15"/>
  <c r="M68" i="15"/>
  <c r="P68" i="15"/>
  <c r="O68" i="15"/>
  <c r="N68" i="15"/>
  <c r="N69" i="15"/>
  <c r="M69" i="15"/>
  <c r="P64" i="15"/>
  <c r="P63" i="15"/>
  <c r="M64" i="15"/>
  <c r="M63" i="15"/>
  <c r="M57" i="15"/>
  <c r="M55" i="15"/>
  <c r="M54" i="15"/>
  <c r="M53" i="15"/>
  <c r="M52" i="15"/>
  <c r="M51" i="15"/>
  <c r="M50" i="15"/>
  <c r="P61" i="15"/>
  <c r="M61" i="15"/>
  <c r="M58" i="15"/>
  <c r="M49" i="15"/>
  <c r="M59" i="15"/>
  <c r="M47" i="15"/>
  <c r="M46" i="15"/>
  <c r="M41" i="15"/>
  <c r="M45" i="15"/>
  <c r="M44" i="15"/>
  <c r="P60" i="15"/>
  <c r="M43" i="15"/>
  <c r="M60" i="15"/>
  <c r="P58" i="15"/>
  <c r="P59" i="15"/>
  <c r="P41" i="15"/>
  <c r="O64" i="15"/>
  <c r="N64" i="15"/>
  <c r="O63" i="15"/>
  <c r="N63" i="15"/>
  <c r="N62" i="15"/>
  <c r="N57" i="15"/>
  <c r="N56" i="15"/>
  <c r="N55" i="15"/>
  <c r="N54" i="15"/>
  <c r="N53" i="15"/>
  <c r="N52" i="15"/>
  <c r="N51" i="15"/>
  <c r="N50" i="15"/>
  <c r="O61" i="15"/>
  <c r="N61" i="15"/>
  <c r="O58" i="15"/>
  <c r="N58" i="15"/>
  <c r="N49" i="15"/>
  <c r="O59" i="15"/>
  <c r="N59" i="15"/>
  <c r="N48" i="15"/>
  <c r="N47" i="15"/>
  <c r="N46" i="15"/>
  <c r="O41" i="15"/>
  <c r="N41" i="15"/>
  <c r="N45" i="15"/>
  <c r="N44" i="15"/>
  <c r="N43" i="15"/>
  <c r="O60" i="15"/>
  <c r="N60" i="15"/>
  <c r="N42" i="15"/>
  <c r="Q59" i="15" l="1"/>
  <c r="Q41" i="15"/>
  <c r="Q47" i="15"/>
  <c r="Q48" i="15"/>
  <c r="Q62" i="15"/>
  <c r="Q60" i="15"/>
  <c r="Q54" i="15"/>
  <c r="Q68" i="15"/>
  <c r="Q50" i="15"/>
  <c r="Q52" i="15"/>
  <c r="Q56" i="15"/>
  <c r="Q64" i="15"/>
  <c r="Q44" i="15"/>
  <c r="Q45" i="15"/>
  <c r="Q58" i="15"/>
  <c r="Q61" i="15"/>
  <c r="Q57" i="15"/>
  <c r="Q46" i="15"/>
  <c r="Q49" i="15"/>
  <c r="Q42" i="15"/>
  <c r="Q43" i="15"/>
  <c r="Q51" i="15"/>
  <c r="Q53" i="15"/>
  <c r="Q55" i="15"/>
  <c r="Q63" i="15"/>
  <c r="Q69" i="15"/>
  <c r="P38" i="15"/>
  <c r="O38" i="15"/>
  <c r="N38" i="15"/>
  <c r="M38" i="15"/>
  <c r="N40" i="15"/>
  <c r="M40" i="15"/>
  <c r="Q38" i="15" l="1"/>
  <c r="Q40" i="15"/>
  <c r="P19" i="15"/>
  <c r="M14" i="15" l="1"/>
  <c r="M37" i="15"/>
  <c r="P37" i="15"/>
  <c r="O37" i="15"/>
  <c r="N37" i="15"/>
  <c r="P36" i="15"/>
  <c r="O36" i="15"/>
  <c r="N36" i="15"/>
  <c r="P35" i="15"/>
  <c r="M35" i="15"/>
  <c r="O35" i="15"/>
  <c r="N35" i="15"/>
  <c r="Q36" i="15" l="1"/>
  <c r="Q37" i="15"/>
  <c r="Q35" i="15"/>
  <c r="M39" i="15"/>
  <c r="P39" i="15"/>
  <c r="P34" i="15"/>
  <c r="P33" i="15"/>
  <c r="M34" i="15"/>
  <c r="M33" i="15"/>
  <c r="O39" i="15"/>
  <c r="N39" i="15"/>
  <c r="O34" i="15"/>
  <c r="N34" i="15"/>
  <c r="O33" i="15"/>
  <c r="N33" i="15"/>
  <c r="M30" i="15"/>
  <c r="P30" i="15"/>
  <c r="O30" i="15"/>
  <c r="N30" i="15"/>
  <c r="L6" i="16"/>
  <c r="E6" i="16"/>
  <c r="L5" i="16"/>
  <c r="E5" i="16"/>
  <c r="L4" i="16"/>
  <c r="E4" i="16"/>
  <c r="M28" i="15"/>
  <c r="M27" i="15"/>
  <c r="M26" i="15"/>
  <c r="P26" i="15"/>
  <c r="O26" i="15"/>
  <c r="N26" i="15"/>
  <c r="P27" i="15"/>
  <c r="O27" i="15"/>
  <c r="N27" i="15"/>
  <c r="P28" i="15"/>
  <c r="O28" i="15"/>
  <c r="N28" i="15"/>
  <c r="P32" i="15"/>
  <c r="O32" i="15"/>
  <c r="N32" i="15"/>
  <c r="M32" i="15"/>
  <c r="P31" i="15"/>
  <c r="O31" i="15"/>
  <c r="N31" i="15"/>
  <c r="M31" i="15"/>
  <c r="M29" i="15"/>
  <c r="P29" i="15"/>
  <c r="O29" i="15"/>
  <c r="N29" i="15"/>
  <c r="M23" i="15"/>
  <c r="M25" i="15"/>
  <c r="M24" i="15"/>
  <c r="P24" i="15"/>
  <c r="O24" i="15"/>
  <c r="N24" i="15"/>
  <c r="P25" i="15"/>
  <c r="O25" i="15"/>
  <c r="N25" i="15"/>
  <c r="P23" i="15"/>
  <c r="O23" i="15"/>
  <c r="N23" i="15"/>
  <c r="E7" i="16" l="1"/>
  <c r="L7" i="16"/>
  <c r="Q30" i="15"/>
  <c r="Q26" i="15"/>
  <c r="Q28" i="15"/>
  <c r="Q31" i="15"/>
  <c r="Q39" i="15"/>
  <c r="Q33" i="15"/>
  <c r="Q34" i="15"/>
  <c r="Q29" i="15"/>
  <c r="Q24" i="15"/>
  <c r="Q25" i="15"/>
  <c r="Q23" i="15"/>
  <c r="Q32" i="15"/>
  <c r="Q27" i="15"/>
  <c r="M22" i="15"/>
  <c r="P22" i="15"/>
  <c r="O22" i="15"/>
  <c r="N22" i="15"/>
  <c r="P21" i="15"/>
  <c r="O21" i="15"/>
  <c r="N21" i="15"/>
  <c r="M21" i="15"/>
  <c r="P18" i="15"/>
  <c r="M20" i="15"/>
  <c r="M19" i="15"/>
  <c r="M18" i="15"/>
  <c r="P20" i="15"/>
  <c r="O20" i="15"/>
  <c r="N20" i="15"/>
  <c r="O19" i="15"/>
  <c r="N19" i="15"/>
  <c r="O18" i="15"/>
  <c r="N18" i="15"/>
  <c r="E8" i="16" l="1"/>
  <c r="Q20" i="15"/>
  <c r="Q18" i="15"/>
  <c r="Q22" i="15"/>
  <c r="Q19" i="15"/>
  <c r="Q21" i="15"/>
  <c r="P16" i="15"/>
  <c r="O16" i="15"/>
  <c r="N16" i="15"/>
  <c r="M16" i="15"/>
  <c r="P17" i="15"/>
  <c r="O17" i="15"/>
  <c r="N17" i="15"/>
  <c r="M17" i="15"/>
  <c r="Q16" i="15" l="1"/>
  <c r="Q17" i="15"/>
  <c r="N7" i="15"/>
  <c r="N10" i="15"/>
  <c r="N11" i="15"/>
  <c r="N14" i="15"/>
  <c r="N15" i="15" l="1"/>
  <c r="N13" i="15"/>
  <c r="N6" i="15"/>
  <c r="N12" i="15"/>
  <c r="N9" i="15"/>
  <c r="N8" i="15"/>
  <c r="M36" i="14"/>
  <c r="O54" i="14"/>
  <c r="O49" i="14"/>
  <c r="O36" i="14"/>
  <c r="O35" i="14"/>
  <c r="O7" i="15"/>
  <c r="O8" i="15"/>
  <c r="O9" i="15"/>
  <c r="O12" i="15"/>
  <c r="O10" i="15"/>
  <c r="O13" i="15"/>
  <c r="O11" i="15"/>
  <c r="O14" i="15"/>
  <c r="O15" i="15"/>
  <c r="O6" i="15"/>
  <c r="M15" i="15" l="1"/>
  <c r="M13" i="15"/>
  <c r="M10" i="15"/>
  <c r="M12" i="15"/>
  <c r="M9" i="15"/>
  <c r="P15" i="15"/>
  <c r="P14" i="15"/>
  <c r="P11" i="15"/>
  <c r="M11" i="15"/>
  <c r="P13" i="15"/>
  <c r="P10" i="15"/>
  <c r="P12" i="15"/>
  <c r="P9" i="15"/>
  <c r="P8" i="15"/>
  <c r="Q9" i="15" l="1"/>
  <c r="Q12" i="15"/>
  <c r="Q8" i="15"/>
  <c r="Q15" i="15"/>
  <c r="Q10" i="15"/>
  <c r="Q14" i="15"/>
  <c r="Q13" i="15"/>
  <c r="Q11" i="15"/>
  <c r="M7" i="15"/>
  <c r="P7" i="15"/>
  <c r="M6" i="15"/>
  <c r="M5" i="15"/>
  <c r="M4" i="15"/>
  <c r="M3" i="15"/>
  <c r="M2" i="15"/>
  <c r="P6" i="15"/>
  <c r="P5" i="15"/>
  <c r="O5" i="15"/>
  <c r="N5" i="15"/>
  <c r="P4" i="15"/>
  <c r="O4" i="15"/>
  <c r="N4" i="15"/>
  <c r="P3" i="15"/>
  <c r="O3" i="15"/>
  <c r="N3" i="15"/>
  <c r="P2" i="15"/>
  <c r="O2" i="15"/>
  <c r="N2" i="15"/>
  <c r="Q7" i="15" l="1"/>
  <c r="Q2" i="15"/>
  <c r="Q3" i="15"/>
  <c r="Q4" i="15"/>
  <c r="Q5" i="15"/>
  <c r="Q6" i="15"/>
  <c r="M44" i="14" l="1"/>
  <c r="M43" i="14"/>
  <c r="M54" i="14" l="1"/>
  <c r="P54" i="14"/>
  <c r="N54" i="14"/>
  <c r="M53" i="14"/>
  <c r="M52" i="14"/>
  <c r="P53" i="14"/>
  <c r="O53" i="14"/>
  <c r="N53" i="14"/>
  <c r="Q54" i="14" l="1"/>
  <c r="Q53" i="14"/>
  <c r="P51" i="14" l="1"/>
  <c r="P52" i="14"/>
  <c r="O52" i="14"/>
  <c r="N52" i="14"/>
  <c r="O51" i="14"/>
  <c r="N51" i="14"/>
  <c r="Q52" i="14" l="1"/>
  <c r="Q51" i="14"/>
  <c r="M50" i="14"/>
  <c r="P50" i="14" l="1"/>
  <c r="P49" i="14"/>
  <c r="M49" i="14"/>
  <c r="M48" i="14"/>
  <c r="M47" i="14"/>
  <c r="O50" i="14"/>
  <c r="N50" i="14"/>
  <c r="N49" i="14"/>
  <c r="P48" i="14"/>
  <c r="O48" i="14"/>
  <c r="N48" i="14"/>
  <c r="P47" i="14"/>
  <c r="O47" i="14"/>
  <c r="N47" i="14"/>
  <c r="M46" i="14"/>
  <c r="P46" i="14"/>
  <c r="O46" i="14"/>
  <c r="N46" i="14"/>
  <c r="Q46" i="14" l="1"/>
  <c r="Q47" i="14"/>
  <c r="Q49" i="14"/>
  <c r="Q50" i="14"/>
  <c r="Q48" i="14"/>
  <c r="M42" i="14"/>
  <c r="M41" i="14"/>
  <c r="M45" i="14" l="1"/>
  <c r="P45" i="14"/>
  <c r="O45" i="14"/>
  <c r="N45" i="14"/>
  <c r="Q45" i="14" l="1"/>
  <c r="P44" i="14"/>
  <c r="O44" i="14"/>
  <c r="N44" i="14"/>
  <c r="P43" i="14"/>
  <c r="O43" i="14"/>
  <c r="N43" i="14"/>
  <c r="Q44" i="14" l="1"/>
  <c r="Q43" i="14"/>
  <c r="M40" i="14"/>
  <c r="P42" i="14"/>
  <c r="O42" i="14"/>
  <c r="N42" i="14"/>
  <c r="P41" i="14"/>
  <c r="O41" i="14"/>
  <c r="N41" i="14"/>
  <c r="P40" i="14"/>
  <c r="O40" i="14"/>
  <c r="N40" i="14"/>
  <c r="P39" i="14"/>
  <c r="O39" i="14"/>
  <c r="N39" i="14"/>
  <c r="M39" i="14"/>
  <c r="P38" i="14"/>
  <c r="O38" i="14"/>
  <c r="N38" i="14"/>
  <c r="M38" i="14"/>
  <c r="M37" i="14"/>
  <c r="O37" i="14"/>
  <c r="N37" i="14"/>
  <c r="P35" i="14"/>
  <c r="P36" i="14"/>
  <c r="N36" i="14"/>
  <c r="N35" i="14"/>
  <c r="M35" i="14"/>
  <c r="M34" i="14"/>
  <c r="P34" i="14"/>
  <c r="O34" i="14"/>
  <c r="N34" i="14"/>
  <c r="M33" i="14"/>
  <c r="M32" i="14"/>
  <c r="P33" i="14"/>
  <c r="O33" i="14"/>
  <c r="N33" i="14"/>
  <c r="P32" i="14"/>
  <c r="O32" i="14"/>
  <c r="N32" i="14"/>
  <c r="Q37" i="14" l="1"/>
  <c r="Q40" i="14"/>
  <c r="Q42" i="14"/>
  <c r="Q33" i="14"/>
  <c r="Q41" i="14"/>
  <c r="Q32" i="14"/>
  <c r="Q34" i="14"/>
  <c r="Q35" i="14"/>
  <c r="Q36" i="14"/>
  <c r="Q38" i="14"/>
  <c r="Q39" i="14"/>
  <c r="P31" i="14" l="1"/>
  <c r="O31" i="14"/>
  <c r="N31" i="14"/>
  <c r="M31" i="14"/>
  <c r="Q31" i="14" l="1"/>
  <c r="M30" i="14"/>
  <c r="M29" i="14"/>
  <c r="P30" i="14"/>
  <c r="O30" i="14"/>
  <c r="N30" i="14"/>
  <c r="P29" i="14"/>
  <c r="O29" i="14"/>
  <c r="N29" i="14"/>
  <c r="M28" i="14"/>
  <c r="P28" i="14"/>
  <c r="O28" i="14"/>
  <c r="N28" i="14"/>
  <c r="M27" i="14"/>
  <c r="M26" i="14"/>
  <c r="M25" i="14"/>
  <c r="P25" i="14"/>
  <c r="O25" i="14"/>
  <c r="N25" i="14"/>
  <c r="P27" i="14"/>
  <c r="O27" i="14"/>
  <c r="N27" i="14"/>
  <c r="P26" i="14"/>
  <c r="O26" i="14"/>
  <c r="N26" i="14"/>
  <c r="P24" i="14"/>
  <c r="O24" i="14"/>
  <c r="N24" i="14"/>
  <c r="M24" i="14"/>
  <c r="Q29" i="14" l="1"/>
  <c r="Q24" i="14"/>
  <c r="Q27" i="14"/>
  <c r="Q25" i="14"/>
  <c r="Q30" i="14"/>
  <c r="Q26" i="14"/>
  <c r="Q28" i="14"/>
  <c r="P23" i="14" l="1"/>
  <c r="O23" i="14"/>
  <c r="N23" i="14"/>
  <c r="M23" i="14"/>
  <c r="P22" i="14"/>
  <c r="O22" i="14"/>
  <c r="N22" i="14"/>
  <c r="M22" i="14"/>
  <c r="Q22" i="14" l="1"/>
  <c r="Q23" i="14"/>
  <c r="M21" i="14"/>
  <c r="P21" i="14"/>
  <c r="O21" i="14"/>
  <c r="N21" i="14"/>
  <c r="Q21" i="14" l="1"/>
  <c r="M20" i="14"/>
  <c r="P20" i="14"/>
  <c r="O20" i="14"/>
  <c r="N20" i="14"/>
  <c r="M19" i="14"/>
  <c r="N19" i="14"/>
  <c r="O19" i="14"/>
  <c r="P19" i="14"/>
  <c r="Q20" i="14" l="1"/>
  <c r="Q19" i="14"/>
  <c r="M17" i="14"/>
  <c r="P17" i="14"/>
  <c r="P18" i="14"/>
  <c r="O18" i="14"/>
  <c r="M18" i="14"/>
  <c r="Q18" i="14" l="1"/>
  <c r="O16" i="14"/>
  <c r="M16" i="14"/>
  <c r="P16" i="14"/>
  <c r="P15" i="14"/>
  <c r="O17" i="14"/>
  <c r="N17" i="14"/>
  <c r="O15" i="14"/>
  <c r="N15" i="14"/>
  <c r="M15" i="14"/>
  <c r="N16" i="14"/>
  <c r="Q17" i="14" l="1"/>
  <c r="Q16" i="14"/>
  <c r="Q15" i="14"/>
  <c r="O12" i="14"/>
  <c r="O11" i="14"/>
  <c r="O13" i="14"/>
  <c r="O10" i="14"/>
  <c r="O5" i="14"/>
  <c r="O4" i="14"/>
  <c r="O3" i="14"/>
  <c r="O2" i="14"/>
  <c r="M14" i="14" l="1"/>
  <c r="P14" i="14"/>
  <c r="Q14" i="14" l="1"/>
  <c r="M12" i="14"/>
  <c r="M11" i="14"/>
  <c r="P12" i="14"/>
  <c r="N12" i="14"/>
  <c r="P11" i="14"/>
  <c r="N11" i="14"/>
  <c r="M13" i="14"/>
  <c r="M10" i="14"/>
  <c r="P13" i="14"/>
  <c r="N13" i="14"/>
  <c r="P10" i="14"/>
  <c r="N10" i="14"/>
  <c r="Q12" i="14" l="1"/>
  <c r="Q10" i="14"/>
  <c r="Q13" i="14"/>
  <c r="Q11" i="14"/>
  <c r="O6" i="14"/>
  <c r="P6" i="14"/>
  <c r="N6" i="14"/>
  <c r="M6" i="14"/>
  <c r="P9" i="14"/>
  <c r="M9" i="14"/>
  <c r="P8" i="14"/>
  <c r="P7" i="14"/>
  <c r="P5" i="14"/>
  <c r="P4" i="14"/>
  <c r="P3" i="14"/>
  <c r="P2" i="14"/>
  <c r="M8" i="14"/>
  <c r="M7" i="14"/>
  <c r="M5" i="14"/>
  <c r="M4" i="14"/>
  <c r="M3" i="14"/>
  <c r="M2" i="14"/>
  <c r="O8" i="14"/>
  <c r="N8" i="14"/>
  <c r="O7" i="14"/>
  <c r="N7" i="14"/>
  <c r="N5" i="14"/>
  <c r="N4" i="14"/>
  <c r="N3" i="14"/>
  <c r="N2" i="14"/>
  <c r="Q9" i="14" l="1"/>
  <c r="Q6" i="14"/>
  <c r="Q2" i="14"/>
  <c r="Q3" i="14"/>
  <c r="Q4" i="14"/>
  <c r="Q7" i="14"/>
  <c r="Q8" i="14"/>
  <c r="Q5" i="14"/>
  <c r="O71" i="11"/>
  <c r="N71" i="11"/>
  <c r="M71" i="11"/>
  <c r="P71" i="11"/>
  <c r="M70" i="11"/>
  <c r="P70" i="11"/>
  <c r="O70" i="11"/>
  <c r="N70" i="11"/>
  <c r="P69" i="11"/>
  <c r="O69" i="11"/>
  <c r="N69" i="11"/>
  <c r="M69" i="11"/>
  <c r="P68" i="11"/>
  <c r="O68" i="11"/>
  <c r="N68" i="11"/>
  <c r="M68" i="11"/>
  <c r="M67" i="11"/>
  <c r="Q67" i="11" s="1"/>
  <c r="Q70" i="11" l="1"/>
  <c r="Q71" i="11"/>
  <c r="Q68" i="11"/>
  <c r="Q69" i="11"/>
  <c r="O62" i="11" l="1"/>
  <c r="O58" i="11"/>
  <c r="O57" i="11"/>
  <c r="O56" i="11"/>
  <c r="O55" i="11"/>
  <c r="M66" i="11" l="1"/>
  <c r="P66" i="11"/>
  <c r="P65" i="11"/>
  <c r="M65" i="11"/>
  <c r="Q65" i="11" l="1"/>
  <c r="Q66" i="11"/>
  <c r="P64" i="11"/>
  <c r="O64" i="11"/>
  <c r="N64" i="11"/>
  <c r="M64" i="11"/>
  <c r="Q64" i="11" l="1"/>
  <c r="P63" i="11"/>
  <c r="M63" i="11"/>
  <c r="P62" i="11"/>
  <c r="N62" i="11"/>
  <c r="M62" i="11"/>
  <c r="P61" i="11"/>
  <c r="O61" i="11"/>
  <c r="N61" i="11"/>
  <c r="M61" i="11"/>
  <c r="Q61" i="11" l="1"/>
  <c r="Q62" i="11"/>
  <c r="Q63" i="11"/>
  <c r="P60" i="11"/>
  <c r="M60" i="11"/>
  <c r="Q60" i="11" l="1"/>
  <c r="M54" i="11" l="1"/>
  <c r="P54" i="11"/>
  <c r="O54" i="11"/>
  <c r="N54" i="11"/>
  <c r="Q54" i="11" l="1"/>
  <c r="P59" i="11" l="1"/>
  <c r="P58" i="11"/>
  <c r="P57" i="11"/>
  <c r="P56" i="11"/>
  <c r="P55" i="11"/>
  <c r="O59" i="11"/>
  <c r="N59" i="11"/>
  <c r="N58" i="11"/>
  <c r="N57" i="11"/>
  <c r="N56" i="11"/>
  <c r="N55" i="11"/>
  <c r="M59" i="11"/>
  <c r="M58" i="11"/>
  <c r="M57" i="11"/>
  <c r="M56" i="11"/>
  <c r="M55" i="11"/>
  <c r="Q55" i="11" l="1"/>
  <c r="Q57" i="11"/>
  <c r="Q59" i="11"/>
  <c r="Q56" i="11"/>
  <c r="Q58" i="11"/>
  <c r="P53" i="11"/>
  <c r="O53" i="11"/>
  <c r="N53" i="11"/>
  <c r="M53" i="11"/>
  <c r="M52" i="11"/>
  <c r="P52" i="11"/>
  <c r="O52" i="11"/>
  <c r="N52" i="11"/>
  <c r="P51" i="11"/>
  <c r="O51" i="11"/>
  <c r="N51" i="11"/>
  <c r="M51" i="11"/>
  <c r="Q51" i="11" l="1"/>
  <c r="Q52" i="11"/>
  <c r="Q53" i="11"/>
  <c r="P50" i="11"/>
  <c r="M50" i="11"/>
  <c r="Q50" i="11" l="1"/>
  <c r="M33" i="11" l="1"/>
  <c r="M32" i="11"/>
  <c r="M29" i="11"/>
  <c r="M47" i="11"/>
  <c r="O46" i="11"/>
  <c r="O44" i="11"/>
  <c r="O43" i="11"/>
  <c r="N28" i="11"/>
  <c r="M49" i="11" l="1"/>
  <c r="M48" i="11"/>
  <c r="P46" i="11"/>
  <c r="M46" i="11"/>
  <c r="P49" i="11"/>
  <c r="O49" i="11"/>
  <c r="N49" i="11"/>
  <c r="P48" i="11"/>
  <c r="O48" i="11"/>
  <c r="N48" i="11"/>
  <c r="P47" i="11"/>
  <c r="O47" i="11"/>
  <c r="N47" i="11"/>
  <c r="N46" i="11"/>
  <c r="Q46" i="11" l="1"/>
  <c r="Q47" i="11"/>
  <c r="Q49" i="11"/>
  <c r="Q48" i="11"/>
  <c r="M44" i="11"/>
  <c r="M43" i="11"/>
  <c r="P44" i="11"/>
  <c r="P43" i="11"/>
  <c r="N44" i="11"/>
  <c r="N43" i="11"/>
  <c r="M41" i="11"/>
  <c r="P41" i="11"/>
  <c r="O41" i="11"/>
  <c r="N41" i="11"/>
  <c r="P40" i="11"/>
  <c r="M40" i="11"/>
  <c r="O40" i="11"/>
  <c r="N40" i="11"/>
  <c r="M45" i="11"/>
  <c r="M42" i="11"/>
  <c r="P45" i="11"/>
  <c r="O45" i="11"/>
  <c r="N45" i="11"/>
  <c r="P42" i="11"/>
  <c r="O42" i="11"/>
  <c r="N42" i="11"/>
  <c r="M38" i="11"/>
  <c r="P38" i="11"/>
  <c r="P39" i="11"/>
  <c r="M39" i="11"/>
  <c r="M37" i="11"/>
  <c r="P37" i="11"/>
  <c r="M36" i="11"/>
  <c r="P36" i="11"/>
  <c r="Q36" i="11" l="1"/>
  <c r="Q37" i="11"/>
  <c r="Q39" i="11"/>
  <c r="Q42" i="11"/>
  <c r="Q40" i="11"/>
  <c r="Q38" i="11"/>
  <c r="Q45" i="11"/>
  <c r="Q41" i="11"/>
  <c r="Q43" i="11"/>
  <c r="Q44" i="11"/>
  <c r="O35" i="11"/>
  <c r="O34" i="11"/>
  <c r="O33" i="11"/>
  <c r="O32" i="11"/>
  <c r="O31" i="11"/>
  <c r="O30" i="11"/>
  <c r="O29" i="11"/>
  <c r="O26" i="11"/>
  <c r="O25" i="11"/>
  <c r="O24" i="11"/>
  <c r="M34" i="11" l="1"/>
  <c r="M35" i="11"/>
  <c r="P35" i="11"/>
  <c r="N35" i="11"/>
  <c r="P34" i="11"/>
  <c r="N34" i="11"/>
  <c r="P33" i="11"/>
  <c r="N33" i="11"/>
  <c r="P32" i="11"/>
  <c r="N32" i="11"/>
  <c r="M31" i="11"/>
  <c r="P31" i="11"/>
  <c r="N31" i="11"/>
  <c r="M30" i="11"/>
  <c r="P30" i="11"/>
  <c r="N30" i="11"/>
  <c r="P29" i="11"/>
  <c r="N29" i="11"/>
  <c r="P28" i="11"/>
  <c r="M28" i="11"/>
  <c r="O28" i="11"/>
  <c r="P27" i="11"/>
  <c r="O27" i="11"/>
  <c r="N27" i="11"/>
  <c r="M27" i="11"/>
  <c r="Q27" i="11" l="1"/>
  <c r="Q29" i="11"/>
  <c r="Q31" i="11"/>
  <c r="Q33" i="11"/>
  <c r="Q28" i="11"/>
  <c r="Q35" i="11"/>
  <c r="Q30" i="11"/>
  <c r="Q32" i="11"/>
  <c r="Q34" i="11"/>
  <c r="M26" i="11"/>
  <c r="P26" i="11"/>
  <c r="N26" i="11"/>
  <c r="M25" i="11"/>
  <c r="P25" i="11"/>
  <c r="N25" i="11"/>
  <c r="P24" i="11"/>
  <c r="N24" i="11"/>
  <c r="M24" i="11"/>
  <c r="P23" i="11"/>
  <c r="M23" i="11"/>
  <c r="O23" i="11"/>
  <c r="N23" i="11"/>
  <c r="Q23" i="11" l="1"/>
  <c r="Q24" i="11"/>
  <c r="Q25" i="11"/>
  <c r="Q26" i="11"/>
  <c r="O17" i="11"/>
  <c r="O15" i="11"/>
  <c r="P22" i="11" l="1"/>
  <c r="O22" i="11"/>
  <c r="N22" i="11"/>
  <c r="M22" i="11"/>
  <c r="Q22" i="11" l="1"/>
  <c r="O12" i="11"/>
  <c r="O7" i="11"/>
  <c r="O8" i="11"/>
  <c r="O9" i="11"/>
  <c r="O10" i="11"/>
  <c r="O11" i="11"/>
  <c r="P21" i="11" l="1"/>
  <c r="O21" i="11"/>
  <c r="N21" i="11"/>
  <c r="M21" i="11"/>
  <c r="P20" i="11"/>
  <c r="O20" i="11"/>
  <c r="N20" i="11"/>
  <c r="M20" i="11"/>
  <c r="P19" i="11"/>
  <c r="O19" i="11"/>
  <c r="N19" i="11"/>
  <c r="M19" i="11"/>
  <c r="P18" i="11"/>
  <c r="O18" i="11"/>
  <c r="N18" i="11"/>
  <c r="M18" i="11"/>
  <c r="P17" i="11"/>
  <c r="N17" i="11"/>
  <c r="M17" i="11"/>
  <c r="P16" i="11"/>
  <c r="O16" i="11"/>
  <c r="N16" i="11"/>
  <c r="M16" i="11"/>
  <c r="P15" i="11"/>
  <c r="N15" i="11"/>
  <c r="M15" i="11"/>
  <c r="Q15" i="11" l="1"/>
  <c r="Q16" i="11"/>
  <c r="Q18" i="11"/>
  <c r="Q19" i="11"/>
  <c r="Q17" i="11"/>
  <c r="Q20" i="11"/>
  <c r="Q21" i="11"/>
  <c r="O18" i="9"/>
  <c r="O17" i="9"/>
  <c r="O16" i="9"/>
  <c r="O15" i="9"/>
  <c r="O14" i="9"/>
  <c r="O12" i="9"/>
  <c r="O11" i="9"/>
  <c r="O10" i="9"/>
  <c r="M14" i="11" l="1"/>
  <c r="P14" i="11"/>
  <c r="O14" i="11"/>
  <c r="N14" i="11"/>
  <c r="P13" i="11"/>
  <c r="O13" i="11"/>
  <c r="N13" i="11"/>
  <c r="M13" i="11"/>
  <c r="M5" i="8"/>
  <c r="Q5" i="8" s="1"/>
  <c r="Q13" i="11" l="1"/>
  <c r="Q14" i="11"/>
  <c r="M7" i="11"/>
  <c r="M12" i="11"/>
  <c r="M11" i="11"/>
  <c r="M10" i="11"/>
  <c r="M9" i="11"/>
  <c r="P12" i="11"/>
  <c r="N12" i="11"/>
  <c r="P11" i="11"/>
  <c r="N11" i="11"/>
  <c r="P10" i="11"/>
  <c r="N10" i="11"/>
  <c r="P9" i="11"/>
  <c r="N9" i="11"/>
  <c r="M8" i="11"/>
  <c r="P8" i="11"/>
  <c r="P7" i="11"/>
  <c r="N8" i="11"/>
  <c r="N7" i="11"/>
  <c r="Q8" i="11" l="1"/>
  <c r="Q10" i="11"/>
  <c r="Q12" i="11"/>
  <c r="Q9" i="11"/>
  <c r="Q11" i="11"/>
  <c r="Q7" i="11"/>
  <c r="M6" i="11"/>
  <c r="P6" i="11"/>
  <c r="O6" i="11"/>
  <c r="N6" i="11"/>
  <c r="Q6" i="11" l="1"/>
  <c r="M5" i="11" l="1"/>
  <c r="P5" i="11"/>
  <c r="O5" i="11"/>
  <c r="N5" i="11"/>
  <c r="M4" i="11"/>
  <c r="P4" i="11"/>
  <c r="O4" i="11"/>
  <c r="N4" i="11"/>
  <c r="Q5" i="11" l="1"/>
  <c r="Q4" i="11"/>
  <c r="P3" i="11"/>
  <c r="O3" i="11"/>
  <c r="N3" i="11"/>
  <c r="M3" i="11"/>
  <c r="P2" i="11"/>
  <c r="Q3" i="11" l="1"/>
  <c r="O2" i="11"/>
  <c r="N2" i="11"/>
  <c r="M2" i="11"/>
  <c r="Q2" i="11" l="1"/>
  <c r="M20" i="9" l="1"/>
  <c r="N20" i="9"/>
  <c r="O20" i="9"/>
  <c r="P20" i="9"/>
  <c r="Q20" i="9" l="1"/>
  <c r="P19" i="9"/>
  <c r="M19" i="9"/>
  <c r="O19" i="9"/>
  <c r="N19" i="9"/>
  <c r="Q19" i="9" l="1"/>
  <c r="M18" i="9"/>
  <c r="M17" i="9"/>
  <c r="M16" i="9"/>
  <c r="M15" i="9"/>
  <c r="M14" i="9"/>
  <c r="M13" i="9"/>
  <c r="P13" i="9"/>
  <c r="P18" i="9"/>
  <c r="N18" i="9"/>
  <c r="P17" i="9"/>
  <c r="N17" i="9"/>
  <c r="P16" i="9"/>
  <c r="N16" i="9"/>
  <c r="P15" i="9"/>
  <c r="N15" i="9"/>
  <c r="P14" i="9"/>
  <c r="N14" i="9"/>
  <c r="O13" i="9"/>
  <c r="N13" i="9"/>
  <c r="Q14" i="9" l="1"/>
  <c r="Q16" i="9"/>
  <c r="Q18" i="9"/>
  <c r="Q13" i="9"/>
  <c r="Q15" i="9"/>
  <c r="Q17" i="9"/>
  <c r="M12" i="9" l="1"/>
  <c r="M10" i="9"/>
  <c r="P12" i="9"/>
  <c r="N12" i="9"/>
  <c r="P11" i="9"/>
  <c r="N11" i="9"/>
  <c r="M11" i="9"/>
  <c r="P10" i="9"/>
  <c r="N10" i="9"/>
  <c r="Q12" i="9" l="1"/>
  <c r="Q10" i="9"/>
  <c r="Q11" i="9"/>
  <c r="L71" i="5"/>
  <c r="L42" i="1"/>
  <c r="P9" i="9"/>
  <c r="P8" i="9"/>
  <c r="M9" i="9"/>
  <c r="M8" i="9"/>
  <c r="N9" i="9"/>
  <c r="O9" i="9"/>
  <c r="N8" i="9"/>
  <c r="O8" i="9"/>
  <c r="Q8" i="9" l="1"/>
  <c r="Q9" i="9"/>
  <c r="M7" i="9"/>
  <c r="P7" i="9"/>
  <c r="O7" i="9"/>
  <c r="N7" i="9"/>
  <c r="Q7" i="9" l="1"/>
  <c r="M4" i="8"/>
  <c r="O4" i="8"/>
  <c r="P6" i="9" l="1"/>
  <c r="P5" i="9"/>
  <c r="M6" i="9"/>
  <c r="O6" i="9"/>
  <c r="N6" i="9"/>
  <c r="M5" i="9"/>
  <c r="O5" i="9"/>
  <c r="N5" i="9"/>
  <c r="M4" i="9"/>
  <c r="P4" i="9"/>
  <c r="O4" i="9"/>
  <c r="N4" i="9"/>
  <c r="P3" i="9"/>
  <c r="O3" i="9"/>
  <c r="M3" i="9"/>
  <c r="N3" i="9"/>
  <c r="P2" i="9"/>
  <c r="O2" i="9"/>
  <c r="N2" i="9"/>
  <c r="M2" i="9"/>
  <c r="Q5" i="9" l="1"/>
  <c r="Q6" i="9"/>
  <c r="Q3" i="9"/>
  <c r="Q4" i="9"/>
  <c r="Q2" i="9"/>
  <c r="P4" i="8"/>
  <c r="N4" i="8"/>
  <c r="O3" i="8"/>
  <c r="N3" i="8"/>
  <c r="M3" i="8"/>
  <c r="P3" i="8"/>
  <c r="P2" i="8"/>
  <c r="O2" i="8"/>
  <c r="N2" i="8"/>
  <c r="M2" i="8"/>
  <c r="Q4" i="8" l="1"/>
  <c r="Q3" i="8"/>
  <c r="Q2" i="8"/>
  <c r="N58" i="5" l="1"/>
  <c r="O68" i="6" l="1"/>
  <c r="O65" i="6"/>
  <c r="O62" i="6"/>
  <c r="O67" i="6" l="1"/>
  <c r="P69" i="6"/>
  <c r="O69" i="6"/>
  <c r="N69" i="6"/>
  <c r="M69" i="6"/>
  <c r="P68" i="6"/>
  <c r="N68" i="6"/>
  <c r="M68" i="6"/>
  <c r="P67" i="6"/>
  <c r="N67" i="6"/>
  <c r="M67" i="6"/>
  <c r="P66" i="6"/>
  <c r="M66" i="6"/>
  <c r="N66" i="6"/>
  <c r="O66" i="6"/>
  <c r="P65" i="6"/>
  <c r="P63" i="6"/>
  <c r="P64" i="6"/>
  <c r="M65" i="6"/>
  <c r="N65" i="6"/>
  <c r="O59" i="6"/>
  <c r="O57" i="6"/>
  <c r="O51" i="6"/>
  <c r="O37" i="6"/>
  <c r="O17" i="6"/>
  <c r="Q66" i="6" l="1"/>
  <c r="Q65" i="6"/>
  <c r="Q67" i="6"/>
  <c r="Q68" i="6"/>
  <c r="Q69" i="6"/>
  <c r="M40" i="6"/>
  <c r="O64" i="6" l="1"/>
  <c r="N64" i="6"/>
  <c r="M64" i="6"/>
  <c r="O63" i="6"/>
  <c r="N63" i="6"/>
  <c r="M63" i="6"/>
  <c r="P62" i="6"/>
  <c r="N62" i="6"/>
  <c r="M62" i="6"/>
  <c r="P61" i="6"/>
  <c r="O61" i="6"/>
  <c r="N61" i="6"/>
  <c r="M61" i="6"/>
  <c r="P60" i="6"/>
  <c r="M60" i="6"/>
  <c r="N60" i="6"/>
  <c r="O60" i="6"/>
  <c r="Q63" i="6" l="1"/>
  <c r="Q64" i="6"/>
  <c r="Q61" i="6"/>
  <c r="Q62" i="6"/>
  <c r="Q60" i="6"/>
  <c r="Q69" i="5"/>
  <c r="P59" i="6" l="1"/>
  <c r="M59" i="6"/>
  <c r="N59" i="6"/>
  <c r="P58" i="6"/>
  <c r="M58" i="6"/>
  <c r="N58" i="6"/>
  <c r="O58" i="6"/>
  <c r="Q58" i="6" l="1"/>
  <c r="Q59" i="6"/>
  <c r="P57" i="6" l="1"/>
  <c r="P53" i="6"/>
  <c r="P52" i="6"/>
  <c r="P51" i="6"/>
  <c r="P50" i="6"/>
  <c r="P49" i="6"/>
  <c r="P48" i="6"/>
  <c r="M57" i="6"/>
  <c r="M56" i="6"/>
  <c r="M55" i="6"/>
  <c r="M54" i="6"/>
  <c r="M53" i="6"/>
  <c r="M52" i="6"/>
  <c r="M51" i="6"/>
  <c r="M50" i="6"/>
  <c r="M49" i="6"/>
  <c r="M48" i="6"/>
  <c r="N57" i="6"/>
  <c r="P56" i="6"/>
  <c r="O56" i="6"/>
  <c r="N56" i="6"/>
  <c r="P55" i="6"/>
  <c r="O55" i="6"/>
  <c r="N55" i="6"/>
  <c r="P54" i="6"/>
  <c r="O54" i="6"/>
  <c r="N54" i="6"/>
  <c r="O53" i="6"/>
  <c r="N53" i="6"/>
  <c r="O52" i="6"/>
  <c r="N52" i="6"/>
  <c r="N51" i="6"/>
  <c r="O50" i="6"/>
  <c r="N50" i="6"/>
  <c r="O49" i="6"/>
  <c r="N49" i="6"/>
  <c r="O48" i="6"/>
  <c r="N48" i="6"/>
  <c r="Q57" i="6" l="1"/>
  <c r="Q52" i="6"/>
  <c r="Q48" i="6"/>
  <c r="Q50" i="6"/>
  <c r="Q55" i="6"/>
  <c r="Q51" i="6"/>
  <c r="Q53" i="6"/>
  <c r="Q49" i="6"/>
  <c r="Q54" i="6"/>
  <c r="Q56" i="6"/>
  <c r="M42" i="6"/>
  <c r="M47" i="6" l="1"/>
  <c r="P47" i="6"/>
  <c r="O47" i="6"/>
  <c r="N47" i="6"/>
  <c r="P46" i="6"/>
  <c r="O46" i="6"/>
  <c r="N46" i="6"/>
  <c r="M46" i="6"/>
  <c r="M45" i="6"/>
  <c r="P45" i="6"/>
  <c r="O45" i="6"/>
  <c r="N45" i="6"/>
  <c r="M44" i="6"/>
  <c r="P44" i="6"/>
  <c r="O44" i="6"/>
  <c r="N44" i="6"/>
  <c r="M43" i="6"/>
  <c r="P43" i="6"/>
  <c r="O43" i="6"/>
  <c r="N43" i="6"/>
  <c r="P42" i="6"/>
  <c r="O42" i="6"/>
  <c r="N42" i="6"/>
  <c r="M41" i="6"/>
  <c r="P41" i="6"/>
  <c r="O41" i="6"/>
  <c r="N41" i="6"/>
  <c r="P37" i="6"/>
  <c r="P40" i="6"/>
  <c r="O40" i="6"/>
  <c r="N40" i="6"/>
  <c r="M39" i="6"/>
  <c r="P39" i="6"/>
  <c r="O39" i="6"/>
  <c r="N39" i="6"/>
  <c r="M38" i="6"/>
  <c r="P38" i="6"/>
  <c r="O38" i="6"/>
  <c r="N38" i="6"/>
  <c r="M3" i="5"/>
  <c r="Q43" i="6" l="1"/>
  <c r="Q46" i="6"/>
  <c r="Q39" i="6"/>
  <c r="Q42" i="6"/>
  <c r="Q38" i="6"/>
  <c r="Q45" i="6"/>
  <c r="Q44" i="6"/>
  <c r="Q41" i="6"/>
  <c r="Q47" i="6"/>
  <c r="Q40" i="6"/>
  <c r="M37" i="6"/>
  <c r="N37" i="6"/>
  <c r="M36" i="6"/>
  <c r="P36" i="6"/>
  <c r="O36" i="6"/>
  <c r="N36" i="6"/>
  <c r="P35" i="6"/>
  <c r="M35" i="6"/>
  <c r="O35" i="6"/>
  <c r="N35" i="6"/>
  <c r="M34" i="6"/>
  <c r="P34" i="6"/>
  <c r="O34" i="6"/>
  <c r="N34" i="6"/>
  <c r="M33" i="6"/>
  <c r="P33" i="6"/>
  <c r="O33" i="6"/>
  <c r="N33" i="6"/>
  <c r="M32" i="6"/>
  <c r="P32" i="6"/>
  <c r="O32" i="6"/>
  <c r="N32" i="6"/>
  <c r="M31" i="6"/>
  <c r="P31" i="6"/>
  <c r="O31" i="6"/>
  <c r="N31" i="6"/>
  <c r="P30" i="6"/>
  <c r="O30" i="6"/>
  <c r="N30" i="6"/>
  <c r="M30" i="6"/>
  <c r="M29" i="6"/>
  <c r="P29" i="6"/>
  <c r="O29" i="6"/>
  <c r="N29" i="6"/>
  <c r="Q34" i="6" l="1"/>
  <c r="Q36" i="6"/>
  <c r="Q37" i="6"/>
  <c r="Q32" i="6"/>
  <c r="Q33" i="6"/>
  <c r="Q29" i="6"/>
  <c r="Q31" i="6"/>
  <c r="Q35" i="6"/>
  <c r="Q30" i="6"/>
  <c r="M21" i="6" l="1"/>
  <c r="M28" i="6" l="1"/>
  <c r="P28" i="6"/>
  <c r="O28" i="6"/>
  <c r="N28" i="6"/>
  <c r="M27" i="6"/>
  <c r="P27" i="6"/>
  <c r="O27" i="6"/>
  <c r="N27" i="6"/>
  <c r="M26" i="6"/>
  <c r="P26" i="6"/>
  <c r="O26" i="6"/>
  <c r="N26" i="6"/>
  <c r="M25" i="6"/>
  <c r="P25" i="6"/>
  <c r="O25" i="6"/>
  <c r="N25" i="6"/>
  <c r="M24" i="6"/>
  <c r="P24" i="6"/>
  <c r="O24" i="6"/>
  <c r="N24" i="6"/>
  <c r="P3" i="6"/>
  <c r="P9" i="6"/>
  <c r="P10" i="6"/>
  <c r="P16" i="6"/>
  <c r="P23" i="6"/>
  <c r="M23" i="6"/>
  <c r="O23" i="6"/>
  <c r="N23" i="6"/>
  <c r="Q25" i="6" l="1"/>
  <c r="Q27" i="6"/>
  <c r="Q28" i="6"/>
  <c r="Q23" i="6"/>
  <c r="Q24" i="6"/>
  <c r="Q26" i="6"/>
  <c r="M22" i="6"/>
  <c r="P22" i="6"/>
  <c r="O22" i="6"/>
  <c r="N22" i="6"/>
  <c r="Q22" i="6" l="1"/>
  <c r="M19" i="6"/>
  <c r="P21" i="6" l="1"/>
  <c r="O21" i="6"/>
  <c r="N21" i="6"/>
  <c r="M20" i="6"/>
  <c r="N20" i="6"/>
  <c r="O20" i="6"/>
  <c r="P20" i="6"/>
  <c r="N19" i="6"/>
  <c r="O19" i="6"/>
  <c r="P19" i="6"/>
  <c r="Q21" i="6" l="1"/>
  <c r="Q20" i="6"/>
  <c r="Q19" i="6"/>
  <c r="P18" i="6"/>
  <c r="O18" i="6"/>
  <c r="N18" i="6"/>
  <c r="M18" i="6"/>
  <c r="P17" i="6"/>
  <c r="N17" i="6"/>
  <c r="M17" i="6"/>
  <c r="Q17" i="6" l="1"/>
  <c r="Q18" i="6"/>
  <c r="M68" i="5" l="1"/>
  <c r="Q68" i="5" s="1"/>
  <c r="M16" i="6" l="1"/>
  <c r="O16" i="6"/>
  <c r="N16" i="6"/>
  <c r="P15" i="6"/>
  <c r="O15" i="6"/>
  <c r="N15" i="6"/>
  <c r="M15" i="6"/>
  <c r="P14" i="6"/>
  <c r="O14" i="6"/>
  <c r="N14" i="6"/>
  <c r="M14" i="6"/>
  <c r="P13" i="6"/>
  <c r="O13" i="6"/>
  <c r="N13" i="6"/>
  <c r="M13" i="6"/>
  <c r="P12" i="6"/>
  <c r="O12" i="6"/>
  <c r="N12" i="6"/>
  <c r="M12" i="6"/>
  <c r="P11" i="6"/>
  <c r="O11" i="6"/>
  <c r="N11" i="6"/>
  <c r="M11" i="6"/>
  <c r="O10" i="6"/>
  <c r="N10" i="6"/>
  <c r="M10" i="6"/>
  <c r="O9" i="6"/>
  <c r="N9" i="6"/>
  <c r="M9" i="6"/>
  <c r="P8" i="6"/>
  <c r="O8" i="6"/>
  <c r="N8" i="6"/>
  <c r="M8" i="6"/>
  <c r="P7" i="6"/>
  <c r="O7" i="6"/>
  <c r="N7" i="6"/>
  <c r="M7" i="6"/>
  <c r="P6" i="6"/>
  <c r="O6" i="6"/>
  <c r="N6" i="6"/>
  <c r="M6" i="6"/>
  <c r="P5" i="6"/>
  <c r="O5" i="6"/>
  <c r="N5" i="6"/>
  <c r="M5" i="6"/>
  <c r="P4" i="6"/>
  <c r="O4" i="6"/>
  <c r="N4" i="6"/>
  <c r="M4" i="6"/>
  <c r="O3" i="6"/>
  <c r="N3" i="6"/>
  <c r="M3" i="6"/>
  <c r="P2" i="6"/>
  <c r="O2" i="6"/>
  <c r="N2" i="6"/>
  <c r="M2" i="6"/>
  <c r="P67" i="5"/>
  <c r="O67" i="5"/>
  <c r="N67" i="5"/>
  <c r="M67" i="5"/>
  <c r="P66" i="5"/>
  <c r="O66" i="5"/>
  <c r="N66" i="5"/>
  <c r="M66" i="5"/>
  <c r="P65" i="5"/>
  <c r="O65" i="5"/>
  <c r="N65" i="5"/>
  <c r="M65" i="5"/>
  <c r="P64" i="5"/>
  <c r="O64" i="5"/>
  <c r="N64" i="5"/>
  <c r="M64" i="5"/>
  <c r="P63" i="5"/>
  <c r="O63" i="5"/>
  <c r="N63" i="5"/>
  <c r="M63" i="5"/>
  <c r="P62" i="5"/>
  <c r="O62" i="5"/>
  <c r="N62" i="5"/>
  <c r="M62" i="5"/>
  <c r="P61" i="5"/>
  <c r="O61" i="5"/>
  <c r="N61" i="5"/>
  <c r="M61" i="5"/>
  <c r="P60" i="5"/>
  <c r="O60" i="5"/>
  <c r="N60" i="5"/>
  <c r="M60" i="5"/>
  <c r="P59" i="5"/>
  <c r="O59" i="5"/>
  <c r="N59" i="5"/>
  <c r="M59" i="5"/>
  <c r="P58" i="5"/>
  <c r="O58" i="5"/>
  <c r="M58" i="5"/>
  <c r="P57" i="5"/>
  <c r="O57" i="5"/>
  <c r="N57" i="5"/>
  <c r="M57" i="5"/>
  <c r="P56" i="5"/>
  <c r="O56" i="5"/>
  <c r="N56" i="5"/>
  <c r="M56" i="5"/>
  <c r="P55" i="5"/>
  <c r="O55" i="5"/>
  <c r="N55" i="5"/>
  <c r="M55" i="5"/>
  <c r="P54" i="5"/>
  <c r="O54" i="5"/>
  <c r="N54" i="5"/>
  <c r="M54" i="5"/>
  <c r="P53" i="5"/>
  <c r="O53" i="5"/>
  <c r="N53" i="5"/>
  <c r="M53" i="5"/>
  <c r="P52" i="5"/>
  <c r="O52" i="5"/>
  <c r="N52" i="5"/>
  <c r="M52" i="5"/>
  <c r="P51" i="5"/>
  <c r="O51" i="5"/>
  <c r="N51" i="5"/>
  <c r="M51" i="5"/>
  <c r="P50" i="5"/>
  <c r="O50" i="5"/>
  <c r="N50" i="5"/>
  <c r="M50" i="5"/>
  <c r="P49" i="5"/>
  <c r="O49" i="5"/>
  <c r="N49" i="5"/>
  <c r="M49" i="5"/>
  <c r="P48" i="5"/>
  <c r="O48" i="5"/>
  <c r="N48" i="5"/>
  <c r="M48" i="5"/>
  <c r="P47" i="5"/>
  <c r="O47" i="5"/>
  <c r="N47" i="5"/>
  <c r="M47" i="5"/>
  <c r="P46" i="5"/>
  <c r="O46" i="5"/>
  <c r="N46" i="5"/>
  <c r="M46" i="5"/>
  <c r="P45" i="5"/>
  <c r="O45" i="5"/>
  <c r="N45" i="5"/>
  <c r="M45" i="5"/>
  <c r="P44" i="5"/>
  <c r="O44" i="5"/>
  <c r="N44" i="5"/>
  <c r="M44" i="5"/>
  <c r="P43" i="5"/>
  <c r="O43" i="5"/>
  <c r="N43" i="5"/>
  <c r="M43" i="5"/>
  <c r="P42" i="5"/>
  <c r="O42" i="5"/>
  <c r="N42" i="5"/>
  <c r="M42" i="5"/>
  <c r="P41" i="5"/>
  <c r="O41" i="5"/>
  <c r="N41" i="5"/>
  <c r="M41" i="5"/>
  <c r="P40" i="5"/>
  <c r="O40" i="5"/>
  <c r="N40" i="5"/>
  <c r="M40" i="5"/>
  <c r="P39" i="5"/>
  <c r="O39" i="5"/>
  <c r="N39" i="5"/>
  <c r="M39" i="5"/>
  <c r="P38" i="5"/>
  <c r="O38" i="5"/>
  <c r="N38" i="5"/>
  <c r="M38" i="5"/>
  <c r="P37" i="5"/>
  <c r="O37" i="5"/>
  <c r="N37" i="5"/>
  <c r="M37" i="5"/>
  <c r="P36" i="5"/>
  <c r="O36" i="5"/>
  <c r="N36" i="5"/>
  <c r="M36" i="5"/>
  <c r="P35" i="5"/>
  <c r="O35" i="5"/>
  <c r="N35" i="5"/>
  <c r="M35" i="5"/>
  <c r="P34" i="5"/>
  <c r="O34" i="5"/>
  <c r="N34" i="5"/>
  <c r="M34" i="5"/>
  <c r="P33" i="5"/>
  <c r="O33" i="5"/>
  <c r="N33" i="5"/>
  <c r="M33" i="5"/>
  <c r="P32" i="5"/>
  <c r="O32" i="5"/>
  <c r="N32" i="5"/>
  <c r="M32" i="5"/>
  <c r="P31" i="5"/>
  <c r="O31" i="5"/>
  <c r="N31" i="5"/>
  <c r="M31" i="5"/>
  <c r="P30" i="5"/>
  <c r="O30" i="5"/>
  <c r="N30" i="5"/>
  <c r="M30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P23" i="5"/>
  <c r="O23" i="5"/>
  <c r="N23" i="5"/>
  <c r="M23" i="5"/>
  <c r="P22" i="5"/>
  <c r="O22" i="5"/>
  <c r="N22" i="5"/>
  <c r="M22" i="5"/>
  <c r="P21" i="5"/>
  <c r="O21" i="5"/>
  <c r="N21" i="5"/>
  <c r="M21" i="5"/>
  <c r="P20" i="5"/>
  <c r="M20" i="5"/>
  <c r="P19" i="5"/>
  <c r="M19" i="5"/>
  <c r="P18" i="5"/>
  <c r="M18" i="5"/>
  <c r="P17" i="5"/>
  <c r="M17" i="5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M9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3" i="5"/>
  <c r="O3" i="5"/>
  <c r="N3" i="5"/>
  <c r="P2" i="5"/>
  <c r="O2" i="5"/>
  <c r="N2" i="5"/>
  <c r="M2" i="5"/>
  <c r="Q16" i="6" l="1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2" i="5"/>
  <c r="Q3" i="5"/>
  <c r="Q4" i="5"/>
  <c r="Q5" i="5"/>
  <c r="Q6" i="5"/>
  <c r="Q7" i="5"/>
  <c r="Q8" i="5"/>
  <c r="P40" i="1" l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M2" i="1"/>
  <c r="Q2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3" i="1"/>
</calcChain>
</file>

<file path=xl/sharedStrings.xml><?xml version="1.0" encoding="utf-8"?>
<sst xmlns="http://schemas.openxmlformats.org/spreadsheetml/2006/main" count="6538" uniqueCount="1109">
  <si>
    <t>NO</t>
  </si>
  <si>
    <t>No AWB</t>
  </si>
  <si>
    <t>System</t>
  </si>
  <si>
    <t>Shipper Name</t>
  </si>
  <si>
    <t>COMODITY</t>
  </si>
  <si>
    <t>Ori</t>
  </si>
  <si>
    <t>Dest</t>
  </si>
  <si>
    <t>Flight No</t>
  </si>
  <si>
    <t>Flight Date</t>
  </si>
  <si>
    <t>Pcs</t>
  </si>
  <si>
    <t>Gr. Wt</t>
  </si>
  <si>
    <t>Ch. Wt</t>
  </si>
  <si>
    <t xml:space="preserve">SMU </t>
  </si>
  <si>
    <t xml:space="preserve">RA </t>
  </si>
  <si>
    <t>WH</t>
  </si>
  <si>
    <t xml:space="preserve">Handling </t>
  </si>
  <si>
    <t xml:space="preserve">Total Invoice </t>
  </si>
  <si>
    <t xml:space="preserve">Nominal Bayar </t>
  </si>
  <si>
    <t xml:space="preserve">Tanggal Bayar </t>
  </si>
  <si>
    <t xml:space="preserve">Ket Bank </t>
  </si>
  <si>
    <t>938-06577211</t>
  </si>
  <si>
    <t>HLP</t>
  </si>
  <si>
    <t>PT. VARCOINDO</t>
  </si>
  <si>
    <t>Genco</t>
  </si>
  <si>
    <t>BPN</t>
  </si>
  <si>
    <t>ID-7271</t>
  </si>
  <si>
    <t>6 Jan 2021</t>
  </si>
  <si>
    <t>Maybank</t>
  </si>
  <si>
    <t>938-06579311</t>
  </si>
  <si>
    <t>CGK</t>
  </si>
  <si>
    <t>RMS</t>
  </si>
  <si>
    <t>SRG</t>
  </si>
  <si>
    <t>ID-6362</t>
  </si>
  <si>
    <t>18 Jan 2021</t>
  </si>
  <si>
    <t>990-13744183</t>
  </si>
  <si>
    <t>DPS</t>
  </si>
  <si>
    <t>JT-0038</t>
  </si>
  <si>
    <t>938-06611124</t>
  </si>
  <si>
    <t>938-13873716</t>
  </si>
  <si>
    <t>ALKOM</t>
  </si>
  <si>
    <t>SUB</t>
  </si>
  <si>
    <t>JT-0580</t>
  </si>
  <si>
    <t>990-13914515</t>
  </si>
  <si>
    <t>JT-0690</t>
  </si>
  <si>
    <t>938-06695010</t>
  </si>
  <si>
    <t>KOE</t>
  </si>
  <si>
    <t>8 Feb 2021</t>
  </si>
  <si>
    <t>938-06676504</t>
  </si>
  <si>
    <t>LA ODE MUSRAN</t>
  </si>
  <si>
    <t>GENCO</t>
  </si>
  <si>
    <t>TRK</t>
  </si>
  <si>
    <t>15 Jan 2021</t>
  </si>
  <si>
    <t>938-06588094</t>
  </si>
  <si>
    <t>WID LOG</t>
  </si>
  <si>
    <t>MKW</t>
  </si>
  <si>
    <t>ID-6268</t>
  </si>
  <si>
    <t>16 Feb 2021</t>
  </si>
  <si>
    <t>990-13916910</t>
  </si>
  <si>
    <t>JT-0768</t>
  </si>
  <si>
    <t>938-06725600</t>
  </si>
  <si>
    <t>LOP</t>
  </si>
  <si>
    <t>ID-6656</t>
  </si>
  <si>
    <t>990-14023811</t>
  </si>
  <si>
    <t>938-06763013</t>
  </si>
  <si>
    <t>BTH</t>
  </si>
  <si>
    <t>ID-6864</t>
  </si>
  <si>
    <t>990-14066382</t>
  </si>
  <si>
    <t>990-14154000</t>
  </si>
  <si>
    <t>938-06888125</t>
  </si>
  <si>
    <t>PGK</t>
  </si>
  <si>
    <t>ID-6846</t>
  </si>
  <si>
    <t>938-06724583</t>
  </si>
  <si>
    <t>PNK</t>
  </si>
  <si>
    <t>ID-6220</t>
  </si>
  <si>
    <t>26 Jan 2021</t>
  </si>
  <si>
    <t>990-13986125</t>
  </si>
  <si>
    <t>BDJ</t>
  </si>
  <si>
    <t>JT-0524</t>
  </si>
  <si>
    <t>990-14006845</t>
  </si>
  <si>
    <t>KNO</t>
  </si>
  <si>
    <t>JT-0210</t>
  </si>
  <si>
    <t>2 Feb 2021</t>
  </si>
  <si>
    <t>938-06748652</t>
  </si>
  <si>
    <t>ID-6212</t>
  </si>
  <si>
    <t>990-14084490</t>
  </si>
  <si>
    <t>Fastrx</t>
  </si>
  <si>
    <t>BUW</t>
  </si>
  <si>
    <t>JT-0778</t>
  </si>
  <si>
    <t>938-06790604</t>
  </si>
  <si>
    <t>ID-6886</t>
  </si>
  <si>
    <t>938-06818105</t>
  </si>
  <si>
    <t>990-14084674</t>
  </si>
  <si>
    <t>S.A.L</t>
  </si>
  <si>
    <t>JT-0760</t>
  </si>
  <si>
    <t>Outstanding</t>
  </si>
  <si>
    <t>990-14125020</t>
  </si>
  <si>
    <t>938-06840923</t>
  </si>
  <si>
    <t>Vanka</t>
  </si>
  <si>
    <t>28 Jan 2021</t>
  </si>
  <si>
    <t>990-14198623</t>
  </si>
  <si>
    <t>MTN</t>
  </si>
  <si>
    <t>GTO</t>
  </si>
  <si>
    <t>JT-0892</t>
  </si>
  <si>
    <t>938-06865876</t>
  </si>
  <si>
    <t>AMQ</t>
  </si>
  <si>
    <t>ID-6170</t>
  </si>
  <si>
    <t>938-06866005</t>
  </si>
  <si>
    <t>990-14198962</t>
  </si>
  <si>
    <t>938-06874512</t>
  </si>
  <si>
    <t>TTE</t>
  </si>
  <si>
    <t>ID-6196</t>
  </si>
  <si>
    <t>938-06874582</t>
  </si>
  <si>
    <t>MDC</t>
  </si>
  <si>
    <t>ID-6274</t>
  </si>
  <si>
    <t>990-14211536</t>
  </si>
  <si>
    <t>DJJ</t>
  </si>
  <si>
    <t>JT-0798</t>
  </si>
  <si>
    <t>938-06874755</t>
  </si>
  <si>
    <t>ID-6186</t>
  </si>
  <si>
    <t>938-06874873</t>
  </si>
  <si>
    <t>938-06874943</t>
  </si>
  <si>
    <t>938-06874965</t>
  </si>
  <si>
    <t>938-06877592</t>
  </si>
  <si>
    <t>938-06878093</t>
  </si>
  <si>
    <t>938-06889304</t>
  </si>
  <si>
    <t>COSL</t>
  </si>
  <si>
    <t>MayBank</t>
  </si>
  <si>
    <t>990-14257261</t>
  </si>
  <si>
    <t>ID-6226</t>
  </si>
  <si>
    <t>990-14277944</t>
  </si>
  <si>
    <t>Agility</t>
  </si>
  <si>
    <t>23 Feb 2021</t>
  </si>
  <si>
    <t>990-14277760</t>
  </si>
  <si>
    <t>COSL Indo</t>
  </si>
  <si>
    <t>990-14287383</t>
  </si>
  <si>
    <t>ID-0758</t>
  </si>
  <si>
    <t>990-14287442</t>
  </si>
  <si>
    <t>Heavy Cargo</t>
  </si>
  <si>
    <t>JT-0758</t>
  </si>
  <si>
    <t>990-14287534</t>
  </si>
  <si>
    <t>990-14290706</t>
  </si>
  <si>
    <t>Mayor Lek Erzy</t>
  </si>
  <si>
    <t>SOC</t>
  </si>
  <si>
    <t>JT-0532</t>
  </si>
  <si>
    <t>3 Feb 2021</t>
  </si>
  <si>
    <t>990-14296494</t>
  </si>
  <si>
    <t>990-14316120</t>
  </si>
  <si>
    <t>938-07011944</t>
  </si>
  <si>
    <t>ID-6502</t>
  </si>
  <si>
    <t>938-07016030</t>
  </si>
  <si>
    <t>17 Feb 2021</t>
  </si>
  <si>
    <t>938-07015912</t>
  </si>
  <si>
    <t>SJE</t>
  </si>
  <si>
    <t>PLW</t>
  </si>
  <si>
    <t>ID-7585</t>
  </si>
  <si>
    <t>3 Mar 2021</t>
  </si>
  <si>
    <t>938-07021206</t>
  </si>
  <si>
    <t>ID-6506</t>
  </si>
  <si>
    <t>990-14427302</t>
  </si>
  <si>
    <t>938-07035722</t>
  </si>
  <si>
    <t>TONI</t>
  </si>
  <si>
    <t>12 Feb 2021</t>
  </si>
  <si>
    <t>938-07051225</t>
  </si>
  <si>
    <t>MIKA</t>
  </si>
  <si>
    <t>938-07092595</t>
  </si>
  <si>
    <t>GLADIS</t>
  </si>
  <si>
    <t>PLM</t>
  </si>
  <si>
    <t>ID-7059</t>
  </si>
  <si>
    <t>15 Feb 2021</t>
  </si>
  <si>
    <t>938-07112420</t>
  </si>
  <si>
    <t>WAWAN</t>
  </si>
  <si>
    <t>PDG</t>
  </si>
  <si>
    <t>ID-7019</t>
  </si>
  <si>
    <t>20 Feb 2021</t>
  </si>
  <si>
    <t>938-07109896</t>
  </si>
  <si>
    <t>FASTRX</t>
  </si>
  <si>
    <t>938-07114995</t>
  </si>
  <si>
    <t>ID-6742</t>
  </si>
  <si>
    <t>938-07132963</t>
  </si>
  <si>
    <t>938-07138596</t>
  </si>
  <si>
    <t>WIKA</t>
  </si>
  <si>
    <t>ID-6862</t>
  </si>
  <si>
    <t>990-14543664</t>
  </si>
  <si>
    <t>938-07142553</t>
  </si>
  <si>
    <t>PKU</t>
  </si>
  <si>
    <t>ID-6856</t>
  </si>
  <si>
    <t>938-07141153</t>
  </si>
  <si>
    <t>938-07154136</t>
  </si>
  <si>
    <t>Syafira</t>
  </si>
  <si>
    <t>ID-7109</t>
  </si>
  <si>
    <t>990-16366545</t>
  </si>
  <si>
    <t>990-16369146</t>
  </si>
  <si>
    <t>JT-0688</t>
  </si>
  <si>
    <t>990-16369286</t>
  </si>
  <si>
    <t>938-07162293</t>
  </si>
  <si>
    <t>938-07187541</t>
  </si>
  <si>
    <t>PT. Graha Usaha Teknik</t>
  </si>
  <si>
    <t>ID-7021</t>
  </si>
  <si>
    <t>938-07191170</t>
  </si>
  <si>
    <t>Hindra Wibowo</t>
  </si>
  <si>
    <t>ID-7011</t>
  </si>
  <si>
    <t>27 Feb 2021</t>
  </si>
  <si>
    <t>990-16369426</t>
  </si>
  <si>
    <t>AAP</t>
  </si>
  <si>
    <t>ID-6672</t>
  </si>
  <si>
    <t>990-16403634</t>
  </si>
  <si>
    <t>JT-0750</t>
  </si>
  <si>
    <t>938-07194611</t>
  </si>
  <si>
    <t>ID-6882</t>
  </si>
  <si>
    <t>990-16412723</t>
  </si>
  <si>
    <t>BKS</t>
  </si>
  <si>
    <t>JT-0630</t>
  </si>
  <si>
    <t>938-07200200</t>
  </si>
  <si>
    <t>Andreas Nidya</t>
  </si>
  <si>
    <t>ID-7501</t>
  </si>
  <si>
    <t>26 Feb 2021</t>
  </si>
  <si>
    <t>938-07201412</t>
  </si>
  <si>
    <t>Naila</t>
  </si>
  <si>
    <t>938-07203593</t>
  </si>
  <si>
    <t>ID-6852</t>
  </si>
  <si>
    <t>938-07209300</t>
  </si>
  <si>
    <t>Transtama</t>
  </si>
  <si>
    <t>ID-6880</t>
  </si>
  <si>
    <t>938-07206290</t>
  </si>
  <si>
    <t>938-07214340</t>
  </si>
  <si>
    <t>Elisanto Simbiring</t>
  </si>
  <si>
    <t>25 Feb 2021</t>
  </si>
  <si>
    <t>938-07218271</t>
  </si>
  <si>
    <t>Nicholas</t>
  </si>
  <si>
    <t>938-07221012</t>
  </si>
  <si>
    <t>938-07221093</t>
  </si>
  <si>
    <t>BTJ</t>
  </si>
  <si>
    <t>938-07221196</t>
  </si>
  <si>
    <t>ID-6182</t>
  </si>
  <si>
    <t>938-07221336</t>
  </si>
  <si>
    <t>KDI</t>
  </si>
  <si>
    <t>ID-6722</t>
  </si>
  <si>
    <t>938-07221373</t>
  </si>
  <si>
    <t>ID-6540</t>
  </si>
  <si>
    <t>990-16446091</t>
  </si>
  <si>
    <t>938-07221642</t>
  </si>
  <si>
    <t>UPG</t>
  </si>
  <si>
    <t>ID-6262</t>
  </si>
  <si>
    <t>938-07223086</t>
  </si>
  <si>
    <t>ID-6370</t>
  </si>
  <si>
    <t>938-07226192</t>
  </si>
  <si>
    <t>ID-6814</t>
  </si>
  <si>
    <t>938-07231744</t>
  </si>
  <si>
    <t>AGILITY</t>
  </si>
  <si>
    <t>HEAVY CARGO</t>
  </si>
  <si>
    <t>938-07231792</t>
  </si>
  <si>
    <t>938-07218842</t>
  </si>
  <si>
    <t>Budi Santoso</t>
  </si>
  <si>
    <t>938-07238442</t>
  </si>
  <si>
    <t>SAL CARGO</t>
  </si>
  <si>
    <t>990-16465256</t>
  </si>
  <si>
    <t>JT-0290</t>
  </si>
  <si>
    <t>990-16465374</t>
  </si>
  <si>
    <t>JT-0352</t>
  </si>
  <si>
    <t>990-16491904</t>
  </si>
  <si>
    <t>990-16495312</t>
  </si>
  <si>
    <t>JT-0712</t>
  </si>
  <si>
    <t>938-08862803</t>
  </si>
  <si>
    <t>DJB</t>
  </si>
  <si>
    <t>ID-6802</t>
  </si>
  <si>
    <t>938-08851264</t>
  </si>
  <si>
    <t>PT. COSL</t>
  </si>
  <si>
    <t>938-08859281</t>
  </si>
  <si>
    <t>PT. Solusi Prima</t>
  </si>
  <si>
    <t>938-08861510</t>
  </si>
  <si>
    <t>Hijabiah</t>
  </si>
  <si>
    <t>28 Feb 2021</t>
  </si>
  <si>
    <t>938-08862652</t>
  </si>
  <si>
    <t>Mika</t>
  </si>
  <si>
    <t>938-08882392</t>
  </si>
  <si>
    <t>PT. GUT</t>
  </si>
  <si>
    <t>938-08887023</t>
  </si>
  <si>
    <t>ID-6500</t>
  </si>
  <si>
    <t>938-08895740</t>
  </si>
  <si>
    <t>ID-6804</t>
  </si>
  <si>
    <t>990-16535083</t>
  </si>
  <si>
    <t>TNJ</t>
  </si>
  <si>
    <t>JT-0620</t>
  </si>
  <si>
    <t>990-16535212</t>
  </si>
  <si>
    <t>JT-0718</t>
  </si>
  <si>
    <t>938-08899656</t>
  </si>
  <si>
    <t>938-08899671</t>
  </si>
  <si>
    <t>938-08901723</t>
  </si>
  <si>
    <t>ID-6850</t>
  </si>
  <si>
    <t>938-08901900</t>
  </si>
  <si>
    <t>ID-6512</t>
  </si>
  <si>
    <t>4 Mar 2021</t>
  </si>
  <si>
    <t>938-08887524</t>
  </si>
  <si>
    <t>938-08901546</t>
  </si>
  <si>
    <t>938-08908232</t>
  </si>
  <si>
    <t>SAEBUDI</t>
  </si>
  <si>
    <t>938-08910484</t>
  </si>
  <si>
    <t>IIN MARLINDA</t>
  </si>
  <si>
    <t>938-08915572</t>
  </si>
  <si>
    <t>938-08925556</t>
  </si>
  <si>
    <t>ID-7172</t>
  </si>
  <si>
    <t>864-00709395</t>
  </si>
  <si>
    <t>CKB</t>
  </si>
  <si>
    <t>4 Maret 2021</t>
  </si>
  <si>
    <t>2 Mar 2021</t>
  </si>
  <si>
    <t>3 Maret</t>
  </si>
  <si>
    <t>11 Maret</t>
  </si>
  <si>
    <t>12 Maret</t>
  </si>
  <si>
    <t>17 Maret</t>
  </si>
  <si>
    <t>9 Maret</t>
  </si>
  <si>
    <t>4 Hari</t>
  </si>
  <si>
    <t>16 Maret</t>
  </si>
  <si>
    <t>19 Maret</t>
  </si>
  <si>
    <t>Age</t>
  </si>
  <si>
    <t>Jatuh Tempo</t>
  </si>
  <si>
    <t>24 Feb</t>
  </si>
  <si>
    <t>1 Hari</t>
  </si>
  <si>
    <t>938-08943535</t>
  </si>
  <si>
    <t xml:space="preserve">HLP </t>
  </si>
  <si>
    <t>938-08945565</t>
  </si>
  <si>
    <t>938-08953840</t>
  </si>
  <si>
    <t>Andri Flops DRZ</t>
  </si>
  <si>
    <t>938-08958305</t>
  </si>
  <si>
    <t>938-08993224</t>
  </si>
  <si>
    <t>PT. Buana Cahya</t>
  </si>
  <si>
    <t>20 Maret</t>
  </si>
  <si>
    <t>21 Maret</t>
  </si>
  <si>
    <t>8 Maret</t>
  </si>
  <si>
    <t>938-09004015</t>
  </si>
  <si>
    <t>PT. RIKI ANUGRAH</t>
  </si>
  <si>
    <t>938-09014003</t>
  </si>
  <si>
    <t>ID-6505</t>
  </si>
  <si>
    <t>938-09014110</t>
  </si>
  <si>
    <t>990-16680005</t>
  </si>
  <si>
    <t>JT-0390</t>
  </si>
  <si>
    <t>938-09014386</t>
  </si>
  <si>
    <t>ID-6872</t>
  </si>
  <si>
    <t>938-09014552</t>
  </si>
  <si>
    <t>ID-6818</t>
  </si>
  <si>
    <t>938-09014666</t>
  </si>
  <si>
    <t>9 Hari</t>
  </si>
  <si>
    <t>8 Hari</t>
  </si>
  <si>
    <t>25 Maret</t>
  </si>
  <si>
    <t>938-09030615</t>
  </si>
  <si>
    <t>Sutrisno</t>
  </si>
  <si>
    <t>938-09033264</t>
  </si>
  <si>
    <t>Yovanka</t>
  </si>
  <si>
    <t>938-09045341</t>
  </si>
  <si>
    <t>ID-7513</t>
  </si>
  <si>
    <t>Florent</t>
  </si>
  <si>
    <t>938-09035132</t>
  </si>
  <si>
    <t>ID-6350</t>
  </si>
  <si>
    <t>938-09035316</t>
  </si>
  <si>
    <t>938-09035386</t>
  </si>
  <si>
    <t>938-09034152</t>
  </si>
  <si>
    <t>TKC</t>
  </si>
  <si>
    <t>990-16718866</t>
  </si>
  <si>
    <t>938-09047706</t>
  </si>
  <si>
    <t>SEED PLANT</t>
  </si>
  <si>
    <t>ID-6179</t>
  </si>
  <si>
    <t>27 Maret</t>
  </si>
  <si>
    <t>28 Maret</t>
  </si>
  <si>
    <t>29 Maret</t>
  </si>
  <si>
    <t>11 Hari</t>
  </si>
  <si>
    <t>938-09164842</t>
  </si>
  <si>
    <t>FOOD STUFF</t>
  </si>
  <si>
    <t>938-09164956</t>
  </si>
  <si>
    <t>990-16752072</t>
  </si>
  <si>
    <t>JT-0638</t>
  </si>
  <si>
    <t>938-09168386</t>
  </si>
  <si>
    <t>938-09168644</t>
  </si>
  <si>
    <t>938-09168762</t>
  </si>
  <si>
    <t>938-09178282</t>
  </si>
  <si>
    <t>990-16776966</t>
  </si>
  <si>
    <t>938-09187636</t>
  </si>
  <si>
    <t>ID-6346</t>
  </si>
  <si>
    <t>938-09187695</t>
  </si>
  <si>
    <t>30 Maret</t>
  </si>
  <si>
    <t>31 Maret</t>
  </si>
  <si>
    <t>1 April</t>
  </si>
  <si>
    <t>938-09197716</t>
  </si>
  <si>
    <t>938-09197985</t>
  </si>
  <si>
    <t>ID-7127</t>
  </si>
  <si>
    <t>938-09215010</t>
  </si>
  <si>
    <t>938-09210456</t>
  </si>
  <si>
    <t>938-09214936</t>
  </si>
  <si>
    <t>ID-7065</t>
  </si>
  <si>
    <t>938-09214811</t>
  </si>
  <si>
    <t>ID-7053</t>
  </si>
  <si>
    <t>938-09236474</t>
  </si>
  <si>
    <t>Wawan</t>
  </si>
  <si>
    <t>ID-7013</t>
  </si>
  <si>
    <t>938-09236371</t>
  </si>
  <si>
    <t>938-09236205</t>
  </si>
  <si>
    <t>Teddy</t>
  </si>
  <si>
    <t>ID-7509</t>
  </si>
  <si>
    <t>938-09228181</t>
  </si>
  <si>
    <t>17 Hari</t>
  </si>
  <si>
    <t>10 Hari</t>
  </si>
  <si>
    <t>2 April</t>
  </si>
  <si>
    <t>3 April</t>
  </si>
  <si>
    <t>6 Hari</t>
  </si>
  <si>
    <t>22 Maret</t>
  </si>
  <si>
    <t>17 18 Maret</t>
  </si>
  <si>
    <t>938-09258874</t>
  </si>
  <si>
    <t>ID-7107</t>
  </si>
  <si>
    <t>938-09263752</t>
  </si>
  <si>
    <t>23 Maret</t>
  </si>
  <si>
    <t>7 Hari</t>
  </si>
  <si>
    <t>864-007233174</t>
  </si>
  <si>
    <t/>
  </si>
  <si>
    <t xml:space="preserve">23 Maret </t>
  </si>
  <si>
    <t>5 Hari</t>
  </si>
  <si>
    <t>938-09274915</t>
  </si>
  <si>
    <t>ARBI</t>
  </si>
  <si>
    <t>24 Maret</t>
  </si>
  <si>
    <t>938-09275346</t>
  </si>
  <si>
    <t>Johan</t>
  </si>
  <si>
    <t>938-09278802</t>
  </si>
  <si>
    <t>938-09278916</t>
  </si>
  <si>
    <t>Arisga</t>
  </si>
  <si>
    <t>938-09280482</t>
  </si>
  <si>
    <t>26 Maret</t>
  </si>
  <si>
    <t xml:space="preserve">26 Maret </t>
  </si>
  <si>
    <t>938-09296206</t>
  </si>
  <si>
    <t>938-09296383</t>
  </si>
  <si>
    <t>938-09298586</t>
  </si>
  <si>
    <t>Arbi</t>
  </si>
  <si>
    <t>938-09311282</t>
  </si>
  <si>
    <t>938-09311901</t>
  </si>
  <si>
    <t>FERRY</t>
  </si>
  <si>
    <t>13 Hari</t>
  </si>
  <si>
    <t>23 Hari</t>
  </si>
  <si>
    <t>22 hari</t>
  </si>
  <si>
    <t>18 hari</t>
  </si>
  <si>
    <t>7 April</t>
  </si>
  <si>
    <t>8 April</t>
  </si>
  <si>
    <t>9 April</t>
  </si>
  <si>
    <t>12 April</t>
  </si>
  <si>
    <t>938-09594631</t>
  </si>
  <si>
    <t>MB Cargo</t>
  </si>
  <si>
    <t>21 April</t>
  </si>
  <si>
    <t>20 April</t>
  </si>
  <si>
    <t>26 April</t>
  </si>
  <si>
    <t>938-09824544</t>
  </si>
  <si>
    <t>Riyanto</t>
  </si>
  <si>
    <t>23 April</t>
  </si>
  <si>
    <t>990-17495575</t>
  </si>
  <si>
    <t>Denny</t>
  </si>
  <si>
    <t>938-09972185</t>
  </si>
  <si>
    <t>APLOG</t>
  </si>
  <si>
    <t>990-17688786</t>
  </si>
  <si>
    <t xml:space="preserve">CGK </t>
  </si>
  <si>
    <t>JT-0656</t>
  </si>
  <si>
    <t>938-10145601</t>
  </si>
  <si>
    <t>938-10150044</t>
  </si>
  <si>
    <t>990-17708051</t>
  </si>
  <si>
    <t xml:space="preserve">Charta Politika </t>
  </si>
  <si>
    <t>JT-3320</t>
  </si>
  <si>
    <t>6 Mei 2021</t>
  </si>
  <si>
    <t>11 Mei 2021</t>
  </si>
  <si>
    <t>22 April</t>
  </si>
  <si>
    <t>Deden / WID LOG</t>
  </si>
  <si>
    <t>12 Mei</t>
  </si>
  <si>
    <t>938-10153916</t>
  </si>
  <si>
    <t>ID-6576</t>
  </si>
  <si>
    <t>938-10167824</t>
  </si>
  <si>
    <t>938-10167846</t>
  </si>
  <si>
    <t>Medicin</t>
  </si>
  <si>
    <t>ID-8218</t>
  </si>
  <si>
    <t>938-10176530</t>
  </si>
  <si>
    <t>938-10176585</t>
  </si>
  <si>
    <t>990-17811684</t>
  </si>
  <si>
    <t>Modul</t>
  </si>
  <si>
    <t>ID-8870</t>
  </si>
  <si>
    <t>ID-6061</t>
  </si>
  <si>
    <t>24 Mei</t>
  </si>
  <si>
    <t>938-10184495</t>
  </si>
  <si>
    <t>938-10191473</t>
  </si>
  <si>
    <t>990-17833686</t>
  </si>
  <si>
    <t>990-17833690</t>
  </si>
  <si>
    <t>990-17833745</t>
  </si>
  <si>
    <t>990-17852240</t>
  </si>
  <si>
    <t>SAL</t>
  </si>
  <si>
    <t>ID-6866</t>
  </si>
  <si>
    <t>ID-6878</t>
  </si>
  <si>
    <t>JT-0200</t>
  </si>
  <si>
    <t>JT-0370</t>
  </si>
  <si>
    <t>JT-0616</t>
  </si>
  <si>
    <t>23 Mei</t>
  </si>
  <si>
    <t>938-10240171</t>
  </si>
  <si>
    <t>Ferry</t>
  </si>
  <si>
    <t>27 Mei</t>
  </si>
  <si>
    <t>938-10288541</t>
  </si>
  <si>
    <t>SOQ</t>
  </si>
  <si>
    <t>ID-7797</t>
  </si>
  <si>
    <t>31 Mei</t>
  </si>
  <si>
    <t>938-10443086</t>
  </si>
  <si>
    <t>990-18116954</t>
  </si>
  <si>
    <t>JT-0374</t>
  </si>
  <si>
    <t>938-10467063</t>
  </si>
  <si>
    <t>938-10467144</t>
  </si>
  <si>
    <t>ID-6258</t>
  </si>
  <si>
    <t>2 Juni</t>
  </si>
  <si>
    <t xml:space="preserve">3 Juni </t>
  </si>
  <si>
    <t>Foodstuff</t>
  </si>
  <si>
    <t>3 Juni 2021</t>
  </si>
  <si>
    <t>990-18159201</t>
  </si>
  <si>
    <t>ID-6266</t>
  </si>
  <si>
    <t>6 Juni</t>
  </si>
  <si>
    <t>938-10485112</t>
  </si>
  <si>
    <t>938-10485182</t>
  </si>
  <si>
    <t>990-18162620</t>
  </si>
  <si>
    <t>990-18162771</t>
  </si>
  <si>
    <t>990-18162723</t>
  </si>
  <si>
    <t>938-10499344</t>
  </si>
  <si>
    <t>JT-0636</t>
  </si>
  <si>
    <t>TKG</t>
  </si>
  <si>
    <t>JT-0176</t>
  </si>
  <si>
    <t>8 Juni 2021</t>
  </si>
  <si>
    <t>990-18722984</t>
  </si>
  <si>
    <t>938-10644200</t>
  </si>
  <si>
    <t>9 Juni</t>
  </si>
  <si>
    <t>9 Juni 2021</t>
  </si>
  <si>
    <t>27 Februari 2021</t>
  </si>
  <si>
    <t>990-18303235</t>
  </si>
  <si>
    <t>990-18321310</t>
  </si>
  <si>
    <t>990-18325801</t>
  </si>
  <si>
    <t>990-18328376</t>
  </si>
  <si>
    <t>JT-0876</t>
  </si>
  <si>
    <t>990-18328494</t>
  </si>
  <si>
    <t>938-10684446</t>
  </si>
  <si>
    <t>Seedplant</t>
  </si>
  <si>
    <t>ID-6292</t>
  </si>
  <si>
    <t>938-10684531</t>
  </si>
  <si>
    <t>NAM</t>
  </si>
  <si>
    <t>11 Juni</t>
  </si>
  <si>
    <t>938-10701552</t>
  </si>
  <si>
    <t>14 Juni 2021</t>
  </si>
  <si>
    <t>990-18398236</t>
  </si>
  <si>
    <t>938-10934534</t>
  </si>
  <si>
    <t>938-10934556</t>
  </si>
  <si>
    <t>938-10934696</t>
  </si>
  <si>
    <t>14 &amp; 15 Juni</t>
  </si>
  <si>
    <t>938-10957671</t>
  </si>
  <si>
    <t>990-18439120</t>
  </si>
  <si>
    <t>Alkes</t>
  </si>
  <si>
    <t>938-10966686</t>
  </si>
  <si>
    <t>938-10966734</t>
  </si>
  <si>
    <t xml:space="preserve">RMS </t>
  </si>
  <si>
    <t>938-10966756</t>
  </si>
  <si>
    <t>990-18449616</t>
  </si>
  <si>
    <t>JT-0692</t>
  </si>
  <si>
    <t>990-18449653</t>
  </si>
  <si>
    <t>990-18449723</t>
  </si>
  <si>
    <t>990-18449745</t>
  </si>
  <si>
    <t>JT-0602</t>
  </si>
  <si>
    <t>17 Juni 2021</t>
  </si>
  <si>
    <t>938-10957354</t>
  </si>
  <si>
    <t>Enny susilawati</t>
  </si>
  <si>
    <t>ID-7511</t>
  </si>
  <si>
    <t>938-10986021</t>
  </si>
  <si>
    <t>938-10985715</t>
  </si>
  <si>
    <t>938-10986592</t>
  </si>
  <si>
    <t>ID-7517</t>
  </si>
  <si>
    <t>Mulyadi</t>
  </si>
  <si>
    <t>Andreas</t>
  </si>
  <si>
    <t>Lazuardio</t>
  </si>
  <si>
    <t>938-10976221</t>
  </si>
  <si>
    <t>938-10976490</t>
  </si>
  <si>
    <t>938-10980222</t>
  </si>
  <si>
    <t>938-10973023</t>
  </si>
  <si>
    <t>938-10973001</t>
  </si>
  <si>
    <t>938-10980211</t>
  </si>
  <si>
    <t>CTX</t>
  </si>
  <si>
    <t>DTB</t>
  </si>
  <si>
    <t>ID-6832</t>
  </si>
  <si>
    <t>990-18509094</t>
  </si>
  <si>
    <t>990-18508560</t>
  </si>
  <si>
    <t>938-11007242</t>
  </si>
  <si>
    <t>938-11007286</t>
  </si>
  <si>
    <t>Makanan</t>
  </si>
  <si>
    <t>JT-0684</t>
  </si>
  <si>
    <t>ID-6896</t>
  </si>
  <si>
    <t>938-11021636</t>
  </si>
  <si>
    <t>938-11027855</t>
  </si>
  <si>
    <t>990-18538564</t>
  </si>
  <si>
    <t>938-11024871</t>
  </si>
  <si>
    <t>938-11040304</t>
  </si>
  <si>
    <t>990-18559763</t>
  </si>
  <si>
    <t>990-18566085</t>
  </si>
  <si>
    <t>990-18566096</t>
  </si>
  <si>
    <t>JT-0350</t>
  </si>
  <si>
    <t>938-11046663</t>
  </si>
  <si>
    <t>938-11046630</t>
  </si>
  <si>
    <t>Spareparts</t>
  </si>
  <si>
    <t>ID-6264</t>
  </si>
  <si>
    <t>23 Juni 2021</t>
  </si>
  <si>
    <t>938-11052086</t>
  </si>
  <si>
    <t>ID-7101</t>
  </si>
  <si>
    <t>24 Juni 2021</t>
  </si>
  <si>
    <t>990-18577646</t>
  </si>
  <si>
    <t>938-11060442</t>
  </si>
  <si>
    <t>938-11057314</t>
  </si>
  <si>
    <t>Susi Air</t>
  </si>
  <si>
    <t>938-11072316</t>
  </si>
  <si>
    <t>28 Juni 2021</t>
  </si>
  <si>
    <t>938-11111520</t>
  </si>
  <si>
    <t>Shafira</t>
  </si>
  <si>
    <t>938-11111586</t>
  </si>
  <si>
    <t>Abas</t>
  </si>
  <si>
    <t>938-11118704</t>
  </si>
  <si>
    <t>ID-6142</t>
  </si>
  <si>
    <t>990-18675274</t>
  </si>
  <si>
    <t>JT-0172</t>
  </si>
  <si>
    <t>990-18700765</t>
  </si>
  <si>
    <t>938-11189850</t>
  </si>
  <si>
    <t>Hendra</t>
  </si>
  <si>
    <t>YIA</t>
  </si>
  <si>
    <t>ID-6372</t>
  </si>
  <si>
    <t>938-11189916</t>
  </si>
  <si>
    <t>MLG</t>
  </si>
  <si>
    <t>ID-7583</t>
  </si>
  <si>
    <t>30 Juni 2021</t>
  </si>
  <si>
    <t>1 Juli 2021</t>
  </si>
  <si>
    <t>938-11207346</t>
  </si>
  <si>
    <t>938-11207361</t>
  </si>
  <si>
    <t>938-11207302</t>
  </si>
  <si>
    <t>938-11216730</t>
  </si>
  <si>
    <t>938-11216774</t>
  </si>
  <si>
    <t>938-11207324</t>
  </si>
  <si>
    <t>Wid Log</t>
  </si>
  <si>
    <t>938-11216586</t>
  </si>
  <si>
    <t>938-11215680</t>
  </si>
  <si>
    <t>Asi Pujiastuti</t>
  </si>
  <si>
    <t>Putri Manurung</t>
  </si>
  <si>
    <t>990-18772530</t>
  </si>
  <si>
    <t>990-18772655</t>
  </si>
  <si>
    <t>JT-0306</t>
  </si>
  <si>
    <t>938-11292691</t>
  </si>
  <si>
    <t>938-11292746</t>
  </si>
  <si>
    <t>938-11315006</t>
  </si>
  <si>
    <t>Arif Laoli</t>
  </si>
  <si>
    <t>7 Juli</t>
  </si>
  <si>
    <t>5 Juli 2021</t>
  </si>
  <si>
    <t>990-18819964</t>
  </si>
  <si>
    <t>938-11380165</t>
  </si>
  <si>
    <t>938-11380972</t>
  </si>
  <si>
    <t>Doni</t>
  </si>
  <si>
    <t>Oki Hasianto</t>
  </si>
  <si>
    <t xml:space="preserve">9 &amp; 10 Juli </t>
  </si>
  <si>
    <t>938-11388893</t>
  </si>
  <si>
    <t>11 Juli 2021</t>
  </si>
  <si>
    <t>990-18860402</t>
  </si>
  <si>
    <t>ID-6890</t>
  </si>
  <si>
    <t>938-11403604</t>
  </si>
  <si>
    <t>938-11411164</t>
  </si>
  <si>
    <t>14 Juli</t>
  </si>
  <si>
    <t>15 Juli</t>
  </si>
  <si>
    <t>16 Juli</t>
  </si>
  <si>
    <t>938-11413846</t>
  </si>
  <si>
    <t>938-11417615</t>
  </si>
  <si>
    <t>16 Juli 2021</t>
  </si>
  <si>
    <t>938-11422946</t>
  </si>
  <si>
    <t>ID-6516</t>
  </si>
  <si>
    <t>938-11423580</t>
  </si>
  <si>
    <t>938-11424210</t>
  </si>
  <si>
    <t>938-11424243</t>
  </si>
  <si>
    <t>938-11426730</t>
  </si>
  <si>
    <t>938-11424055</t>
  </si>
  <si>
    <t>938-11426741</t>
  </si>
  <si>
    <t>18 Juli 2021</t>
  </si>
  <si>
    <t>6 Juli 2021</t>
  </si>
  <si>
    <t>938-11438221</t>
  </si>
  <si>
    <t>938-11446201</t>
  </si>
  <si>
    <t>938-11446186</t>
  </si>
  <si>
    <t>938-11449546</t>
  </si>
  <si>
    <t>938-11463200</t>
  </si>
  <si>
    <t>938-11452895</t>
  </si>
  <si>
    <t>938-11462393</t>
  </si>
  <si>
    <t>938-11461936</t>
  </si>
  <si>
    <t>938-11653401</t>
  </si>
  <si>
    <t>938-11653261</t>
  </si>
  <si>
    <t>938-11653283</t>
  </si>
  <si>
    <t>938-11653412</t>
  </si>
  <si>
    <t>ID-6572</t>
  </si>
  <si>
    <t>PT. Hafar Jakarta</t>
  </si>
  <si>
    <t>Seto</t>
  </si>
  <si>
    <t>21 juli 2021</t>
  </si>
  <si>
    <t>23 Juli 2021</t>
  </si>
  <si>
    <t>2 Juli 2021</t>
  </si>
  <si>
    <t>18 Juni 2021</t>
  </si>
  <si>
    <t>21 Juni</t>
  </si>
  <si>
    <t>24 Juni</t>
  </si>
  <si>
    <t>23 Juni</t>
  </si>
  <si>
    <t>938-11658430</t>
  </si>
  <si>
    <t>938-11658474</t>
  </si>
  <si>
    <t>29 Juni 2021</t>
  </si>
  <si>
    <t>938-11653386</t>
  </si>
  <si>
    <t>ID-6716</t>
  </si>
  <si>
    <t>990-18929164</t>
  </si>
  <si>
    <t>938-11685240</t>
  </si>
  <si>
    <t>938-11685284</t>
  </si>
  <si>
    <t>938-11681482</t>
  </si>
  <si>
    <t>938-11677455</t>
  </si>
  <si>
    <t>ID-6884</t>
  </si>
  <si>
    <t>29 Juli 2021</t>
  </si>
  <si>
    <t>938-11689193</t>
  </si>
  <si>
    <t>938-11688714</t>
  </si>
  <si>
    <t>LUW</t>
  </si>
  <si>
    <t>28 Juli 2021</t>
  </si>
  <si>
    <t>29 Juli</t>
  </si>
  <si>
    <t>938-11701152</t>
  </si>
  <si>
    <t>PKY</t>
  </si>
  <si>
    <t>ID-6202</t>
  </si>
  <si>
    <t>2 Agustus</t>
  </si>
  <si>
    <t xml:space="preserve">2 Agustus </t>
  </si>
  <si>
    <t>1 Agustus</t>
  </si>
  <si>
    <t>938-11733875</t>
  </si>
  <si>
    <t>938-11733842</t>
  </si>
  <si>
    <t>938-11733820</t>
  </si>
  <si>
    <t>990-18962156</t>
  </si>
  <si>
    <t>990-18952124</t>
  </si>
  <si>
    <t>938-11738790</t>
  </si>
  <si>
    <t>ID-6854</t>
  </si>
  <si>
    <t>ID-6888</t>
  </si>
  <si>
    <t>938-11748531</t>
  </si>
  <si>
    <t>990-18976182</t>
  </si>
  <si>
    <t>990-18983576</t>
  </si>
  <si>
    <t>938-11856541</t>
  </si>
  <si>
    <t>938-11858766</t>
  </si>
  <si>
    <t>938-11856563</t>
  </si>
  <si>
    <t>938-11865210</t>
  </si>
  <si>
    <t>990-18991081</t>
  </si>
  <si>
    <t>Pasir</t>
  </si>
  <si>
    <t>JT-0250</t>
  </si>
  <si>
    <t>6 Agustus</t>
  </si>
  <si>
    <t>AVI</t>
  </si>
  <si>
    <t>938-11878996</t>
  </si>
  <si>
    <t>938-11880761</t>
  </si>
  <si>
    <t>9 Agustus</t>
  </si>
  <si>
    <t>938-11890970</t>
  </si>
  <si>
    <t>938-11887363</t>
  </si>
  <si>
    <t>990-19017250</t>
  </si>
  <si>
    <t>Doni Bait</t>
  </si>
  <si>
    <t>938-11896872</t>
  </si>
  <si>
    <t>938-11899392</t>
  </si>
  <si>
    <t>Sofyanto</t>
  </si>
  <si>
    <t>Yuri</t>
  </si>
  <si>
    <t>11 Agustus</t>
  </si>
  <si>
    <t>13 Agustus</t>
  </si>
  <si>
    <t>990-19032860</t>
  </si>
  <si>
    <t>938-11957831</t>
  </si>
  <si>
    <t>938-11958085</t>
  </si>
  <si>
    <t>990-19042660</t>
  </si>
  <si>
    <t>990-19042645</t>
  </si>
  <si>
    <t>938-11969521</t>
  </si>
  <si>
    <t>938-11979030</t>
  </si>
  <si>
    <t>938-11979085</t>
  </si>
  <si>
    <t>938-11979052</t>
  </si>
  <si>
    <t>ID-6514</t>
  </si>
  <si>
    <t xml:space="preserve">Pengiriman HLP - PKU </t>
  </si>
  <si>
    <t xml:space="preserve">Pengiriman HLP - BTH </t>
  </si>
  <si>
    <t>Tagihan MIT-E ke Customer</t>
  </si>
  <si>
    <t>No</t>
  </si>
  <si>
    <t>Keterangan</t>
  </si>
  <si>
    <t>Berat</t>
  </si>
  <si>
    <t>Harga</t>
  </si>
  <si>
    <t>Total</t>
  </si>
  <si>
    <t>Tagihan HLP - PKU</t>
  </si>
  <si>
    <t>Admin Warehouse</t>
  </si>
  <si>
    <t>Admin AWB</t>
  </si>
  <si>
    <t>TOTAL</t>
  </si>
  <si>
    <t>Total invoice</t>
  </si>
  <si>
    <t>Status</t>
  </si>
  <si>
    <t>Paid</t>
  </si>
  <si>
    <t>Nominal Bayar</t>
  </si>
  <si>
    <t>14 Agustus</t>
  </si>
  <si>
    <t>990-19051675</t>
  </si>
  <si>
    <t>938-11992002</t>
  </si>
  <si>
    <t>938-11989902</t>
  </si>
  <si>
    <t>938-12000063</t>
  </si>
  <si>
    <t>IU-0890</t>
  </si>
  <si>
    <t>990-19074020</t>
  </si>
  <si>
    <t>938-12002513</t>
  </si>
  <si>
    <t>938-12002535</t>
  </si>
  <si>
    <t>TriMG</t>
  </si>
  <si>
    <t>938-12001846</t>
  </si>
  <si>
    <t>Dian Soleh</t>
  </si>
  <si>
    <t>18 Agustus</t>
  </si>
  <si>
    <t>19 Agustus</t>
  </si>
  <si>
    <t>990-19088333</t>
  </si>
  <si>
    <t>990-19085861</t>
  </si>
  <si>
    <t>990-19088403</t>
  </si>
  <si>
    <t>990-19088381</t>
  </si>
  <si>
    <t>990-19088075</t>
  </si>
  <si>
    <t>990-19083013</t>
  </si>
  <si>
    <t>990-19088366</t>
  </si>
  <si>
    <t>990-19088112</t>
  </si>
  <si>
    <t>990-19088436</t>
  </si>
  <si>
    <t>990-19083750</t>
  </si>
  <si>
    <t>938-12013842</t>
  </si>
  <si>
    <t>938-12011856</t>
  </si>
  <si>
    <t>938-12012103</t>
  </si>
  <si>
    <t>938-12013676</t>
  </si>
  <si>
    <t>938-12013772</t>
  </si>
  <si>
    <t>938-12013783</t>
  </si>
  <si>
    <t>938-12013702</t>
  </si>
  <si>
    <t>938-12013680</t>
  </si>
  <si>
    <t>938-12013794</t>
  </si>
  <si>
    <t>938-12013724</t>
  </si>
  <si>
    <t>938-12013831</t>
  </si>
  <si>
    <t>990-19099032</t>
  </si>
  <si>
    <t>990-19097750</t>
  </si>
  <si>
    <t>990-19097735</t>
  </si>
  <si>
    <t>Pandu Siwi</t>
  </si>
  <si>
    <t>JT-0648</t>
  </si>
  <si>
    <t>JT-0392</t>
  </si>
  <si>
    <t>IU-0854</t>
  </si>
  <si>
    <t>ID-6214</t>
  </si>
  <si>
    <t>990-19099006</t>
  </si>
  <si>
    <t>938-12028354</t>
  </si>
  <si>
    <t>OUTSTANIDNG JUNI</t>
  </si>
  <si>
    <t>20 Agustus</t>
  </si>
  <si>
    <t>990-19107944</t>
  </si>
  <si>
    <t>990-19107955</t>
  </si>
  <si>
    <t>938-12031913</t>
  </si>
  <si>
    <t>938-12034676</t>
  </si>
  <si>
    <t>990-19127614</t>
  </si>
  <si>
    <t>990-19127570</t>
  </si>
  <si>
    <t>938-12048886</t>
  </si>
  <si>
    <t>938-12048901</t>
  </si>
  <si>
    <t>938-12048783</t>
  </si>
  <si>
    <t>938-12048794</t>
  </si>
  <si>
    <t>938-12048890</t>
  </si>
  <si>
    <t>938-12049041</t>
  </si>
  <si>
    <t>938-12048864</t>
  </si>
  <si>
    <t>DBRANDCOM</t>
  </si>
  <si>
    <t>ENE</t>
  </si>
  <si>
    <t>BMU</t>
  </si>
  <si>
    <t>PT. Kris</t>
  </si>
  <si>
    <t>23 Agustus</t>
  </si>
  <si>
    <t xml:space="preserve">24 Agustus </t>
  </si>
  <si>
    <t xml:space="preserve">TOTAL OUTSTANDING </t>
  </si>
  <si>
    <t>TOTAL CURRENT OUTSTANDING</t>
  </si>
  <si>
    <t>990-19138136</t>
  </si>
  <si>
    <t>990-19138280</t>
  </si>
  <si>
    <t>990-19138243</t>
  </si>
  <si>
    <t>938-12565954</t>
  </si>
  <si>
    <t>990-19152486</t>
  </si>
  <si>
    <t>990-19152431</t>
  </si>
  <si>
    <t>990-19152420</t>
  </si>
  <si>
    <t>990-19152464</t>
  </si>
  <si>
    <t>990-19152453</t>
  </si>
  <si>
    <t>938-12578414</t>
  </si>
  <si>
    <t>938-12580783</t>
  </si>
  <si>
    <t>938-12580256</t>
  </si>
  <si>
    <t>BIG CARGO</t>
  </si>
  <si>
    <t>ID-8204</t>
  </si>
  <si>
    <t>Citilink</t>
  </si>
  <si>
    <t>888-47222206</t>
  </si>
  <si>
    <t>SESILIA KHO</t>
  </si>
  <si>
    <t>QG-978</t>
  </si>
  <si>
    <t>888-47447330</t>
  </si>
  <si>
    <t>QG-936</t>
  </si>
  <si>
    <t>888-47447632</t>
  </si>
  <si>
    <t>26 Agustus</t>
  </si>
  <si>
    <t>990-19169986</t>
  </si>
  <si>
    <t>938-12592381</t>
  </si>
  <si>
    <t>938-12587724</t>
  </si>
  <si>
    <t>938-12587271</t>
  </si>
  <si>
    <t>938-12591784</t>
  </si>
  <si>
    <t>938-12591865</t>
  </si>
  <si>
    <t>938-12593232</t>
  </si>
  <si>
    <t>938-12591666</t>
  </si>
  <si>
    <t>938-12591725</t>
  </si>
  <si>
    <t>27 Agustus</t>
  </si>
  <si>
    <t>990-19175704</t>
  </si>
  <si>
    <t>938-12595623</t>
  </si>
  <si>
    <t>938-12602855</t>
  </si>
  <si>
    <t>938-12602800</t>
  </si>
  <si>
    <t>938-12601223</t>
  </si>
  <si>
    <t>938-12602881</t>
  </si>
  <si>
    <t>938-12610754</t>
  </si>
  <si>
    <t>938-12610010</t>
  </si>
  <si>
    <t>NTX</t>
  </si>
  <si>
    <t>29 Agustus</t>
  </si>
  <si>
    <t>3 Mei</t>
  </si>
  <si>
    <t>24 Mei 2021</t>
  </si>
  <si>
    <t>31 Agustus</t>
  </si>
  <si>
    <t>990-19210030</t>
  </si>
  <si>
    <t>938-12628490</t>
  </si>
  <si>
    <t>938-12622912</t>
  </si>
  <si>
    <t>938-12628464</t>
  </si>
  <si>
    <t>938-12628442</t>
  </si>
  <si>
    <t xml:space="preserve">Pengiriman HLP - BDJ </t>
  </si>
  <si>
    <t>Tagihan HLP - BDJ</t>
  </si>
  <si>
    <t>REVENUE ANALYSIS PROJECT SHIPMENT BLOCK RATTAN (GGS - OFS)</t>
  </si>
  <si>
    <t>SHIPPER:</t>
  </si>
  <si>
    <t>AIDA RATTAN (VIVERE GROUP)</t>
  </si>
  <si>
    <t>ROUTE:</t>
  </si>
  <si>
    <t>CGK-PVG-NGB</t>
  </si>
  <si>
    <t>NOTIFY PARTY:</t>
  </si>
  <si>
    <t>OUT FOR SPACE GMBH</t>
  </si>
  <si>
    <t>FLOWN DATE:</t>
  </si>
  <si>
    <t>ITEM</t>
  </si>
  <si>
    <t>QTY.</t>
  </si>
  <si>
    <t>SELLING PRICE</t>
  </si>
  <si>
    <t>COST</t>
  </si>
  <si>
    <t>TOTAL SALES</t>
  </si>
  <si>
    <t>TOTAL COSTS</t>
  </si>
  <si>
    <t>REVENUE</t>
  </si>
  <si>
    <t>(0-50 KG)</t>
  </si>
  <si>
    <t>Additional kg</t>
  </si>
  <si>
    <t>INVOICE TERPISAH</t>
  </si>
  <si>
    <t xml:space="preserve"> </t>
  </si>
  <si>
    <t>Handling</t>
  </si>
  <si>
    <t>Additional Kg</t>
  </si>
  <si>
    <t>Export Declaration</t>
  </si>
  <si>
    <t>Per Shipment</t>
  </si>
  <si>
    <t>Document Preparation</t>
  </si>
  <si>
    <t>Storage &amp; Regulated Agent</t>
  </si>
  <si>
    <t>As Per Receipt</t>
  </si>
  <si>
    <t>Outward Manifest</t>
  </si>
  <si>
    <t>Fumigation (if any)</t>
  </si>
  <si>
    <t>Trucking SRG - CGK</t>
  </si>
  <si>
    <t>Per Unit Truck</t>
  </si>
  <si>
    <t>Airfreight CGK - PVG</t>
  </si>
  <si>
    <t>Per Kg</t>
  </si>
  <si>
    <t>Trucking PVG - NGB</t>
  </si>
  <si>
    <t>Handling at Destination</t>
  </si>
  <si>
    <t>Customs Clearance</t>
  </si>
  <si>
    <t>Airport Charges</t>
  </si>
  <si>
    <t>Ex Warehouse</t>
  </si>
  <si>
    <t>Storage Charges</t>
  </si>
  <si>
    <t>KET</t>
  </si>
  <si>
    <t>BERAT</t>
  </si>
  <si>
    <t>HPP</t>
  </si>
  <si>
    <t>MARGIN</t>
  </si>
  <si>
    <t>JUAL</t>
  </si>
  <si>
    <t>TOTAL / UNIT</t>
  </si>
  <si>
    <t>MODAL</t>
  </si>
  <si>
    <t xml:space="preserve">CIREBON - HLP </t>
  </si>
  <si>
    <t>HLP - BDJ (PORT TO PORT)</t>
  </si>
  <si>
    <t>HANDLING / REPACKING</t>
  </si>
  <si>
    <t>Revenue Analysis Pengiriman Cirebon - BDJ</t>
  </si>
  <si>
    <t>2 September</t>
  </si>
  <si>
    <t>990-19220891</t>
  </si>
  <si>
    <t>938-12639631</t>
  </si>
  <si>
    <t>938-12639723</t>
  </si>
  <si>
    <t>938-12637166</t>
  </si>
  <si>
    <t>938-12639690</t>
  </si>
  <si>
    <t>938-12650083</t>
  </si>
  <si>
    <t>990-19232301</t>
  </si>
  <si>
    <t>990-19232426</t>
  </si>
  <si>
    <t>990-19232334</t>
  </si>
  <si>
    <t>990-19245074</t>
  </si>
  <si>
    <t>990-19238100</t>
  </si>
  <si>
    <t>938-12660594</t>
  </si>
  <si>
    <t>938-12675202</t>
  </si>
  <si>
    <t>938-12675180</t>
  </si>
  <si>
    <t>990-19258234</t>
  </si>
  <si>
    <t>990-19271000</t>
  </si>
  <si>
    <t>JT-0028</t>
  </si>
  <si>
    <t>JT-0710</t>
  </si>
  <si>
    <t>OUTSTANDING AGUSTUS</t>
  </si>
  <si>
    <t>6 September</t>
  </si>
  <si>
    <t>7 September</t>
  </si>
  <si>
    <t>938-12701172</t>
  </si>
  <si>
    <t>938-12695200</t>
  </si>
  <si>
    <t>938-12701161</t>
  </si>
  <si>
    <t>938-12701334</t>
  </si>
  <si>
    <t>938-12701124</t>
  </si>
  <si>
    <t>990-19295345</t>
  </si>
  <si>
    <t>990-19294004</t>
  </si>
  <si>
    <t>990-19295150</t>
  </si>
  <si>
    <t>990-19295404</t>
  </si>
  <si>
    <t>990-19295183</t>
  </si>
  <si>
    <t>990-19295135</t>
  </si>
  <si>
    <t>990-19295441</t>
  </si>
  <si>
    <t>990-19295113</t>
  </si>
  <si>
    <t>990-19310782</t>
  </si>
  <si>
    <t>990-19287693</t>
  </si>
  <si>
    <t>990-19311961</t>
  </si>
  <si>
    <t>990-19310675</t>
  </si>
  <si>
    <t>990-19319790</t>
  </si>
  <si>
    <t>990-19310922</t>
  </si>
  <si>
    <t>938-12704705</t>
  </si>
  <si>
    <t>938-12704742</t>
  </si>
  <si>
    <t>938-12712615</t>
  </si>
  <si>
    <t>938-12712755</t>
  </si>
  <si>
    <t>938-12712560</t>
  </si>
  <si>
    <t>938-12712700</t>
  </si>
  <si>
    <t>938-12727120</t>
  </si>
  <si>
    <t>938-12726943</t>
  </si>
  <si>
    <t>938-12718790</t>
  </si>
  <si>
    <t>938-12727105</t>
  </si>
  <si>
    <t>938-12726976</t>
  </si>
  <si>
    <t>990-19328282</t>
  </si>
  <si>
    <t>990-19328315</t>
  </si>
  <si>
    <t>990-19321411</t>
  </si>
  <si>
    <t>990-19328330</t>
  </si>
  <si>
    <t>990-19328341</t>
  </si>
  <si>
    <t>ID-6272</t>
  </si>
  <si>
    <t>ID-6824</t>
  </si>
  <si>
    <t>ID-6236</t>
  </si>
  <si>
    <t>Albert</t>
  </si>
  <si>
    <t>Jenazah</t>
  </si>
  <si>
    <t>JT-0634</t>
  </si>
  <si>
    <t>ID-8220</t>
  </si>
  <si>
    <t>9 September</t>
  </si>
  <si>
    <t>990-19343796</t>
  </si>
  <si>
    <t>990-19338141</t>
  </si>
  <si>
    <t>990-19343984</t>
  </si>
  <si>
    <t>990-19344006</t>
  </si>
  <si>
    <t>938-12738283</t>
  </si>
  <si>
    <t>938-12738305</t>
  </si>
  <si>
    <t>938-12738331</t>
  </si>
  <si>
    <t>938-12738320</t>
  </si>
  <si>
    <t>938-12738342</t>
  </si>
  <si>
    <t>938-12735590</t>
  </si>
  <si>
    <t>938-12734142</t>
  </si>
  <si>
    <t>938-12726991</t>
  </si>
  <si>
    <t>938-12739705</t>
  </si>
  <si>
    <t>938-12739775</t>
  </si>
  <si>
    <t>938-12726906</t>
  </si>
  <si>
    <t>938-12739580</t>
  </si>
  <si>
    <t>990-19344043</t>
  </si>
  <si>
    <t>JT-0554</t>
  </si>
  <si>
    <t>Pablo</t>
  </si>
  <si>
    <t>Lebih bayar sebesar 3181501</t>
  </si>
  <si>
    <t>10 September</t>
  </si>
  <si>
    <t>Pengiriman HLP - PKU (SJE)</t>
  </si>
  <si>
    <t>11 September</t>
  </si>
  <si>
    <t>990-19369711</t>
  </si>
  <si>
    <t>990-19361392</t>
  </si>
  <si>
    <t>990-19369641</t>
  </si>
  <si>
    <t>990-19369556</t>
  </si>
  <si>
    <t>990-19369254</t>
  </si>
  <si>
    <t>938-12754405</t>
  </si>
  <si>
    <t>938-12753683</t>
  </si>
  <si>
    <t>938-12753860</t>
  </si>
  <si>
    <t>938-12750054</t>
  </si>
  <si>
    <t>938-12750032</t>
  </si>
  <si>
    <t>938-12753801</t>
  </si>
  <si>
    <t>938-12753753</t>
  </si>
  <si>
    <t>938-12694205</t>
  </si>
  <si>
    <t>PT. Gurita Lintas Samudra</t>
  </si>
  <si>
    <t>938-12713470</t>
  </si>
  <si>
    <t>KODAM IV/DIP</t>
  </si>
  <si>
    <t>8 September</t>
  </si>
  <si>
    <t>938-12724110</t>
  </si>
  <si>
    <t>Yuliana</t>
  </si>
  <si>
    <t>938-12751060</t>
  </si>
  <si>
    <t>Supriya</t>
  </si>
  <si>
    <t>ID-7581</t>
  </si>
  <si>
    <t>990-19418232</t>
  </si>
  <si>
    <t>990-19418350</t>
  </si>
  <si>
    <t>990-19418195</t>
  </si>
  <si>
    <t>990-19416526</t>
  </si>
  <si>
    <t>990-19416202</t>
  </si>
  <si>
    <t>938-12785835</t>
  </si>
  <si>
    <t>938-12787456</t>
  </si>
  <si>
    <t>938-12787364</t>
  </si>
  <si>
    <t>938-12787390</t>
  </si>
  <si>
    <t>938-12784494</t>
  </si>
  <si>
    <t>938-12779642</t>
  </si>
  <si>
    <t>938-12787460</t>
  </si>
  <si>
    <t>JT-0378</t>
  </si>
  <si>
    <t>Teguh</t>
  </si>
  <si>
    <t>938-12784424</t>
  </si>
  <si>
    <t>13 September</t>
  </si>
  <si>
    <t>DP</t>
  </si>
  <si>
    <t>14 September</t>
  </si>
  <si>
    <t xml:space="preserve">10 September &amp; 14 September </t>
  </si>
  <si>
    <t>15 September</t>
  </si>
  <si>
    <t>CURRENT OUTSTANDING SEPTEMBER</t>
  </si>
  <si>
    <t>OUTSTANIDNG DIMAS</t>
  </si>
  <si>
    <t>888-48111066</t>
  </si>
  <si>
    <t>QG-750</t>
  </si>
  <si>
    <t>938-12802635</t>
  </si>
  <si>
    <t>938-12802661</t>
  </si>
  <si>
    <t>938-12802554</t>
  </si>
  <si>
    <t>938-12802591</t>
  </si>
  <si>
    <t>938-12802580</t>
  </si>
  <si>
    <t>990-19437574</t>
  </si>
  <si>
    <t>990-19437692</t>
  </si>
  <si>
    <t>990-19437622</t>
  </si>
  <si>
    <t>990-19437670</t>
  </si>
  <si>
    <t>938-12795856</t>
  </si>
  <si>
    <t>990-19429631</t>
  </si>
  <si>
    <t>990-19428500</t>
  </si>
  <si>
    <t>990-19436362</t>
  </si>
  <si>
    <t>990-19431215</t>
  </si>
  <si>
    <t>938-12819015</t>
  </si>
  <si>
    <t>938-12818960</t>
  </si>
  <si>
    <t>938-12819030</t>
  </si>
  <si>
    <t>990-19457045</t>
  </si>
  <si>
    <t>990-19457056</t>
  </si>
  <si>
    <t>990-19457093</t>
  </si>
  <si>
    <t>990-19457082</t>
  </si>
  <si>
    <t>990-19452300</t>
  </si>
  <si>
    <t>938-12811551</t>
  </si>
  <si>
    <t>JT-0334</t>
  </si>
  <si>
    <t>JT-0898</t>
  </si>
  <si>
    <t>JT-0714</t>
  </si>
  <si>
    <t>Asri</t>
  </si>
  <si>
    <t>Done</t>
  </si>
  <si>
    <t>Special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</si>
</sst>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dd/mm/yy;@"/>
    <numFmt numFmtId="166" formatCode="[$-409]d\-mmm\-yy;@"/>
    <numFmt numFmtId="167" formatCode="_(* #,##0_);_(* \(#,##0\);_(* &quot;-&quot;??_);_(@_)"/>
    <numFmt numFmtId="168" formatCode="[$-409]d\-mmm\-yyyy;@"/>
    <numFmt numFmtId="169" formatCode="[$-C09]dd\-mmm\-yy;@"/>
    <numFmt numFmtId="170" formatCode="[$-409]dd\-mmm\-yy;@"/>
    <numFmt numFmtId="171" formatCode="_([$USD]\ * #,##0.00_);_([$USD]\ * \(#,##0.00\);_([$USD]\ 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22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u val="singleAccounting"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</cellStyleXfs>
  <cellXfs count="24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5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166" fontId="5" fillId="0" borderId="4" xfId="0" applyNumberFormat="1" applyFont="1" applyFill="1" applyBorder="1" applyAlignment="1">
      <alignment horizontal="center" wrapText="1"/>
    </xf>
    <xf numFmtId="167" fontId="5" fillId="0" borderId="4" xfId="1" applyNumberFormat="1" applyFont="1" applyFill="1" applyBorder="1" applyAlignment="1">
      <alignment horizontal="center" wrapText="1"/>
    </xf>
    <xf numFmtId="0" fontId="5" fillId="0" borderId="4" xfId="0" applyFont="1" applyFill="1" applyBorder="1" applyAlignment="1"/>
    <xf numFmtId="0" fontId="5" fillId="0" borderId="4" xfId="0" applyFont="1" applyBorder="1" applyAlignment="1"/>
    <xf numFmtId="164" fontId="5" fillId="0" borderId="4" xfId="2" applyFont="1" applyFill="1" applyBorder="1"/>
    <xf numFmtId="164" fontId="5" fillId="0" borderId="4" xfId="2" applyFont="1" applyFill="1" applyBorder="1" applyAlignment="1">
      <alignment horizontal="center" vertical="center"/>
    </xf>
    <xf numFmtId="168" fontId="5" fillId="0" borderId="4" xfId="2" quotePrefix="1" applyNumberFormat="1" applyFont="1" applyFill="1" applyBorder="1" applyAlignment="1">
      <alignment horizontal="center" vertical="center"/>
    </xf>
    <xf numFmtId="164" fontId="5" fillId="3" borderId="4" xfId="2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3" borderId="4" xfId="0" applyFont="1" applyFill="1" applyBorder="1" applyAlignment="1"/>
    <xf numFmtId="167" fontId="5" fillId="0" borderId="4" xfId="1" applyNumberFormat="1" applyFont="1" applyFill="1" applyBorder="1" applyAlignment="1">
      <alignment horizontal="right"/>
    </xf>
    <xf numFmtId="167" fontId="5" fillId="0" borderId="4" xfId="1" applyNumberFormat="1" applyFont="1" applyBorder="1"/>
    <xf numFmtId="0" fontId="5" fillId="0" borderId="4" xfId="0" applyFont="1" applyFill="1" applyBorder="1"/>
    <xf numFmtId="167" fontId="5" fillId="0" borderId="4" xfId="1" applyNumberFormat="1" applyFont="1" applyFill="1" applyBorder="1"/>
    <xf numFmtId="164" fontId="5" fillId="0" borderId="4" xfId="2" applyFont="1" applyFill="1" applyBorder="1" applyAlignment="1">
      <alignment vertical="center"/>
    </xf>
    <xf numFmtId="164" fontId="5" fillId="0" borderId="4" xfId="2" quotePrefix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7" fontId="5" fillId="0" borderId="4" xfId="1" applyNumberFormat="1" applyFont="1" applyBorder="1" applyAlignment="1">
      <alignment horizontal="center"/>
    </xf>
    <xf numFmtId="164" fontId="5" fillId="3" borderId="4" xfId="2" applyFont="1" applyFill="1" applyBorder="1"/>
    <xf numFmtId="166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164" fontId="5" fillId="0" borderId="4" xfId="2" applyFont="1" applyBorder="1"/>
    <xf numFmtId="0" fontId="5" fillId="0" borderId="4" xfId="0" quotePrefix="1" applyFont="1" applyBorder="1"/>
    <xf numFmtId="169" fontId="3" fillId="2" borderId="2" xfId="0" applyNumberFormat="1" applyFont="1" applyFill="1" applyBorder="1" applyAlignment="1">
      <alignment horizontal="center" vertical="center" wrapText="1"/>
    </xf>
    <xf numFmtId="169" fontId="5" fillId="0" borderId="4" xfId="0" applyNumberFormat="1" applyFont="1" applyFill="1" applyBorder="1" applyAlignment="1">
      <alignment horizontal="center" wrapText="1"/>
    </xf>
    <xf numFmtId="169" fontId="5" fillId="0" borderId="4" xfId="0" applyNumberFormat="1" applyFont="1" applyBorder="1"/>
    <xf numFmtId="166" fontId="5" fillId="0" borderId="4" xfId="0" applyNumberFormat="1" applyFont="1" applyBorder="1"/>
    <xf numFmtId="0" fontId="5" fillId="3" borderId="4" xfId="0" applyFont="1" applyFill="1" applyBorder="1"/>
    <xf numFmtId="0" fontId="5" fillId="0" borderId="8" xfId="0" applyFont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167" fontId="0" fillId="0" borderId="4" xfId="1" applyNumberFormat="1" applyFont="1" applyBorder="1"/>
    <xf numFmtId="0" fontId="0" fillId="0" borderId="4" xfId="0" quotePrefix="1" applyBorder="1"/>
    <xf numFmtId="0" fontId="5" fillId="0" borderId="4" xfId="2" applyNumberFormat="1" applyFont="1" applyFill="1" applyBorder="1" applyAlignment="1">
      <alignment horizontal="right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64" fontId="0" fillId="0" borderId="0" xfId="0" applyNumberFormat="1"/>
    <xf numFmtId="167" fontId="0" fillId="0" borderId="0" xfId="1" applyNumberFormat="1" applyFont="1"/>
    <xf numFmtId="167" fontId="3" fillId="2" borderId="2" xfId="1" applyNumberFormat="1" applyFont="1" applyFill="1" applyBorder="1" applyAlignment="1">
      <alignment horizontal="center" vertical="center" wrapText="1"/>
    </xf>
    <xf numFmtId="0" fontId="6" fillId="0" borderId="4" xfId="0" applyFont="1" applyBorder="1"/>
    <xf numFmtId="0" fontId="6" fillId="3" borderId="4" xfId="0" applyFont="1" applyFill="1" applyBorder="1" applyAlignment="1">
      <alignment horizontal="left"/>
    </xf>
    <xf numFmtId="0" fontId="6" fillId="0" borderId="4" xfId="0" applyFont="1" applyFill="1" applyBorder="1"/>
    <xf numFmtId="164" fontId="5" fillId="0" borderId="5" xfId="2" applyFont="1" applyFill="1" applyBorder="1" applyAlignment="1">
      <alignment horizontal="center" vertical="center"/>
    </xf>
    <xf numFmtId="164" fontId="5" fillId="0" borderId="4" xfId="2" quotePrefix="1" applyFont="1" applyFill="1" applyBorder="1" applyAlignment="1">
      <alignment vertical="center"/>
    </xf>
    <xf numFmtId="0" fontId="0" fillId="0" borderId="4" xfId="0" quotePrefix="1" applyFill="1" applyBorder="1"/>
    <xf numFmtId="0" fontId="5" fillId="0" borderId="4" xfId="0" quotePrefix="1" applyFont="1" applyBorder="1" applyAlignment="1">
      <alignment horizontal="center"/>
    </xf>
    <xf numFmtId="166" fontId="3" fillId="2" borderId="6" xfId="0" applyNumberFormat="1" applyFont="1" applyFill="1" applyBorder="1" applyAlignment="1">
      <alignment horizontal="center" vertical="center" wrapText="1"/>
    </xf>
    <xf numFmtId="166" fontId="0" fillId="0" borderId="4" xfId="0" applyNumberFormat="1" applyBorder="1"/>
    <xf numFmtId="166" fontId="5" fillId="0" borderId="4" xfId="0" applyNumberFormat="1" applyFont="1" applyFill="1" applyBorder="1"/>
    <xf numFmtId="166" fontId="0" fillId="0" borderId="0" xfId="0" applyNumberFormat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/>
    </xf>
    <xf numFmtId="166" fontId="0" fillId="0" borderId="5" xfId="0" applyNumberFormat="1" applyBorder="1"/>
    <xf numFmtId="0" fontId="0" fillId="0" borderId="4" xfId="0" applyBorder="1" applyAlignment="1">
      <alignment wrapText="1"/>
    </xf>
    <xf numFmtId="0" fontId="3" fillId="2" borderId="5" xfId="0" applyFont="1" applyFill="1" applyBorder="1" applyAlignment="1">
      <alignment horizontal="center" vertical="center" wrapText="1"/>
    </xf>
    <xf numFmtId="16" fontId="0" fillId="0" borderId="4" xfId="0" quotePrefix="1" applyNumberFormat="1" applyFill="1" applyBorder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169" fontId="5" fillId="0" borderId="4" xfId="0" applyNumberFormat="1" applyFont="1" applyBorder="1" applyAlignment="1">
      <alignment wrapText="1"/>
    </xf>
    <xf numFmtId="3" fontId="5" fillId="0" borderId="4" xfId="0" applyNumberFormat="1" applyFont="1" applyBorder="1" applyAlignment="1">
      <alignment wrapText="1"/>
    </xf>
    <xf numFmtId="164" fontId="5" fillId="0" borderId="4" xfId="3" applyFont="1" applyBorder="1"/>
    <xf numFmtId="0" fontId="5" fillId="0" borderId="4" xfId="0" applyFont="1" applyFill="1" applyBorder="1" applyAlignment="1">
      <alignment wrapText="1"/>
    </xf>
    <xf numFmtId="3" fontId="5" fillId="0" borderId="4" xfId="0" applyNumberFormat="1" applyFont="1" applyFill="1" applyBorder="1" applyAlignment="1">
      <alignment wrapText="1"/>
    </xf>
    <xf numFmtId="0" fontId="0" fillId="0" borderId="0" xfId="0" quotePrefix="1"/>
    <xf numFmtId="167" fontId="5" fillId="0" borderId="6" xfId="1" applyNumberFormat="1" applyFont="1" applyFill="1" applyBorder="1"/>
    <xf numFmtId="16" fontId="0" fillId="0" borderId="4" xfId="0" quotePrefix="1" applyNumberFormat="1" applyBorder="1"/>
    <xf numFmtId="164" fontId="2" fillId="0" borderId="0" xfId="0" applyNumberFormat="1" applyFont="1"/>
    <xf numFmtId="0" fontId="5" fillId="0" borderId="0" xfId="0" applyFont="1"/>
    <xf numFmtId="166" fontId="5" fillId="0" borderId="0" xfId="0" applyNumberFormat="1" applyFont="1"/>
    <xf numFmtId="167" fontId="5" fillId="0" borderId="0" xfId="1" applyNumberFormat="1" applyFont="1"/>
    <xf numFmtId="0" fontId="5" fillId="0" borderId="0" xfId="0" applyFont="1" applyAlignment="1">
      <alignment horizontal="center"/>
    </xf>
    <xf numFmtId="0" fontId="7" fillId="0" borderId="4" xfId="0" quotePrefix="1" applyFont="1" applyBorder="1"/>
    <xf numFmtId="0" fontId="4" fillId="2" borderId="6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166" fontId="5" fillId="0" borderId="11" xfId="0" applyNumberFormat="1" applyFont="1" applyBorder="1" applyAlignment="1">
      <alignment wrapText="1"/>
    </xf>
    <xf numFmtId="0" fontId="5" fillId="0" borderId="5" xfId="0" applyFont="1" applyBorder="1"/>
    <xf numFmtId="0" fontId="5" fillId="0" borderId="12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166" fontId="5" fillId="0" borderId="15" xfId="0" applyNumberFormat="1" applyFont="1" applyBorder="1" applyAlignment="1">
      <alignment wrapText="1"/>
    </xf>
    <xf numFmtId="167" fontId="5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6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7" xfId="0" applyFont="1" applyBorder="1"/>
    <xf numFmtId="0" fontId="5" fillId="0" borderId="20" xfId="0" applyFont="1" applyBorder="1" applyAlignment="1">
      <alignment wrapText="1"/>
    </xf>
    <xf numFmtId="0" fontId="5" fillId="0" borderId="21" xfId="0" applyFont="1" applyBorder="1" applyAlignment="1">
      <alignment wrapText="1"/>
    </xf>
    <xf numFmtId="166" fontId="5" fillId="0" borderId="21" xfId="0" applyNumberFormat="1" applyFont="1" applyBorder="1" applyAlignment="1">
      <alignment wrapText="1"/>
    </xf>
    <xf numFmtId="167" fontId="5" fillId="0" borderId="7" xfId="1" applyNumberFormat="1" applyFont="1" applyFill="1" applyBorder="1"/>
    <xf numFmtId="167" fontId="5" fillId="0" borderId="7" xfId="1" applyNumberFormat="1" applyFont="1" applyBorder="1"/>
    <xf numFmtId="0" fontId="5" fillId="0" borderId="22" xfId="0" applyFont="1" applyBorder="1" applyAlignment="1">
      <alignment wrapText="1"/>
    </xf>
    <xf numFmtId="0" fontId="5" fillId="0" borderId="23" xfId="0" applyFont="1" applyBorder="1" applyAlignment="1">
      <alignment wrapText="1"/>
    </xf>
    <xf numFmtId="167" fontId="5" fillId="0" borderId="5" xfId="1" applyNumberFormat="1" applyFont="1" applyFill="1" applyBorder="1"/>
    <xf numFmtId="167" fontId="5" fillId="0" borderId="5" xfId="1" applyNumberFormat="1" applyFont="1" applyBorder="1"/>
    <xf numFmtId="164" fontId="5" fillId="0" borderId="5" xfId="2" applyFont="1" applyFill="1" applyBorder="1"/>
    <xf numFmtId="166" fontId="5" fillId="0" borderId="4" xfId="0" applyNumberFormat="1" applyFont="1" applyBorder="1" applyAlignment="1">
      <alignment wrapText="1"/>
    </xf>
    <xf numFmtId="167" fontId="5" fillId="0" borderId="4" xfId="0" applyNumberFormat="1" applyFont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wrapText="1"/>
    </xf>
    <xf numFmtId="167" fontId="5" fillId="0" borderId="4" xfId="1" quotePrefix="1" applyNumberFormat="1" applyFont="1" applyBorder="1"/>
    <xf numFmtId="164" fontId="5" fillId="0" borderId="0" xfId="0" applyNumberFormat="1" applyFont="1"/>
    <xf numFmtId="167" fontId="5" fillId="0" borderId="4" xfId="1" applyNumberFormat="1" applyFont="1" applyBorder="1" applyAlignment="1"/>
    <xf numFmtId="0" fontId="5" fillId="0" borderId="5" xfId="0" applyFont="1" applyBorder="1" applyAlignment="1">
      <alignment horizontal="center"/>
    </xf>
    <xf numFmtId="166" fontId="5" fillId="0" borderId="5" xfId="0" applyNumberFormat="1" applyFont="1" applyBorder="1"/>
    <xf numFmtId="167" fontId="5" fillId="0" borderId="6" xfId="1" applyNumberFormat="1" applyFont="1" applyBorder="1" applyAlignment="1">
      <alignment horizontal="center"/>
    </xf>
    <xf numFmtId="167" fontId="5" fillId="0" borderId="5" xfId="1" applyNumberFormat="1" applyFont="1" applyBorder="1" applyAlignment="1">
      <alignment vertical="center"/>
    </xf>
    <xf numFmtId="167" fontId="5" fillId="0" borderId="4" xfId="1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7" fontId="5" fillId="0" borderId="4" xfId="1" quotePrefix="1" applyNumberFormat="1" applyFont="1" applyBorder="1" applyAlignment="1"/>
    <xf numFmtId="167" fontId="5" fillId="0" borderId="4" xfId="1" applyNumberFormat="1" applyFont="1" applyBorder="1" applyAlignment="1">
      <alignment horizontal="left"/>
    </xf>
    <xf numFmtId="0" fontId="5" fillId="3" borderId="5" xfId="0" applyFont="1" applyFill="1" applyBorder="1"/>
    <xf numFmtId="0" fontId="5" fillId="3" borderId="4" xfId="0" applyFont="1" applyFill="1" applyBorder="1" applyAlignment="1">
      <alignment wrapText="1"/>
    </xf>
    <xf numFmtId="167" fontId="5" fillId="0" borderId="5" xfId="1" quotePrefix="1" applyNumberFormat="1" applyFont="1" applyBorder="1" applyAlignment="1">
      <alignment vertical="center"/>
    </xf>
    <xf numFmtId="164" fontId="5" fillId="0" borderId="0" xfId="3" applyFont="1"/>
    <xf numFmtId="167" fontId="5" fillId="0" borderId="4" xfId="1" quotePrefix="1" applyNumberFormat="1" applyFont="1" applyBorder="1" applyAlignment="1">
      <alignment vertical="center"/>
    </xf>
    <xf numFmtId="170" fontId="5" fillId="0" borderId="4" xfId="0" applyNumberFormat="1" applyFont="1" applyBorder="1" applyAlignment="1">
      <alignment wrapText="1"/>
    </xf>
    <xf numFmtId="164" fontId="0" fillId="0" borderId="4" xfId="3" applyFont="1" applyBorder="1"/>
    <xf numFmtId="164" fontId="2" fillId="0" borderId="4" xfId="3" applyFont="1" applyBorder="1"/>
    <xf numFmtId="164" fontId="2" fillId="0" borderId="0" xfId="3" applyFont="1"/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166" fontId="3" fillId="2" borderId="4" xfId="0" applyNumberFormat="1" applyFont="1" applyFill="1" applyBorder="1" applyAlignment="1">
      <alignment horizontal="center" vertical="center" wrapText="1"/>
    </xf>
    <xf numFmtId="170" fontId="5" fillId="0" borderId="11" xfId="0" applyNumberFormat="1" applyFont="1" applyBorder="1" applyAlignment="1">
      <alignment wrapText="1"/>
    </xf>
    <xf numFmtId="3" fontId="5" fillId="0" borderId="11" xfId="0" applyNumberFormat="1" applyFont="1" applyBorder="1" applyAlignment="1">
      <alignment wrapText="1"/>
    </xf>
    <xf numFmtId="170" fontId="5" fillId="0" borderId="4" xfId="0" applyNumberFormat="1" applyFont="1" applyBorder="1"/>
    <xf numFmtId="0" fontId="5" fillId="0" borderId="24" xfId="0" applyFont="1" applyBorder="1"/>
    <xf numFmtId="0" fontId="5" fillId="0" borderId="24" xfId="0" applyFont="1" applyBorder="1" applyAlignment="1">
      <alignment wrapText="1"/>
    </xf>
    <xf numFmtId="167" fontId="3" fillId="0" borderId="4" xfId="0" applyNumberFormat="1" applyFont="1" applyBorder="1"/>
    <xf numFmtId="167" fontId="3" fillId="0" borderId="0" xfId="0" applyNumberFormat="1" applyFont="1"/>
    <xf numFmtId="0" fontId="3" fillId="0" borderId="0" xfId="0" applyFont="1"/>
    <xf numFmtId="0" fontId="5" fillId="0" borderId="5" xfId="0" applyFont="1" applyBorder="1" applyAlignment="1">
      <alignment horizontal="center"/>
    </xf>
    <xf numFmtId="167" fontId="5" fillId="0" borderId="4" xfId="1" applyNumberFormat="1" applyFont="1" applyBorder="1" applyAlignment="1">
      <alignment horizontal="center"/>
    </xf>
    <xf numFmtId="0" fontId="5" fillId="0" borderId="13" xfId="0" applyFont="1" applyBorder="1"/>
    <xf numFmtId="0" fontId="5" fillId="0" borderId="15" xfId="0" applyFont="1" applyBorder="1"/>
    <xf numFmtId="0" fontId="5" fillId="0" borderId="23" xfId="0" applyFont="1" applyBorder="1"/>
    <xf numFmtId="0" fontId="5" fillId="0" borderId="5" xfId="0" quotePrefix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quotePrefix="1" applyFont="1" applyBorder="1" applyAlignment="1">
      <alignment vertical="center"/>
    </xf>
    <xf numFmtId="0" fontId="5" fillId="0" borderId="4" xfId="0" quotePrefix="1" applyFont="1" applyBorder="1" applyAlignment="1"/>
    <xf numFmtId="0" fontId="2" fillId="0" borderId="0" xfId="0" applyFont="1"/>
    <xf numFmtId="43" fontId="0" fillId="0" borderId="4" xfId="1" applyNumberFormat="1" applyFont="1" applyBorder="1"/>
    <xf numFmtId="171" fontId="0" fillId="0" borderId="4" xfId="1" applyNumberFormat="1" applyFont="1" applyBorder="1"/>
    <xf numFmtId="0" fontId="0" fillId="0" borderId="7" xfId="0" applyBorder="1"/>
    <xf numFmtId="43" fontId="0" fillId="0" borderId="7" xfId="1" applyNumberFormat="1" applyFont="1" applyBorder="1"/>
    <xf numFmtId="171" fontId="0" fillId="0" borderId="7" xfId="1" applyNumberFormat="1" applyFont="1" applyBorder="1"/>
    <xf numFmtId="0" fontId="2" fillId="5" borderId="4" xfId="0" applyFont="1" applyFill="1" applyBorder="1"/>
    <xf numFmtId="0" fontId="2" fillId="5" borderId="5" xfId="0" applyFont="1" applyFill="1" applyBorder="1"/>
    <xf numFmtId="166" fontId="2" fillId="5" borderId="5" xfId="0" applyNumberFormat="1" applyFont="1" applyFill="1" applyBorder="1"/>
    <xf numFmtId="0" fontId="2" fillId="5" borderId="33" xfId="0" applyFont="1" applyFill="1" applyBorder="1" applyAlignment="1">
      <alignment horizontal="center" vertical="center"/>
    </xf>
    <xf numFmtId="171" fontId="2" fillId="0" borderId="4" xfId="1" applyNumberFormat="1" applyFont="1" applyBorder="1"/>
    <xf numFmtId="41" fontId="10" fillId="6" borderId="4" xfId="4" applyNumberFormat="1" applyFont="1" applyFill="1" applyBorder="1" applyAlignment="1">
      <alignment horizontal="center" vertical="top"/>
    </xf>
    <xf numFmtId="0" fontId="11" fillId="0" borderId="4" xfId="4" applyFont="1" applyFill="1" applyBorder="1" applyAlignment="1">
      <alignment horizontal="left" vertical="top"/>
    </xf>
    <xf numFmtId="0" fontId="11" fillId="0" borderId="4" xfId="4" applyFont="1" applyFill="1" applyBorder="1" applyAlignment="1">
      <alignment horizontal="center" vertical="top"/>
    </xf>
    <xf numFmtId="41" fontId="11" fillId="6" borderId="7" xfId="4" applyNumberFormat="1" applyFont="1" applyFill="1" applyBorder="1" applyAlignment="1">
      <alignment horizontal="left" vertical="top"/>
    </xf>
    <xf numFmtId="41" fontId="11" fillId="6" borderId="4" xfId="4" applyNumberFormat="1" applyFont="1" applyFill="1" applyBorder="1" applyAlignment="1">
      <alignment horizontal="left" vertical="top"/>
    </xf>
    <xf numFmtId="164" fontId="11" fillId="7" borderId="4" xfId="3" applyFont="1" applyFill="1" applyBorder="1" applyAlignment="1">
      <alignment horizontal="left" vertical="top"/>
    </xf>
    <xf numFmtId="41" fontId="11" fillId="7" borderId="4" xfId="4" applyNumberFormat="1" applyFont="1" applyFill="1" applyBorder="1" applyAlignment="1">
      <alignment horizontal="left" vertical="top"/>
    </xf>
    <xf numFmtId="41" fontId="10" fillId="6" borderId="4" xfId="4" applyNumberFormat="1" applyFont="1" applyFill="1" applyBorder="1" applyAlignment="1">
      <alignment horizontal="left" vertical="top"/>
    </xf>
    <xf numFmtId="0" fontId="11" fillId="0" borderId="0" xfId="4" applyFont="1" applyFill="1" applyBorder="1" applyAlignment="1">
      <alignment horizontal="left" vertical="top"/>
    </xf>
    <xf numFmtId="0" fontId="11" fillId="0" borderId="0" xfId="4" applyFont="1" applyFill="1" applyBorder="1" applyAlignment="1">
      <alignment horizontal="center" vertical="top"/>
    </xf>
    <xf numFmtId="41" fontId="11" fillId="0" borderId="0" xfId="4" applyNumberFormat="1" applyFont="1" applyFill="1" applyBorder="1" applyAlignment="1">
      <alignment horizontal="left" vertical="top"/>
    </xf>
    <xf numFmtId="164" fontId="10" fillId="7" borderId="4" xfId="4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horizontal="center"/>
    </xf>
    <xf numFmtId="167" fontId="3" fillId="0" borderId="0" xfId="0" applyNumberFormat="1" applyFont="1" applyBorder="1"/>
    <xf numFmtId="167" fontId="12" fillId="0" borderId="0" xfId="0" applyNumberFormat="1" applyFont="1"/>
    <xf numFmtId="167" fontId="5" fillId="0" borderId="4" xfId="1" quotePrefix="1" applyNumberFormat="1" applyFont="1" applyBorder="1" applyAlignment="1">
      <alignment horizontal="center"/>
    </xf>
    <xf numFmtId="0" fontId="5" fillId="4" borderId="4" xfId="0" applyFont="1" applyFill="1" applyBorder="1"/>
    <xf numFmtId="0" fontId="5" fillId="8" borderId="4" xfId="0" applyFont="1" applyFill="1" applyBorder="1"/>
    <xf numFmtId="167" fontId="5" fillId="0" borderId="5" xfId="1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166" fontId="5" fillId="0" borderId="5" xfId="0" applyNumberFormat="1" applyFont="1" applyBorder="1" applyAlignment="1">
      <alignment wrapText="1"/>
    </xf>
    <xf numFmtId="0" fontId="5" fillId="0" borderId="5" xfId="0" applyFont="1" applyBorder="1" applyAlignment="1">
      <alignment horizontal="center"/>
    </xf>
    <xf numFmtId="167" fontId="5" fillId="0" borderId="4" xfId="1" applyNumberFormat="1" applyFont="1" applyBorder="1" applyAlignment="1">
      <alignment wrapText="1"/>
    </xf>
    <xf numFmtId="164" fontId="5" fillId="0" borderId="5" xfId="2" applyFont="1" applyFill="1" applyBorder="1" applyAlignment="1">
      <alignment horizontal="center" vertical="center"/>
    </xf>
    <xf numFmtId="164" fontId="5" fillId="0" borderId="7" xfId="2" applyFont="1" applyFill="1" applyBorder="1" applyAlignment="1">
      <alignment horizontal="center" vertical="center"/>
    </xf>
    <xf numFmtId="164" fontId="5" fillId="0" borderId="5" xfId="2" quotePrefix="1" applyFont="1" applyFill="1" applyBorder="1" applyAlignment="1">
      <alignment horizontal="center" vertical="center"/>
    </xf>
    <xf numFmtId="164" fontId="5" fillId="0" borderId="6" xfId="2" applyFont="1" applyFill="1" applyBorder="1" applyAlignment="1">
      <alignment horizontal="center" vertical="center"/>
    </xf>
    <xf numFmtId="164" fontId="5" fillId="0" borderId="6" xfId="2" quotePrefix="1" applyFont="1" applyFill="1" applyBorder="1" applyAlignment="1">
      <alignment horizontal="center" vertical="center"/>
    </xf>
    <xf numFmtId="164" fontId="5" fillId="0" borderId="7" xfId="2" quotePrefix="1" applyFont="1" applyFill="1" applyBorder="1" applyAlignment="1">
      <alignment horizontal="center" vertical="center"/>
    </xf>
    <xf numFmtId="164" fontId="5" fillId="3" borderId="5" xfId="2" applyFont="1" applyFill="1" applyBorder="1" applyAlignment="1">
      <alignment horizontal="center" vertical="center"/>
    </xf>
    <xf numFmtId="164" fontId="5" fillId="3" borderId="6" xfId="2" applyFont="1" applyFill="1" applyBorder="1" applyAlignment="1">
      <alignment horizontal="center" vertical="center"/>
    </xf>
    <xf numFmtId="164" fontId="5" fillId="3" borderId="7" xfId="2" applyFont="1" applyFill="1" applyBorder="1" applyAlignment="1">
      <alignment horizontal="center" vertical="center"/>
    </xf>
    <xf numFmtId="167" fontId="5" fillId="0" borderId="5" xfId="1" applyNumberFormat="1" applyFont="1" applyBorder="1" applyAlignment="1">
      <alignment horizontal="center" vertical="center"/>
    </xf>
    <xf numFmtId="167" fontId="5" fillId="0" borderId="6" xfId="1" applyNumberFormat="1" applyFont="1" applyBorder="1" applyAlignment="1">
      <alignment horizontal="center" vertical="center"/>
    </xf>
    <xf numFmtId="167" fontId="5" fillId="0" borderId="7" xfId="1" applyNumberFormat="1" applyFont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7" fontId="5" fillId="0" borderId="5" xfId="1" applyNumberFormat="1" applyFont="1" applyBorder="1" applyAlignment="1">
      <alignment horizontal="center"/>
    </xf>
    <xf numFmtId="167" fontId="5" fillId="0" borderId="7" xfId="1" applyNumberFormat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7" xfId="0" quotePrefix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7" fontId="5" fillId="0" borderId="4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167" fontId="5" fillId="0" borderId="4" xfId="1" applyNumberFormat="1" applyFont="1" applyBorder="1" applyAlignment="1">
      <alignment horizontal="center"/>
    </xf>
    <xf numFmtId="0" fontId="5" fillId="0" borderId="4" xfId="0" quotePrefix="1" applyFont="1" applyBorder="1" applyAlignment="1">
      <alignment horizontal="left"/>
    </xf>
    <xf numFmtId="0" fontId="5" fillId="0" borderId="4" xfId="0" applyFont="1" applyBorder="1" applyAlignment="1">
      <alignment horizontal="left"/>
    </xf>
    <xf numFmtId="167" fontId="5" fillId="0" borderId="5" xfId="1" quotePrefix="1" applyNumberFormat="1" applyFont="1" applyBorder="1" applyAlignment="1">
      <alignment horizontal="center" vertical="center"/>
    </xf>
    <xf numFmtId="167" fontId="5" fillId="0" borderId="7" xfId="1" quotePrefix="1" applyNumberFormat="1" applyFont="1" applyBorder="1" applyAlignment="1">
      <alignment horizontal="center" vertical="center"/>
    </xf>
    <xf numFmtId="167" fontId="5" fillId="0" borderId="4" xfId="1" quotePrefix="1" applyNumberFormat="1" applyFont="1" applyBorder="1" applyAlignment="1">
      <alignment horizontal="center" vertical="center" wrapText="1"/>
    </xf>
    <xf numFmtId="167" fontId="5" fillId="0" borderId="4" xfId="1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43" fontId="2" fillId="0" borderId="24" xfId="1" applyNumberFormat="1" applyFont="1" applyBorder="1" applyAlignment="1">
      <alignment horizontal="center"/>
    </xf>
    <xf numFmtId="43" fontId="2" fillId="0" borderId="30" xfId="1" applyNumberFormat="1" applyFont="1" applyBorder="1" applyAlignment="1">
      <alignment horizontal="center"/>
    </xf>
    <xf numFmtId="43" fontId="2" fillId="0" borderId="8" xfId="1" applyNumberFormat="1" applyFont="1" applyBorder="1" applyAlignment="1">
      <alignment horizontal="center"/>
    </xf>
    <xf numFmtId="0" fontId="10" fillId="0" borderId="6" xfId="4" applyFont="1" applyFill="1" applyBorder="1" applyAlignment="1">
      <alignment horizontal="center" vertical="center"/>
    </xf>
    <xf numFmtId="0" fontId="10" fillId="0" borderId="7" xfId="4" applyFont="1" applyFill="1" applyBorder="1" applyAlignment="1">
      <alignment horizontal="center" vertical="center"/>
    </xf>
    <xf numFmtId="41" fontId="10" fillId="6" borderId="7" xfId="4" applyNumberFormat="1" applyFont="1" applyFill="1" applyBorder="1" applyAlignment="1">
      <alignment horizontal="center" vertical="top"/>
    </xf>
    <xf numFmtId="41" fontId="10" fillId="7" borderId="7" xfId="4" applyNumberFormat="1" applyFont="1" applyFill="1" applyBorder="1" applyAlignment="1">
      <alignment horizontal="center" vertical="center"/>
    </xf>
    <xf numFmtId="41" fontId="10" fillId="7" borderId="4" xfId="4" applyNumberFormat="1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5">
    <cellStyle name="Comma" xfId="1" builtinId="3"/>
    <cellStyle name="Comma [0]" xfId="3" builtinId="6"/>
    <cellStyle name="Comma [0] 2" xfId="2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2"/>
  <sheetViews>
    <sheetView workbookViewId="0">
      <pane xSplit="4" topLeftCell="E1" activePane="topRight" state="frozen"/>
      <selection activeCell="A64" sqref="A64"/>
      <selection pane="topRight" activeCell="A10" sqref="A10"/>
    </sheetView>
  </sheetViews>
  <sheetFormatPr defaultRowHeight="15" x14ac:dyDescent="0.25"/>
  <cols>
    <col min="2" max="2" width="12.7109375" bestFit="1" customWidth="1"/>
    <col min="4" max="4" width="22.5703125" bestFit="1" customWidth="1"/>
    <col min="5" max="5" width="16.7109375" bestFit="1" customWidth="1"/>
    <col min="9" max="9" width="10" bestFit="1" customWidth="1"/>
    <col min="13" max="13" width="14" bestFit="1" customWidth="1"/>
    <col min="14" max="16" width="11.5703125" bestFit="1" customWidth="1"/>
    <col min="17" max="17" width="14" bestFit="1" customWidth="1"/>
    <col min="18" max="18" width="12.85546875" bestFit="1" customWidth="1"/>
    <col min="19" max="19" width="12.7109375" bestFit="1" customWidth="1"/>
    <col min="20" max="20" width="12.42578125" bestFit="1" customWidth="1"/>
    <col min="21" max="21" width="41.85546875" customWidth="1"/>
    <col min="22" max="22" width="12.5703125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25">
      <c r="A2" s="6">
        <v>1</v>
      </c>
      <c r="B2" s="7" t="s">
        <v>20</v>
      </c>
      <c r="C2" s="8" t="s">
        <v>21</v>
      </c>
      <c r="D2" s="7" t="s">
        <v>22</v>
      </c>
      <c r="E2" s="9" t="s">
        <v>23</v>
      </c>
      <c r="F2" s="8" t="s">
        <v>21</v>
      </c>
      <c r="G2" s="8" t="s">
        <v>24</v>
      </c>
      <c r="H2" s="9" t="s">
        <v>25</v>
      </c>
      <c r="I2" s="10">
        <v>44202</v>
      </c>
      <c r="J2" s="11">
        <v>1</v>
      </c>
      <c r="K2" s="12">
        <v>11</v>
      </c>
      <c r="L2" s="13">
        <v>11</v>
      </c>
      <c r="M2" s="14">
        <f>((L2*32550)+(L2*32550)*10%)+8250+(0*150)</f>
        <v>402105</v>
      </c>
      <c r="N2" s="14">
        <v>0</v>
      </c>
      <c r="O2" s="14">
        <v>0</v>
      </c>
      <c r="P2" s="14">
        <f t="shared" ref="P2:P9" si="0">L2*1100</f>
        <v>12100</v>
      </c>
      <c r="Q2" s="14">
        <f t="shared" ref="Q2:Q10" si="1">SUM(M2:P2)</f>
        <v>414205</v>
      </c>
      <c r="R2" s="15">
        <v>415855</v>
      </c>
      <c r="S2" s="16" t="s">
        <v>26</v>
      </c>
      <c r="T2" s="15" t="s">
        <v>27</v>
      </c>
    </row>
    <row r="3" spans="1:20" x14ac:dyDescent="0.25">
      <c r="A3" s="6">
        <v>2</v>
      </c>
      <c r="B3" s="9" t="s">
        <v>28</v>
      </c>
      <c r="C3" s="8" t="s">
        <v>29</v>
      </c>
      <c r="D3" s="7" t="s">
        <v>30</v>
      </c>
      <c r="E3" s="9" t="s">
        <v>23</v>
      </c>
      <c r="F3" s="8" t="s">
        <v>29</v>
      </c>
      <c r="G3" s="8" t="s">
        <v>31</v>
      </c>
      <c r="H3" s="9" t="s">
        <v>32</v>
      </c>
      <c r="I3" s="10">
        <v>44202</v>
      </c>
      <c r="J3" s="11">
        <v>2</v>
      </c>
      <c r="K3" s="12">
        <v>48</v>
      </c>
      <c r="L3" s="13">
        <v>48</v>
      </c>
      <c r="M3" s="14">
        <f>((L3*6000)+(L3*6000)*10%)+8250+((L3*150))</f>
        <v>332250</v>
      </c>
      <c r="N3" s="14">
        <f t="shared" ref="N3:N8" si="2">L3*1210</f>
        <v>58080</v>
      </c>
      <c r="O3" s="14">
        <f>(L3*1850)+5000</f>
        <v>93800</v>
      </c>
      <c r="P3" s="14">
        <f t="shared" si="0"/>
        <v>52800</v>
      </c>
      <c r="Q3" s="14">
        <f t="shared" si="1"/>
        <v>536930</v>
      </c>
      <c r="R3" s="189">
        <v>2872500</v>
      </c>
      <c r="S3" s="191" t="s">
        <v>33</v>
      </c>
      <c r="T3" s="17" t="s">
        <v>27</v>
      </c>
    </row>
    <row r="4" spans="1:20" x14ac:dyDescent="0.25">
      <c r="A4" s="6">
        <v>3</v>
      </c>
      <c r="B4" s="9" t="s">
        <v>34</v>
      </c>
      <c r="C4" s="8" t="s">
        <v>29</v>
      </c>
      <c r="D4" s="7" t="s">
        <v>30</v>
      </c>
      <c r="E4" s="9" t="s">
        <v>23</v>
      </c>
      <c r="F4" s="8" t="s">
        <v>29</v>
      </c>
      <c r="G4" s="8" t="s">
        <v>35</v>
      </c>
      <c r="H4" s="9" t="s">
        <v>36</v>
      </c>
      <c r="I4" s="10">
        <v>44202</v>
      </c>
      <c r="J4" s="11">
        <v>1</v>
      </c>
      <c r="K4" s="12">
        <v>5</v>
      </c>
      <c r="L4" s="13">
        <v>10</v>
      </c>
      <c r="M4" s="14">
        <f>((L4*9200)+(L4*9200)*10%)+8250+((0*150)+(0*150)*10%)</f>
        <v>109450</v>
      </c>
      <c r="N4" s="14">
        <f t="shared" si="2"/>
        <v>12100</v>
      </c>
      <c r="O4" s="14">
        <f>(L4*1850)+5000</f>
        <v>23500</v>
      </c>
      <c r="P4" s="14">
        <f t="shared" si="0"/>
        <v>11000</v>
      </c>
      <c r="Q4" s="14">
        <f t="shared" si="1"/>
        <v>156050</v>
      </c>
      <c r="R4" s="192"/>
      <c r="S4" s="193"/>
      <c r="T4" s="17" t="s">
        <v>27</v>
      </c>
    </row>
    <row r="5" spans="1:20" x14ac:dyDescent="0.25">
      <c r="A5" s="6">
        <v>4</v>
      </c>
      <c r="B5" s="9" t="s">
        <v>37</v>
      </c>
      <c r="C5" s="8" t="s">
        <v>29</v>
      </c>
      <c r="D5" s="7" t="s">
        <v>30</v>
      </c>
      <c r="E5" s="9" t="s">
        <v>23</v>
      </c>
      <c r="F5" s="8" t="s">
        <v>29</v>
      </c>
      <c r="G5" s="8" t="s">
        <v>31</v>
      </c>
      <c r="H5" s="9" t="s">
        <v>32</v>
      </c>
      <c r="I5" s="10">
        <v>44204</v>
      </c>
      <c r="J5" s="11">
        <v>1</v>
      </c>
      <c r="K5" s="12">
        <v>6</v>
      </c>
      <c r="L5" s="13">
        <v>11</v>
      </c>
      <c r="M5" s="14">
        <f>((L5*6000)+(L5*6000)*10%)+8250+((K5*150)+(K5*150)*10%)</f>
        <v>81840</v>
      </c>
      <c r="N5" s="14">
        <f t="shared" si="2"/>
        <v>13310</v>
      </c>
      <c r="O5" s="14">
        <f>(L5*1850)+5000</f>
        <v>25350</v>
      </c>
      <c r="P5" s="14">
        <f t="shared" si="0"/>
        <v>12100</v>
      </c>
      <c r="Q5" s="14">
        <f t="shared" si="1"/>
        <v>132600</v>
      </c>
      <c r="R5" s="192"/>
      <c r="S5" s="193"/>
      <c r="T5" s="17" t="s">
        <v>27</v>
      </c>
    </row>
    <row r="6" spans="1:20" x14ac:dyDescent="0.25">
      <c r="A6" s="6">
        <v>5</v>
      </c>
      <c r="B6" s="9" t="s">
        <v>38</v>
      </c>
      <c r="C6" s="8" t="s">
        <v>29</v>
      </c>
      <c r="D6" s="19" t="s">
        <v>30</v>
      </c>
      <c r="E6" s="12" t="s">
        <v>39</v>
      </c>
      <c r="F6" s="8" t="s">
        <v>29</v>
      </c>
      <c r="G6" s="8" t="s">
        <v>40</v>
      </c>
      <c r="H6" s="9" t="s">
        <v>41</v>
      </c>
      <c r="I6" s="10">
        <v>44208</v>
      </c>
      <c r="J6" s="20">
        <v>7</v>
      </c>
      <c r="K6" s="21">
        <v>138</v>
      </c>
      <c r="L6" s="21">
        <v>138</v>
      </c>
      <c r="M6" s="14">
        <f>((L6*6000)+(L6*6000)*10%)+8250+((K6*150))</f>
        <v>939750</v>
      </c>
      <c r="N6" s="14">
        <f t="shared" si="2"/>
        <v>166980</v>
      </c>
      <c r="O6" s="14">
        <f>(L6*1850)+5000</f>
        <v>260300</v>
      </c>
      <c r="P6" s="14">
        <f t="shared" si="0"/>
        <v>151800</v>
      </c>
      <c r="Q6" s="14">
        <f t="shared" si="1"/>
        <v>1518830</v>
      </c>
      <c r="R6" s="192"/>
      <c r="S6" s="193"/>
      <c r="T6" s="17" t="s">
        <v>27</v>
      </c>
    </row>
    <row r="7" spans="1:20" x14ac:dyDescent="0.25">
      <c r="A7" s="6">
        <v>6</v>
      </c>
      <c r="B7" s="9" t="s">
        <v>42</v>
      </c>
      <c r="C7" s="8" t="s">
        <v>29</v>
      </c>
      <c r="D7" s="19" t="s">
        <v>30</v>
      </c>
      <c r="E7" s="12" t="s">
        <v>23</v>
      </c>
      <c r="F7" s="8" t="s">
        <v>29</v>
      </c>
      <c r="G7" s="8" t="s">
        <v>40</v>
      </c>
      <c r="H7" s="9" t="s">
        <v>43</v>
      </c>
      <c r="I7" s="10">
        <v>44210</v>
      </c>
      <c r="J7" s="20">
        <v>1</v>
      </c>
      <c r="K7" s="21">
        <v>21</v>
      </c>
      <c r="L7" s="21">
        <v>21</v>
      </c>
      <c r="M7" s="14">
        <f>((L7*6000)+(L7*6000)*10%)+8250+(L7*150)</f>
        <v>150000</v>
      </c>
      <c r="N7" s="14">
        <f t="shared" si="2"/>
        <v>25410</v>
      </c>
      <c r="O7" s="14">
        <f>(L7*1850)+5000</f>
        <v>43850</v>
      </c>
      <c r="P7" s="14">
        <f t="shared" si="0"/>
        <v>23100</v>
      </c>
      <c r="Q7" s="14">
        <f t="shared" si="1"/>
        <v>242360</v>
      </c>
      <c r="R7" s="190"/>
      <c r="S7" s="194"/>
      <c r="T7" s="17" t="s">
        <v>27</v>
      </c>
    </row>
    <row r="8" spans="1:20" x14ac:dyDescent="0.25">
      <c r="A8" s="6">
        <v>7</v>
      </c>
      <c r="B8" s="22" t="s">
        <v>44</v>
      </c>
      <c r="C8" s="8" t="s">
        <v>29</v>
      </c>
      <c r="D8" s="7" t="s">
        <v>30</v>
      </c>
      <c r="E8" s="9" t="s">
        <v>39</v>
      </c>
      <c r="F8" s="8" t="s">
        <v>29</v>
      </c>
      <c r="G8" s="8" t="s">
        <v>45</v>
      </c>
      <c r="H8" s="9" t="s">
        <v>43</v>
      </c>
      <c r="I8" s="10">
        <v>44211</v>
      </c>
      <c r="J8" s="20">
        <v>1</v>
      </c>
      <c r="K8" s="23">
        <v>30</v>
      </c>
      <c r="L8" s="23">
        <v>30</v>
      </c>
      <c r="M8" s="14">
        <f>((L8*35000)+(L8*35000)*10%)+8250+(L8*150)</f>
        <v>1167750</v>
      </c>
      <c r="N8" s="14">
        <f t="shared" si="2"/>
        <v>36300</v>
      </c>
      <c r="O8" s="14">
        <f>(L8*1850.2)+3000</f>
        <v>58506</v>
      </c>
      <c r="P8" s="14">
        <f t="shared" si="0"/>
        <v>33000</v>
      </c>
      <c r="Q8" s="14">
        <f t="shared" si="1"/>
        <v>1295556</v>
      </c>
      <c r="R8" s="24">
        <v>2393500</v>
      </c>
      <c r="S8" s="25" t="s">
        <v>46</v>
      </c>
      <c r="T8" s="17" t="s">
        <v>27</v>
      </c>
    </row>
    <row r="9" spans="1:20" x14ac:dyDescent="0.25">
      <c r="A9" s="6">
        <v>8</v>
      </c>
      <c r="B9" s="18" t="s">
        <v>47</v>
      </c>
      <c r="C9" s="8" t="s">
        <v>21</v>
      </c>
      <c r="D9" s="19" t="s">
        <v>48</v>
      </c>
      <c r="E9" s="13" t="s">
        <v>49</v>
      </c>
      <c r="F9" s="26" t="s">
        <v>21</v>
      </c>
      <c r="G9" s="26" t="s">
        <v>50</v>
      </c>
      <c r="H9" s="18" t="s">
        <v>25</v>
      </c>
      <c r="I9" s="10">
        <v>44210</v>
      </c>
      <c r="J9" s="27">
        <v>1</v>
      </c>
      <c r="K9" s="21">
        <v>10</v>
      </c>
      <c r="L9" s="21">
        <v>10</v>
      </c>
      <c r="M9" s="14">
        <f>((L9*30600)+(L9*30600)*10%)+8250+(0*150)</f>
        <v>344850</v>
      </c>
      <c r="N9" s="14">
        <v>0</v>
      </c>
      <c r="O9" s="14">
        <v>0</v>
      </c>
      <c r="P9" s="14">
        <f t="shared" si="0"/>
        <v>11000</v>
      </c>
      <c r="Q9" s="14">
        <f t="shared" si="1"/>
        <v>355850</v>
      </c>
      <c r="R9" s="15">
        <v>355850</v>
      </c>
      <c r="S9" s="25" t="s">
        <v>51</v>
      </c>
      <c r="T9" s="17" t="s">
        <v>27</v>
      </c>
    </row>
    <row r="10" spans="1:20" x14ac:dyDescent="0.25">
      <c r="A10" s="6">
        <v>9</v>
      </c>
      <c r="B10" s="7" t="s">
        <v>52</v>
      </c>
      <c r="C10" s="8" t="s">
        <v>29</v>
      </c>
      <c r="D10" s="7" t="s">
        <v>53</v>
      </c>
      <c r="E10" s="9" t="s">
        <v>23</v>
      </c>
      <c r="F10" s="8" t="s">
        <v>29</v>
      </c>
      <c r="G10" s="8" t="s">
        <v>54</v>
      </c>
      <c r="H10" s="9" t="s">
        <v>55</v>
      </c>
      <c r="I10" s="10">
        <v>44202</v>
      </c>
      <c r="J10" s="11">
        <v>1</v>
      </c>
      <c r="K10" s="12">
        <v>15</v>
      </c>
      <c r="L10" s="13">
        <v>17</v>
      </c>
      <c r="M10" s="14">
        <f>((L10*57000)+(L10*57000)*10%)+8250+((0*150)+(0*150)*10%)</f>
        <v>1074150</v>
      </c>
      <c r="N10" s="14">
        <f t="shared" ref="N10:N26" si="3">L10*1210</f>
        <v>20570</v>
      </c>
      <c r="O10" s="14">
        <f t="shared" ref="O10:O26" si="4">(L10*1850.2)+3000</f>
        <v>34453.4</v>
      </c>
      <c r="P10" s="14">
        <f t="shared" ref="P10:P17" si="5">L10*500</f>
        <v>8500</v>
      </c>
      <c r="Q10" s="28">
        <f t="shared" si="1"/>
        <v>1137673.3999999999</v>
      </c>
      <c r="R10" s="189">
        <v>9644230</v>
      </c>
      <c r="S10" s="191" t="s">
        <v>56</v>
      </c>
      <c r="T10" s="195" t="s">
        <v>27</v>
      </c>
    </row>
    <row r="11" spans="1:20" x14ac:dyDescent="0.25">
      <c r="A11" s="6">
        <v>10</v>
      </c>
      <c r="B11" s="18" t="s">
        <v>57</v>
      </c>
      <c r="C11" s="8" t="s">
        <v>29</v>
      </c>
      <c r="D11" s="19" t="s">
        <v>53</v>
      </c>
      <c r="E11" s="12" t="s">
        <v>23</v>
      </c>
      <c r="F11" s="8" t="s">
        <v>29</v>
      </c>
      <c r="G11" s="8" t="s">
        <v>50</v>
      </c>
      <c r="H11" s="9" t="s">
        <v>58</v>
      </c>
      <c r="I11" s="10">
        <v>44210</v>
      </c>
      <c r="J11" s="20">
        <v>3</v>
      </c>
      <c r="K11" s="21">
        <v>47</v>
      </c>
      <c r="L11" s="21">
        <v>47</v>
      </c>
      <c r="M11" s="14">
        <f>((L11*31000)+(L11*31000)*10%)+8250+(0*150)</f>
        <v>1610950</v>
      </c>
      <c r="N11" s="14">
        <f t="shared" si="3"/>
        <v>56870</v>
      </c>
      <c r="O11" s="14">
        <f t="shared" si="4"/>
        <v>89959.400000000009</v>
      </c>
      <c r="P11" s="14">
        <f t="shared" si="5"/>
        <v>23500</v>
      </c>
      <c r="Q11" s="28">
        <f t="shared" ref="Q11:Q40" si="6">SUM(M11:P11)</f>
        <v>1781279.4</v>
      </c>
      <c r="R11" s="192"/>
      <c r="S11" s="192"/>
      <c r="T11" s="196"/>
    </row>
    <row r="12" spans="1:20" x14ac:dyDescent="0.25">
      <c r="A12" s="6">
        <v>11</v>
      </c>
      <c r="B12" s="22" t="s">
        <v>59</v>
      </c>
      <c r="C12" s="8" t="s">
        <v>29</v>
      </c>
      <c r="D12" s="7" t="s">
        <v>53</v>
      </c>
      <c r="E12" s="9" t="s">
        <v>23</v>
      </c>
      <c r="F12" s="8" t="s">
        <v>29</v>
      </c>
      <c r="G12" s="8" t="s">
        <v>60</v>
      </c>
      <c r="H12" s="9" t="s">
        <v>61</v>
      </c>
      <c r="I12" s="10">
        <v>44214</v>
      </c>
      <c r="J12" s="20">
        <v>1</v>
      </c>
      <c r="K12" s="23">
        <v>26</v>
      </c>
      <c r="L12" s="23">
        <v>26</v>
      </c>
      <c r="M12" s="14">
        <f>((L12*14200)+(L12*14200)*10%)+8250+(0*150)</f>
        <v>414370</v>
      </c>
      <c r="N12" s="14">
        <f t="shared" si="3"/>
        <v>31460</v>
      </c>
      <c r="O12" s="14">
        <f t="shared" si="4"/>
        <v>51105.200000000004</v>
      </c>
      <c r="P12" s="14">
        <f t="shared" si="5"/>
        <v>13000</v>
      </c>
      <c r="Q12" s="28">
        <f t="shared" si="6"/>
        <v>509935.2</v>
      </c>
      <c r="R12" s="192"/>
      <c r="S12" s="192"/>
      <c r="T12" s="196"/>
    </row>
    <row r="13" spans="1:20" x14ac:dyDescent="0.25">
      <c r="A13" s="6">
        <v>12</v>
      </c>
      <c r="B13" s="22" t="s">
        <v>62</v>
      </c>
      <c r="C13" s="8" t="s">
        <v>29</v>
      </c>
      <c r="D13" s="7" t="s">
        <v>53</v>
      </c>
      <c r="E13" s="9" t="s">
        <v>23</v>
      </c>
      <c r="F13" s="8" t="s">
        <v>29</v>
      </c>
      <c r="G13" s="8" t="s">
        <v>50</v>
      </c>
      <c r="H13" s="9" t="s">
        <v>58</v>
      </c>
      <c r="I13" s="29">
        <v>44216</v>
      </c>
      <c r="J13" s="20">
        <v>1</v>
      </c>
      <c r="K13" s="23">
        <v>3</v>
      </c>
      <c r="L13" s="23">
        <v>10</v>
      </c>
      <c r="M13" s="14">
        <f>((L13*31000)+(L13*31000)*10%)+8250+(0*150)</f>
        <v>349250</v>
      </c>
      <c r="N13" s="14">
        <f t="shared" si="3"/>
        <v>12100</v>
      </c>
      <c r="O13" s="14">
        <f t="shared" si="4"/>
        <v>21502</v>
      </c>
      <c r="P13" s="14">
        <f t="shared" si="5"/>
        <v>5000</v>
      </c>
      <c r="Q13" s="28">
        <f t="shared" si="6"/>
        <v>387852</v>
      </c>
      <c r="R13" s="192"/>
      <c r="S13" s="192"/>
      <c r="T13" s="196"/>
    </row>
    <row r="14" spans="1:20" x14ac:dyDescent="0.25">
      <c r="A14" s="6">
        <v>13</v>
      </c>
      <c r="B14" s="22" t="s">
        <v>63</v>
      </c>
      <c r="C14" s="8" t="s">
        <v>29</v>
      </c>
      <c r="D14" s="7" t="s">
        <v>53</v>
      </c>
      <c r="E14" s="9" t="s">
        <v>23</v>
      </c>
      <c r="F14" s="8" t="s">
        <v>29</v>
      </c>
      <c r="G14" s="8" t="s">
        <v>64</v>
      </c>
      <c r="H14" s="9" t="s">
        <v>65</v>
      </c>
      <c r="I14" s="29">
        <v>44217</v>
      </c>
      <c r="J14" s="20">
        <v>4</v>
      </c>
      <c r="K14" s="23">
        <v>43</v>
      </c>
      <c r="L14" s="23">
        <v>60</v>
      </c>
      <c r="M14" s="14">
        <f>((L14*14400)+(L14*14400)*10%)+8250+(0*150)</f>
        <v>958650</v>
      </c>
      <c r="N14" s="14">
        <f t="shared" si="3"/>
        <v>72600</v>
      </c>
      <c r="O14" s="14">
        <f t="shared" si="4"/>
        <v>114012</v>
      </c>
      <c r="P14" s="14">
        <f t="shared" si="5"/>
        <v>30000</v>
      </c>
      <c r="Q14" s="28">
        <f t="shared" si="6"/>
        <v>1175262</v>
      </c>
      <c r="R14" s="192"/>
      <c r="S14" s="192"/>
      <c r="T14" s="196"/>
    </row>
    <row r="15" spans="1:20" x14ac:dyDescent="0.25">
      <c r="A15" s="6">
        <v>14</v>
      </c>
      <c r="B15" s="22" t="s">
        <v>66</v>
      </c>
      <c r="C15" s="8" t="s">
        <v>29</v>
      </c>
      <c r="D15" s="7" t="s">
        <v>53</v>
      </c>
      <c r="E15" s="9" t="s">
        <v>23</v>
      </c>
      <c r="F15" s="8" t="s">
        <v>29</v>
      </c>
      <c r="G15" s="8" t="s">
        <v>50</v>
      </c>
      <c r="H15" s="9" t="s">
        <v>58</v>
      </c>
      <c r="I15" s="29">
        <v>44218</v>
      </c>
      <c r="J15" s="20">
        <v>4</v>
      </c>
      <c r="K15" s="23">
        <v>71</v>
      </c>
      <c r="L15" s="23">
        <v>71</v>
      </c>
      <c r="M15" s="14">
        <f>((L15*31000)+(L15*31000)*10%)+8250+(0*150)</f>
        <v>2429350</v>
      </c>
      <c r="N15" s="14">
        <f t="shared" si="3"/>
        <v>85910</v>
      </c>
      <c r="O15" s="14">
        <f t="shared" si="4"/>
        <v>134364.20000000001</v>
      </c>
      <c r="P15" s="14">
        <f t="shared" si="5"/>
        <v>35500</v>
      </c>
      <c r="Q15" s="28">
        <f t="shared" si="6"/>
        <v>2685124.2</v>
      </c>
      <c r="R15" s="192"/>
      <c r="S15" s="192"/>
      <c r="T15" s="196"/>
    </row>
    <row r="16" spans="1:20" x14ac:dyDescent="0.25">
      <c r="A16" s="6">
        <v>15</v>
      </c>
      <c r="B16" s="22" t="s">
        <v>67</v>
      </c>
      <c r="C16" s="8" t="s">
        <v>29</v>
      </c>
      <c r="D16" s="7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29">
        <v>44223</v>
      </c>
      <c r="J16" s="20">
        <v>2</v>
      </c>
      <c r="K16" s="23">
        <v>27</v>
      </c>
      <c r="L16" s="23">
        <v>40</v>
      </c>
      <c r="M16" s="14">
        <f>((L16*31000)+(L16*31000)*10%)+8250+(0*150)</f>
        <v>1372250</v>
      </c>
      <c r="N16" s="14">
        <f t="shared" si="3"/>
        <v>48400</v>
      </c>
      <c r="O16" s="14">
        <f t="shared" si="4"/>
        <v>77008</v>
      </c>
      <c r="P16" s="14">
        <f t="shared" si="5"/>
        <v>20000</v>
      </c>
      <c r="Q16" s="28">
        <f t="shared" si="6"/>
        <v>1517658</v>
      </c>
      <c r="R16" s="192"/>
      <c r="S16" s="192"/>
      <c r="T16" s="196"/>
    </row>
    <row r="17" spans="1:20" x14ac:dyDescent="0.25">
      <c r="A17" s="6">
        <v>16</v>
      </c>
      <c r="B17" s="22" t="s">
        <v>68</v>
      </c>
      <c r="C17" s="8" t="s">
        <v>29</v>
      </c>
      <c r="D17" s="7" t="s">
        <v>53</v>
      </c>
      <c r="E17" s="9" t="s">
        <v>23</v>
      </c>
      <c r="F17" s="8" t="s">
        <v>29</v>
      </c>
      <c r="G17" s="8" t="s">
        <v>69</v>
      </c>
      <c r="H17" s="9" t="s">
        <v>70</v>
      </c>
      <c r="I17" s="29">
        <v>44227</v>
      </c>
      <c r="J17" s="30">
        <v>3</v>
      </c>
      <c r="K17" s="30">
        <v>29</v>
      </c>
      <c r="L17" s="30">
        <v>29</v>
      </c>
      <c r="M17" s="14">
        <f>((L17*10500)+(L17*10500)*10%)+8250+(0*150)</f>
        <v>343200</v>
      </c>
      <c r="N17" s="14">
        <f t="shared" si="3"/>
        <v>35090</v>
      </c>
      <c r="O17" s="14">
        <f t="shared" si="4"/>
        <v>56655.8</v>
      </c>
      <c r="P17" s="14">
        <f t="shared" si="5"/>
        <v>14500</v>
      </c>
      <c r="Q17" s="28">
        <f t="shared" si="6"/>
        <v>449445.8</v>
      </c>
      <c r="R17" s="190"/>
      <c r="S17" s="190"/>
      <c r="T17" s="197"/>
    </row>
    <row r="18" spans="1:20" x14ac:dyDescent="0.25">
      <c r="A18" s="6">
        <v>17</v>
      </c>
      <c r="B18" s="22" t="s">
        <v>71</v>
      </c>
      <c r="C18" s="8" t="s">
        <v>29</v>
      </c>
      <c r="D18" s="7" t="s">
        <v>85</v>
      </c>
      <c r="E18" s="9" t="s">
        <v>23</v>
      </c>
      <c r="F18" s="8" t="s">
        <v>29</v>
      </c>
      <c r="G18" s="8" t="s">
        <v>72</v>
      </c>
      <c r="H18" s="9" t="s">
        <v>73</v>
      </c>
      <c r="I18" s="10">
        <v>44213</v>
      </c>
      <c r="J18" s="20">
        <v>5</v>
      </c>
      <c r="K18" s="23">
        <v>111</v>
      </c>
      <c r="L18" s="23">
        <v>177</v>
      </c>
      <c r="M18" s="14">
        <f>((L18*16500)+(L18*16500)*10%)+8250+(0*150)</f>
        <v>3220800</v>
      </c>
      <c r="N18" s="14">
        <f t="shared" si="3"/>
        <v>214170</v>
      </c>
      <c r="O18" s="14">
        <f t="shared" si="4"/>
        <v>330485.40000000002</v>
      </c>
      <c r="P18" s="14">
        <f t="shared" ref="P18:P24" si="7">L18*1100</f>
        <v>194700</v>
      </c>
      <c r="Q18" s="14">
        <f t="shared" si="6"/>
        <v>3960155.4</v>
      </c>
      <c r="R18" s="189">
        <v>4911703</v>
      </c>
      <c r="S18" s="191" t="s">
        <v>74</v>
      </c>
      <c r="T18" s="189" t="s">
        <v>27</v>
      </c>
    </row>
    <row r="19" spans="1:20" x14ac:dyDescent="0.25">
      <c r="A19" s="6">
        <v>18</v>
      </c>
      <c r="B19" s="22" t="s">
        <v>75</v>
      </c>
      <c r="C19" s="8" t="s">
        <v>29</v>
      </c>
      <c r="D19" s="7" t="s">
        <v>85</v>
      </c>
      <c r="E19" s="9" t="s">
        <v>23</v>
      </c>
      <c r="F19" s="8" t="s">
        <v>29</v>
      </c>
      <c r="G19" s="8" t="s">
        <v>76</v>
      </c>
      <c r="H19" s="9" t="s">
        <v>77</v>
      </c>
      <c r="I19" s="10">
        <v>44213</v>
      </c>
      <c r="J19" s="20">
        <v>2</v>
      </c>
      <c r="K19" s="23">
        <v>39</v>
      </c>
      <c r="L19" s="23">
        <v>39</v>
      </c>
      <c r="M19" s="14">
        <f>((L19*18000)+(L19*18000)*10%)+8250+(L19*150)</f>
        <v>786300</v>
      </c>
      <c r="N19" s="14">
        <f t="shared" si="3"/>
        <v>47190</v>
      </c>
      <c r="O19" s="14">
        <f t="shared" si="4"/>
        <v>75157.8</v>
      </c>
      <c r="P19" s="14">
        <f t="shared" si="7"/>
        <v>42900</v>
      </c>
      <c r="Q19" s="14">
        <f t="shared" si="6"/>
        <v>951547.8</v>
      </c>
      <c r="R19" s="190"/>
      <c r="S19" s="190"/>
      <c r="T19" s="190"/>
    </row>
    <row r="20" spans="1:20" x14ac:dyDescent="0.25">
      <c r="A20" s="6">
        <v>19</v>
      </c>
      <c r="B20" s="22" t="s">
        <v>78</v>
      </c>
      <c r="C20" s="8" t="s">
        <v>29</v>
      </c>
      <c r="D20" s="7" t="s">
        <v>85</v>
      </c>
      <c r="E20" s="9" t="s">
        <v>23</v>
      </c>
      <c r="F20" s="8" t="s">
        <v>29</v>
      </c>
      <c r="G20" s="8" t="s">
        <v>79</v>
      </c>
      <c r="H20" s="9" t="s">
        <v>80</v>
      </c>
      <c r="I20" s="10">
        <v>44215</v>
      </c>
      <c r="J20" s="20">
        <v>2</v>
      </c>
      <c r="K20" s="23">
        <v>33</v>
      </c>
      <c r="L20" s="23">
        <v>33</v>
      </c>
      <c r="M20" s="14">
        <f>((L20*15000)+(L20*15000)*10%)+8250+(0*150)</f>
        <v>552750</v>
      </c>
      <c r="N20" s="14">
        <f t="shared" si="3"/>
        <v>39930</v>
      </c>
      <c r="O20" s="14">
        <f t="shared" si="4"/>
        <v>64056.6</v>
      </c>
      <c r="P20" s="14">
        <f t="shared" si="7"/>
        <v>36300</v>
      </c>
      <c r="Q20" s="14">
        <f t="shared" si="6"/>
        <v>693036.6</v>
      </c>
      <c r="R20" s="189">
        <v>5075801</v>
      </c>
      <c r="S20" s="191" t="s">
        <v>81</v>
      </c>
      <c r="T20" s="189" t="s">
        <v>27</v>
      </c>
    </row>
    <row r="21" spans="1:20" x14ac:dyDescent="0.25">
      <c r="A21" s="6">
        <v>20</v>
      </c>
      <c r="B21" s="22" t="s">
        <v>82</v>
      </c>
      <c r="C21" s="8" t="s">
        <v>29</v>
      </c>
      <c r="D21" s="7" t="s">
        <v>85</v>
      </c>
      <c r="E21" s="9" t="s">
        <v>23</v>
      </c>
      <c r="F21" s="8" t="s">
        <v>29</v>
      </c>
      <c r="G21" s="8" t="s">
        <v>76</v>
      </c>
      <c r="H21" s="9" t="s">
        <v>83</v>
      </c>
      <c r="I21" s="29">
        <v>44216</v>
      </c>
      <c r="J21" s="20">
        <v>2</v>
      </c>
      <c r="K21" s="23">
        <v>51</v>
      </c>
      <c r="L21" s="23">
        <v>51</v>
      </c>
      <c r="M21" s="14">
        <f>((L21*18000)+(L21*18000)*10%)+8250+(L21*150)</f>
        <v>1025700</v>
      </c>
      <c r="N21" s="14">
        <f t="shared" si="3"/>
        <v>61710</v>
      </c>
      <c r="O21" s="14">
        <f t="shared" si="4"/>
        <v>97360.2</v>
      </c>
      <c r="P21" s="14">
        <f t="shared" si="7"/>
        <v>56100</v>
      </c>
      <c r="Q21" s="14">
        <f t="shared" si="6"/>
        <v>1240870.2</v>
      </c>
      <c r="R21" s="192"/>
      <c r="S21" s="192"/>
      <c r="T21" s="192"/>
    </row>
    <row r="22" spans="1:20" x14ac:dyDescent="0.25">
      <c r="A22" s="6">
        <v>21</v>
      </c>
      <c r="B22" s="22" t="s">
        <v>84</v>
      </c>
      <c r="C22" s="8" t="s">
        <v>29</v>
      </c>
      <c r="D22" s="7" t="s">
        <v>85</v>
      </c>
      <c r="E22" s="9" t="s">
        <v>23</v>
      </c>
      <c r="F22" s="8" t="s">
        <v>29</v>
      </c>
      <c r="G22" s="8" t="s">
        <v>86</v>
      </c>
      <c r="H22" s="9" t="s">
        <v>87</v>
      </c>
      <c r="I22" s="29">
        <v>44219</v>
      </c>
      <c r="J22" s="20">
        <v>1</v>
      </c>
      <c r="K22" s="23">
        <v>16</v>
      </c>
      <c r="L22" s="23">
        <v>16</v>
      </c>
      <c r="M22" s="14">
        <f>((L22*47600)+(L22*47600)*10%)+8250+(0*150)</f>
        <v>846010</v>
      </c>
      <c r="N22" s="14">
        <f t="shared" si="3"/>
        <v>19360</v>
      </c>
      <c r="O22" s="14">
        <f t="shared" si="4"/>
        <v>32603.200000000001</v>
      </c>
      <c r="P22" s="14">
        <f t="shared" si="7"/>
        <v>17600</v>
      </c>
      <c r="Q22" s="14">
        <f t="shared" si="6"/>
        <v>915573.2</v>
      </c>
      <c r="R22" s="192"/>
      <c r="S22" s="192"/>
      <c r="T22" s="192"/>
    </row>
    <row r="23" spans="1:20" x14ac:dyDescent="0.25">
      <c r="A23" s="6">
        <v>22</v>
      </c>
      <c r="B23" s="22" t="s">
        <v>88</v>
      </c>
      <c r="C23" s="8" t="s">
        <v>29</v>
      </c>
      <c r="D23" s="7" t="s">
        <v>85</v>
      </c>
      <c r="E23" s="9" t="s">
        <v>23</v>
      </c>
      <c r="F23" s="8" t="s">
        <v>29</v>
      </c>
      <c r="G23" s="8" t="s">
        <v>79</v>
      </c>
      <c r="H23" s="9" t="s">
        <v>89</v>
      </c>
      <c r="I23" s="29">
        <v>44219</v>
      </c>
      <c r="J23" s="20">
        <v>5</v>
      </c>
      <c r="K23" s="23">
        <v>95</v>
      </c>
      <c r="L23" s="23">
        <v>95</v>
      </c>
      <c r="M23" s="14">
        <f>((L23*15000)+(L23*15000)*10%)+8250+(0*150)</f>
        <v>1575750</v>
      </c>
      <c r="N23" s="14">
        <f t="shared" si="3"/>
        <v>114950</v>
      </c>
      <c r="O23" s="14">
        <f t="shared" si="4"/>
        <v>178769</v>
      </c>
      <c r="P23" s="14">
        <f t="shared" si="7"/>
        <v>104500</v>
      </c>
      <c r="Q23" s="14">
        <f>SUM(M23:P23)</f>
        <v>1973969</v>
      </c>
      <c r="R23" s="192"/>
      <c r="S23" s="192"/>
      <c r="T23" s="192"/>
    </row>
    <row r="24" spans="1:20" x14ac:dyDescent="0.25">
      <c r="A24" s="6">
        <v>23</v>
      </c>
      <c r="B24" s="22" t="s">
        <v>90</v>
      </c>
      <c r="C24" s="8" t="s">
        <v>29</v>
      </c>
      <c r="D24" s="7" t="s">
        <v>85</v>
      </c>
      <c r="E24" s="9" t="s">
        <v>23</v>
      </c>
      <c r="F24" s="8" t="s">
        <v>29</v>
      </c>
      <c r="G24" s="8" t="s">
        <v>76</v>
      </c>
      <c r="H24" s="9" t="s">
        <v>83</v>
      </c>
      <c r="I24" s="29">
        <v>44222</v>
      </c>
      <c r="J24" s="30">
        <v>1</v>
      </c>
      <c r="K24" s="30">
        <v>9</v>
      </c>
      <c r="L24" s="30">
        <v>10</v>
      </c>
      <c r="M24" s="14">
        <f>((L24*18000)+(L24*18000)*10%)+8250+(L24*150)</f>
        <v>207750</v>
      </c>
      <c r="N24" s="14">
        <f t="shared" si="3"/>
        <v>12100</v>
      </c>
      <c r="O24" s="14">
        <f t="shared" si="4"/>
        <v>21502</v>
      </c>
      <c r="P24" s="14">
        <f t="shared" si="7"/>
        <v>11000</v>
      </c>
      <c r="Q24" s="14">
        <f>SUM(M24:P24)</f>
        <v>252352</v>
      </c>
      <c r="R24" s="190"/>
      <c r="S24" s="190"/>
      <c r="T24" s="190"/>
    </row>
    <row r="25" spans="1:20" x14ac:dyDescent="0.25">
      <c r="A25" s="6">
        <v>24</v>
      </c>
      <c r="B25" s="22" t="s">
        <v>91</v>
      </c>
      <c r="C25" s="8" t="s">
        <v>29</v>
      </c>
      <c r="D25" s="7" t="s">
        <v>92</v>
      </c>
      <c r="E25" s="9" t="s">
        <v>39</v>
      </c>
      <c r="F25" s="8" t="s">
        <v>29</v>
      </c>
      <c r="G25" s="8" t="s">
        <v>24</v>
      </c>
      <c r="H25" s="9" t="s">
        <v>93</v>
      </c>
      <c r="I25" s="29">
        <v>44219</v>
      </c>
      <c r="J25" s="20">
        <v>3</v>
      </c>
      <c r="K25" s="23">
        <v>45</v>
      </c>
      <c r="L25" s="23">
        <v>45</v>
      </c>
      <c r="M25" s="14">
        <f>((L25*22000)+(L25*22000)*10%)+8250+(L25*150)</f>
        <v>1104000</v>
      </c>
      <c r="N25" s="14">
        <f t="shared" si="3"/>
        <v>54450</v>
      </c>
      <c r="O25" s="14">
        <f t="shared" si="4"/>
        <v>86259</v>
      </c>
      <c r="P25" s="14">
        <f>L25*500</f>
        <v>22500</v>
      </c>
      <c r="Q25" s="14">
        <f t="shared" si="6"/>
        <v>1267209</v>
      </c>
      <c r="R25" s="189">
        <v>2325117</v>
      </c>
      <c r="S25" s="191" t="s">
        <v>291</v>
      </c>
      <c r="T25" s="189" t="s">
        <v>27</v>
      </c>
    </row>
    <row r="26" spans="1:20" x14ac:dyDescent="0.25">
      <c r="A26" s="6">
        <v>25</v>
      </c>
      <c r="B26" s="22" t="s">
        <v>95</v>
      </c>
      <c r="C26" s="8" t="s">
        <v>29</v>
      </c>
      <c r="D26" s="7" t="s">
        <v>92</v>
      </c>
      <c r="E26" s="9" t="s">
        <v>23</v>
      </c>
      <c r="F26" s="8" t="s">
        <v>29</v>
      </c>
      <c r="G26" s="8" t="s">
        <v>76</v>
      </c>
      <c r="H26" s="9" t="s">
        <v>77</v>
      </c>
      <c r="I26" s="29">
        <v>44221</v>
      </c>
      <c r="J26" s="30">
        <v>1</v>
      </c>
      <c r="K26" s="30">
        <v>21</v>
      </c>
      <c r="L26" s="30">
        <v>21</v>
      </c>
      <c r="M26" s="14">
        <f>((L26*18000)+(L26*18000)*10%)+8250+(L26*150)</f>
        <v>427200</v>
      </c>
      <c r="N26" s="14">
        <f t="shared" si="3"/>
        <v>25410</v>
      </c>
      <c r="O26" s="14">
        <f t="shared" si="4"/>
        <v>41854.200000000004</v>
      </c>
      <c r="P26" s="14">
        <f>L26*500</f>
        <v>10500</v>
      </c>
      <c r="Q26" s="14">
        <f t="shared" si="6"/>
        <v>504964.2</v>
      </c>
      <c r="R26" s="190"/>
      <c r="S26" s="190"/>
      <c r="T26" s="190"/>
    </row>
    <row r="27" spans="1:20" x14ac:dyDescent="0.25">
      <c r="A27" s="6">
        <v>26</v>
      </c>
      <c r="B27" s="22" t="s">
        <v>96</v>
      </c>
      <c r="C27" s="8" t="s">
        <v>21</v>
      </c>
      <c r="D27" s="7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29">
        <v>44224</v>
      </c>
      <c r="J27" s="30">
        <v>3</v>
      </c>
      <c r="K27" s="30">
        <v>33</v>
      </c>
      <c r="L27" s="30">
        <v>33</v>
      </c>
      <c r="M27" s="14">
        <f>((L27*30600)+(L27*30600)*10%)+8250+(0*150)</f>
        <v>1119030</v>
      </c>
      <c r="N27" s="14">
        <f>L27*869</f>
        <v>28677</v>
      </c>
      <c r="O27" s="14">
        <f>(L27*1153.8)+20000</f>
        <v>58075.4</v>
      </c>
      <c r="P27" s="14">
        <f>L27*1100</f>
        <v>36300</v>
      </c>
      <c r="Q27" s="14">
        <f t="shared" si="6"/>
        <v>1242082.3999999999</v>
      </c>
      <c r="R27" s="24">
        <v>1242082</v>
      </c>
      <c r="S27" s="25" t="s">
        <v>98</v>
      </c>
      <c r="T27" s="15" t="s">
        <v>27</v>
      </c>
    </row>
    <row r="28" spans="1:20" x14ac:dyDescent="0.25">
      <c r="A28" s="6">
        <v>27</v>
      </c>
      <c r="B28" s="22" t="s">
        <v>99</v>
      </c>
      <c r="C28" s="8" t="s">
        <v>29</v>
      </c>
      <c r="D28" s="7" t="s">
        <v>100</v>
      </c>
      <c r="E28" s="9" t="s">
        <v>23</v>
      </c>
      <c r="F28" s="8" t="s">
        <v>29</v>
      </c>
      <c r="G28" s="8" t="s">
        <v>101</v>
      </c>
      <c r="H28" s="9" t="s">
        <v>102</v>
      </c>
      <c r="I28" s="29">
        <v>44225</v>
      </c>
      <c r="J28" s="30">
        <v>14</v>
      </c>
      <c r="K28" s="30">
        <v>320</v>
      </c>
      <c r="L28" s="30">
        <v>320</v>
      </c>
      <c r="M28" s="14">
        <f>((L28*35500)+(L28*35500)*10%)+8250+(L28*150)</f>
        <v>12552250</v>
      </c>
      <c r="N28" s="14">
        <f>L28*1210</f>
        <v>387200</v>
      </c>
      <c r="O28" s="14">
        <f>(L28*1850.2)+3000</f>
        <v>595064</v>
      </c>
      <c r="P28" s="14">
        <f>L28*1100</f>
        <v>352000</v>
      </c>
      <c r="Q28" s="14">
        <f t="shared" si="6"/>
        <v>13886514</v>
      </c>
      <c r="R28" s="54">
        <v>204544493</v>
      </c>
      <c r="S28" s="55" t="s">
        <v>309</v>
      </c>
      <c r="T28" s="24" t="s">
        <v>27</v>
      </c>
    </row>
    <row r="29" spans="1:20" x14ac:dyDescent="0.25">
      <c r="A29" s="6">
        <v>28</v>
      </c>
      <c r="B29" s="22" t="s">
        <v>103</v>
      </c>
      <c r="C29" s="8" t="s">
        <v>29</v>
      </c>
      <c r="D29" s="7" t="s">
        <v>100</v>
      </c>
      <c r="E29" s="9" t="s">
        <v>23</v>
      </c>
      <c r="F29" s="8" t="s">
        <v>29</v>
      </c>
      <c r="G29" s="8" t="s">
        <v>104</v>
      </c>
      <c r="H29" s="9" t="s">
        <v>105</v>
      </c>
      <c r="I29" s="29">
        <v>44226</v>
      </c>
      <c r="J29" s="30">
        <v>15</v>
      </c>
      <c r="K29" s="30">
        <v>332</v>
      </c>
      <c r="L29" s="30">
        <v>363</v>
      </c>
      <c r="M29" s="14">
        <f>((L29*34000)+(L29*34000)*10%)+8250+(K29*150)</f>
        <v>13634250</v>
      </c>
      <c r="N29" s="14">
        <f t="shared" ref="N29:N40" si="8">L29*1210</f>
        <v>439230</v>
      </c>
      <c r="O29" s="14">
        <f t="shared" ref="O29:O40" si="9">(L29*1850.2)+3000</f>
        <v>674622.6</v>
      </c>
      <c r="P29" s="14">
        <f t="shared" ref="P29:P40" si="10">L29*1100</f>
        <v>399300</v>
      </c>
      <c r="Q29" s="14">
        <f t="shared" si="6"/>
        <v>15147402.6</v>
      </c>
      <c r="R29" s="54">
        <v>204544493</v>
      </c>
      <c r="S29" s="55" t="s">
        <v>309</v>
      </c>
      <c r="T29" s="24" t="s">
        <v>27</v>
      </c>
    </row>
    <row r="30" spans="1:20" x14ac:dyDescent="0.25">
      <c r="A30" s="6">
        <v>29</v>
      </c>
      <c r="B30" s="22" t="s">
        <v>106</v>
      </c>
      <c r="C30" s="8" t="s">
        <v>29</v>
      </c>
      <c r="D30" s="7" t="s">
        <v>100</v>
      </c>
      <c r="E30" s="9" t="s">
        <v>23</v>
      </c>
      <c r="F30" s="8" t="s">
        <v>29</v>
      </c>
      <c r="G30" s="8" t="s">
        <v>104</v>
      </c>
      <c r="H30" s="9" t="s">
        <v>105</v>
      </c>
      <c r="I30" s="29">
        <v>44226</v>
      </c>
      <c r="J30" s="30">
        <v>8</v>
      </c>
      <c r="K30" s="30">
        <v>214</v>
      </c>
      <c r="L30" s="30">
        <v>214</v>
      </c>
      <c r="M30" s="14">
        <f>((L30*34000)+(L30*34000)*10%)+8250+(K30*150)</f>
        <v>8043950</v>
      </c>
      <c r="N30" s="14">
        <f t="shared" si="8"/>
        <v>258940</v>
      </c>
      <c r="O30" s="14">
        <f t="shared" si="9"/>
        <v>398942.8</v>
      </c>
      <c r="P30" s="14">
        <f t="shared" si="10"/>
        <v>235400</v>
      </c>
      <c r="Q30" s="14">
        <f t="shared" si="6"/>
        <v>8937232.8000000007</v>
      </c>
      <c r="R30" s="54">
        <v>204544493</v>
      </c>
      <c r="S30" s="55" t="s">
        <v>309</v>
      </c>
      <c r="T30" s="24" t="s">
        <v>27</v>
      </c>
    </row>
    <row r="31" spans="1:20" x14ac:dyDescent="0.25">
      <c r="A31" s="6">
        <v>30</v>
      </c>
      <c r="B31" s="22" t="s">
        <v>107</v>
      </c>
      <c r="C31" s="8" t="s">
        <v>29</v>
      </c>
      <c r="D31" s="7" t="s">
        <v>100</v>
      </c>
      <c r="E31" s="9" t="s">
        <v>23</v>
      </c>
      <c r="F31" s="8" t="s">
        <v>29</v>
      </c>
      <c r="G31" s="8" t="s">
        <v>50</v>
      </c>
      <c r="H31" s="9" t="s">
        <v>58</v>
      </c>
      <c r="I31" s="29">
        <v>44226</v>
      </c>
      <c r="J31" s="30">
        <v>5</v>
      </c>
      <c r="K31" s="30">
        <v>104</v>
      </c>
      <c r="L31" s="30">
        <v>104</v>
      </c>
      <c r="M31" s="14">
        <f>((L31*31000)+(L31*31000)*10%)+8250+(0*150)</f>
        <v>3554650</v>
      </c>
      <c r="N31" s="14">
        <f t="shared" si="8"/>
        <v>125840</v>
      </c>
      <c r="O31" s="14">
        <f t="shared" si="9"/>
        <v>195420.80000000002</v>
      </c>
      <c r="P31" s="14">
        <f t="shared" si="10"/>
        <v>114400</v>
      </c>
      <c r="Q31" s="14">
        <f t="shared" si="6"/>
        <v>3990310.8</v>
      </c>
      <c r="R31" s="54">
        <v>204544493</v>
      </c>
      <c r="S31" s="55" t="s">
        <v>309</v>
      </c>
      <c r="T31" s="24" t="s">
        <v>27</v>
      </c>
    </row>
    <row r="32" spans="1:20" x14ac:dyDescent="0.25">
      <c r="A32" s="6">
        <v>31</v>
      </c>
      <c r="B32" s="22" t="s">
        <v>108</v>
      </c>
      <c r="C32" s="8" t="s">
        <v>29</v>
      </c>
      <c r="D32" s="7" t="s">
        <v>100</v>
      </c>
      <c r="E32" s="9" t="s">
        <v>23</v>
      </c>
      <c r="F32" s="8" t="s">
        <v>29</v>
      </c>
      <c r="G32" s="8" t="s">
        <v>109</v>
      </c>
      <c r="H32" s="9" t="s">
        <v>110</v>
      </c>
      <c r="I32" s="29">
        <v>44227</v>
      </c>
      <c r="J32" s="30">
        <v>11</v>
      </c>
      <c r="K32" s="30">
        <v>255</v>
      </c>
      <c r="L32" s="30">
        <v>255</v>
      </c>
      <c r="M32" s="14">
        <f>((L32*36000)+(L32*36000)*10%)+8250+(0*150)</f>
        <v>10106250</v>
      </c>
      <c r="N32" s="14">
        <f t="shared" si="8"/>
        <v>308550</v>
      </c>
      <c r="O32" s="14">
        <f t="shared" si="9"/>
        <v>474801</v>
      </c>
      <c r="P32" s="14">
        <f t="shared" si="10"/>
        <v>280500</v>
      </c>
      <c r="Q32" s="14">
        <f t="shared" si="6"/>
        <v>11170101</v>
      </c>
      <c r="R32" s="54">
        <v>204544493</v>
      </c>
      <c r="S32" s="55" t="s">
        <v>309</v>
      </c>
      <c r="T32" s="24" t="s">
        <v>27</v>
      </c>
    </row>
    <row r="33" spans="1:20" x14ac:dyDescent="0.25">
      <c r="A33" s="6">
        <v>32</v>
      </c>
      <c r="B33" s="22" t="s">
        <v>111</v>
      </c>
      <c r="C33" s="8" t="s">
        <v>29</v>
      </c>
      <c r="D33" s="7" t="s">
        <v>100</v>
      </c>
      <c r="E33" s="9" t="s">
        <v>23</v>
      </c>
      <c r="F33" s="8" t="s">
        <v>29</v>
      </c>
      <c r="G33" s="8" t="s">
        <v>112</v>
      </c>
      <c r="H33" s="9" t="s">
        <v>113</v>
      </c>
      <c r="I33" s="29">
        <v>44226</v>
      </c>
      <c r="J33" s="30">
        <v>12</v>
      </c>
      <c r="K33" s="30">
        <v>271</v>
      </c>
      <c r="L33" s="30">
        <v>271</v>
      </c>
      <c r="M33" s="14">
        <f>((L33*40800)+(L33*40800)*10%)+8250+(L33*150)</f>
        <v>12211380</v>
      </c>
      <c r="N33" s="14">
        <f t="shared" si="8"/>
        <v>327910</v>
      </c>
      <c r="O33" s="14">
        <f t="shared" si="9"/>
        <v>504404.2</v>
      </c>
      <c r="P33" s="14">
        <f t="shared" si="10"/>
        <v>298100</v>
      </c>
      <c r="Q33" s="14">
        <f t="shared" si="6"/>
        <v>13341794.199999999</v>
      </c>
      <c r="R33" s="54">
        <v>204544493</v>
      </c>
      <c r="S33" s="55" t="s">
        <v>309</v>
      </c>
      <c r="T33" s="24" t="s">
        <v>27</v>
      </c>
    </row>
    <row r="34" spans="1:20" x14ac:dyDescent="0.25">
      <c r="A34" s="6">
        <v>33</v>
      </c>
      <c r="B34" s="22" t="s">
        <v>114</v>
      </c>
      <c r="C34" s="8" t="s">
        <v>29</v>
      </c>
      <c r="D34" s="7" t="s">
        <v>100</v>
      </c>
      <c r="E34" s="9" t="s">
        <v>23</v>
      </c>
      <c r="F34" s="8" t="s">
        <v>29</v>
      </c>
      <c r="G34" s="8" t="s">
        <v>115</v>
      </c>
      <c r="H34" s="9" t="s">
        <v>116</v>
      </c>
      <c r="I34" s="29">
        <v>44226</v>
      </c>
      <c r="J34" s="30">
        <v>14</v>
      </c>
      <c r="K34" s="30">
        <v>283</v>
      </c>
      <c r="L34" s="30">
        <v>306</v>
      </c>
      <c r="M34" s="14">
        <f>((L34*59000)+(L34*59000)*10%)+8250+(0*150)</f>
        <v>19867650</v>
      </c>
      <c r="N34" s="14">
        <f t="shared" si="8"/>
        <v>370260</v>
      </c>
      <c r="O34" s="14">
        <f t="shared" si="9"/>
        <v>569161.20000000007</v>
      </c>
      <c r="P34" s="14">
        <f t="shared" si="10"/>
        <v>336600</v>
      </c>
      <c r="Q34" s="14">
        <f t="shared" si="6"/>
        <v>21143671.199999999</v>
      </c>
      <c r="R34" s="54">
        <v>204544493</v>
      </c>
      <c r="S34" s="55" t="s">
        <v>309</v>
      </c>
      <c r="T34" s="24" t="s">
        <v>27</v>
      </c>
    </row>
    <row r="35" spans="1:20" x14ac:dyDescent="0.25">
      <c r="A35" s="6">
        <v>34</v>
      </c>
      <c r="B35" s="22" t="s">
        <v>117</v>
      </c>
      <c r="C35" s="8" t="s">
        <v>29</v>
      </c>
      <c r="D35" s="7" t="s">
        <v>100</v>
      </c>
      <c r="E35" s="9" t="s">
        <v>23</v>
      </c>
      <c r="F35" s="8" t="s">
        <v>29</v>
      </c>
      <c r="G35" s="8" t="s">
        <v>115</v>
      </c>
      <c r="H35" s="9" t="s">
        <v>118</v>
      </c>
      <c r="I35" s="29">
        <v>44226</v>
      </c>
      <c r="J35" s="30">
        <v>10</v>
      </c>
      <c r="K35" s="30">
        <v>282</v>
      </c>
      <c r="L35" s="30">
        <v>301</v>
      </c>
      <c r="M35" s="14">
        <f>((L35*59000)+(L35*59000)*10%)+8250+(0*150)</f>
        <v>19543150</v>
      </c>
      <c r="N35" s="14">
        <f t="shared" si="8"/>
        <v>364210</v>
      </c>
      <c r="O35" s="14">
        <f t="shared" si="9"/>
        <v>559910.20000000007</v>
      </c>
      <c r="P35" s="14">
        <f t="shared" si="10"/>
        <v>331100</v>
      </c>
      <c r="Q35" s="14">
        <f t="shared" si="6"/>
        <v>20798370.199999999</v>
      </c>
      <c r="R35" s="54">
        <v>204544493</v>
      </c>
      <c r="S35" s="55" t="s">
        <v>309</v>
      </c>
      <c r="T35" s="24" t="s">
        <v>27</v>
      </c>
    </row>
    <row r="36" spans="1:20" x14ac:dyDescent="0.25">
      <c r="A36" s="6">
        <v>35</v>
      </c>
      <c r="B36" s="22" t="s">
        <v>119</v>
      </c>
      <c r="C36" s="8" t="s">
        <v>29</v>
      </c>
      <c r="D36" s="7" t="s">
        <v>100</v>
      </c>
      <c r="E36" s="9" t="s">
        <v>23</v>
      </c>
      <c r="F36" s="8" t="s">
        <v>29</v>
      </c>
      <c r="G36" s="8" t="s">
        <v>115</v>
      </c>
      <c r="H36" s="9" t="s">
        <v>118</v>
      </c>
      <c r="I36" s="29">
        <v>44226</v>
      </c>
      <c r="J36" s="30">
        <v>7</v>
      </c>
      <c r="K36" s="30">
        <v>198</v>
      </c>
      <c r="L36" s="30">
        <v>198</v>
      </c>
      <c r="M36" s="14">
        <f>((L36*59000)+(L36*59000)*10%)+8250+(0*150)</f>
        <v>12858450</v>
      </c>
      <c r="N36" s="14">
        <f t="shared" si="8"/>
        <v>239580</v>
      </c>
      <c r="O36" s="14">
        <f t="shared" si="9"/>
        <v>369339.60000000003</v>
      </c>
      <c r="P36" s="14">
        <f t="shared" si="10"/>
        <v>217800</v>
      </c>
      <c r="Q36" s="14">
        <f t="shared" si="6"/>
        <v>13685169.6</v>
      </c>
      <c r="R36" s="54">
        <v>204544493</v>
      </c>
      <c r="S36" s="55" t="s">
        <v>309</v>
      </c>
      <c r="T36" s="24" t="s">
        <v>27</v>
      </c>
    </row>
    <row r="37" spans="1:20" x14ac:dyDescent="0.25">
      <c r="A37" s="6">
        <v>36</v>
      </c>
      <c r="B37" s="22" t="s">
        <v>120</v>
      </c>
      <c r="C37" s="8" t="s">
        <v>29</v>
      </c>
      <c r="D37" s="7" t="s">
        <v>100</v>
      </c>
      <c r="E37" s="9" t="s">
        <v>23</v>
      </c>
      <c r="F37" s="8" t="s">
        <v>29</v>
      </c>
      <c r="G37" s="8" t="s">
        <v>54</v>
      </c>
      <c r="H37" s="9" t="s">
        <v>110</v>
      </c>
      <c r="I37" s="29">
        <v>44226</v>
      </c>
      <c r="J37" s="30">
        <v>11</v>
      </c>
      <c r="K37" s="30">
        <v>238</v>
      </c>
      <c r="L37" s="30">
        <v>238</v>
      </c>
      <c r="M37" s="14">
        <f>((L37*57000)+(L37*57000)*10%)+8250+(0*150)</f>
        <v>14930850</v>
      </c>
      <c r="N37" s="14">
        <f t="shared" si="8"/>
        <v>287980</v>
      </c>
      <c r="O37" s="14">
        <f t="shared" si="9"/>
        <v>443347.60000000003</v>
      </c>
      <c r="P37" s="14">
        <f t="shared" si="10"/>
        <v>261800</v>
      </c>
      <c r="Q37" s="14">
        <f t="shared" si="6"/>
        <v>15923977.6</v>
      </c>
      <c r="R37" s="54">
        <v>204544493</v>
      </c>
      <c r="S37" s="55" t="s">
        <v>309</v>
      </c>
      <c r="T37" s="24" t="s">
        <v>27</v>
      </c>
    </row>
    <row r="38" spans="1:20" x14ac:dyDescent="0.25">
      <c r="A38" s="6">
        <v>37</v>
      </c>
      <c r="B38" s="22" t="s">
        <v>121</v>
      </c>
      <c r="C38" s="8" t="s">
        <v>29</v>
      </c>
      <c r="D38" s="7" t="s">
        <v>100</v>
      </c>
      <c r="E38" s="9" t="s">
        <v>23</v>
      </c>
      <c r="F38" s="8" t="s">
        <v>29</v>
      </c>
      <c r="G38" s="8" t="s">
        <v>54</v>
      </c>
      <c r="H38" s="9" t="s">
        <v>110</v>
      </c>
      <c r="I38" s="29">
        <v>44226</v>
      </c>
      <c r="J38" s="30">
        <v>6</v>
      </c>
      <c r="K38" s="30">
        <v>155</v>
      </c>
      <c r="L38" s="30">
        <v>155</v>
      </c>
      <c r="M38" s="14">
        <f>((L38*57000)+(L38*57000)*10%)+8250+(0*150)</f>
        <v>9726750</v>
      </c>
      <c r="N38" s="14">
        <f t="shared" si="8"/>
        <v>187550</v>
      </c>
      <c r="O38" s="14">
        <f t="shared" si="9"/>
        <v>289781</v>
      </c>
      <c r="P38" s="14">
        <f t="shared" si="10"/>
        <v>170500</v>
      </c>
      <c r="Q38" s="14">
        <f t="shared" si="6"/>
        <v>10374581</v>
      </c>
      <c r="R38" s="54">
        <v>204544493</v>
      </c>
      <c r="S38" s="55" t="s">
        <v>309</v>
      </c>
      <c r="T38" s="24" t="s">
        <v>27</v>
      </c>
    </row>
    <row r="39" spans="1:20" x14ac:dyDescent="0.25">
      <c r="A39" s="6">
        <v>38</v>
      </c>
      <c r="B39" s="22" t="s">
        <v>122</v>
      </c>
      <c r="C39" s="8" t="s">
        <v>29</v>
      </c>
      <c r="D39" s="7" t="s">
        <v>100</v>
      </c>
      <c r="E39" s="9" t="s">
        <v>23</v>
      </c>
      <c r="F39" s="8" t="s">
        <v>29</v>
      </c>
      <c r="G39" s="8" t="s">
        <v>115</v>
      </c>
      <c r="H39" s="9" t="s">
        <v>118</v>
      </c>
      <c r="I39" s="29">
        <v>44226</v>
      </c>
      <c r="J39" s="30">
        <v>3</v>
      </c>
      <c r="K39" s="30">
        <v>61</v>
      </c>
      <c r="L39" s="30">
        <v>61</v>
      </c>
      <c r="M39" s="14">
        <f>((L39*59000)+(L39*59000)*10%)+8250+(0*150)</f>
        <v>3967150</v>
      </c>
      <c r="N39" s="14">
        <f t="shared" si="8"/>
        <v>73810</v>
      </c>
      <c r="O39" s="14">
        <f t="shared" si="9"/>
        <v>115862.2</v>
      </c>
      <c r="P39" s="14">
        <f t="shared" si="10"/>
        <v>67100</v>
      </c>
      <c r="Q39" s="14">
        <f t="shared" si="6"/>
        <v>4223922.2</v>
      </c>
      <c r="R39" s="54">
        <v>204544493</v>
      </c>
      <c r="S39" s="55" t="s">
        <v>309</v>
      </c>
      <c r="T39" s="24" t="s">
        <v>27</v>
      </c>
    </row>
    <row r="40" spans="1:20" x14ac:dyDescent="0.25">
      <c r="A40" s="6">
        <v>39</v>
      </c>
      <c r="B40" s="22" t="s">
        <v>123</v>
      </c>
      <c r="C40" s="8" t="s">
        <v>29</v>
      </c>
      <c r="D40" s="7" t="s">
        <v>100</v>
      </c>
      <c r="E40" s="9" t="s">
        <v>23</v>
      </c>
      <c r="F40" s="8" t="s">
        <v>29</v>
      </c>
      <c r="G40" s="8" t="s">
        <v>109</v>
      </c>
      <c r="H40" s="9" t="s">
        <v>110</v>
      </c>
      <c r="I40" s="29">
        <v>44227</v>
      </c>
      <c r="J40" s="30">
        <v>1</v>
      </c>
      <c r="K40" s="30">
        <v>20</v>
      </c>
      <c r="L40" s="30">
        <v>21</v>
      </c>
      <c r="M40" s="14">
        <f>((L40*36000)+(L40*36000)*10%)+8250+(0*150)</f>
        <v>839850</v>
      </c>
      <c r="N40" s="14">
        <f t="shared" si="8"/>
        <v>25410</v>
      </c>
      <c r="O40" s="14">
        <f t="shared" si="9"/>
        <v>41854.200000000004</v>
      </c>
      <c r="P40" s="14">
        <f t="shared" si="10"/>
        <v>23100</v>
      </c>
      <c r="Q40" s="14">
        <f t="shared" si="6"/>
        <v>930214.2</v>
      </c>
      <c r="R40" s="15">
        <v>204544493</v>
      </c>
      <c r="S40" s="55" t="s">
        <v>309</v>
      </c>
      <c r="T40" s="24" t="s">
        <v>27</v>
      </c>
    </row>
    <row r="41" spans="1:20" x14ac:dyDescent="0.25">
      <c r="Q41" s="48"/>
      <c r="R41" s="48"/>
    </row>
    <row r="42" spans="1:20" x14ac:dyDescent="0.25">
      <c r="L42">
        <f>SUBTOTAL(9,L2:L41)</f>
        <v>3906</v>
      </c>
      <c r="Q42" s="48"/>
      <c r="R42" s="48"/>
    </row>
  </sheetData>
  <autoFilter ref="A1:T41"/>
  <mergeCells count="14">
    <mergeCell ref="R3:R7"/>
    <mergeCell ref="S3:S7"/>
    <mergeCell ref="R10:R17"/>
    <mergeCell ref="S10:S17"/>
    <mergeCell ref="T10:T17"/>
    <mergeCell ref="R25:R26"/>
    <mergeCell ref="S25:S26"/>
    <mergeCell ref="T25:T26"/>
    <mergeCell ref="R18:R19"/>
    <mergeCell ref="S18:S19"/>
    <mergeCell ref="T18:T19"/>
    <mergeCell ref="R20:R24"/>
    <mergeCell ref="S20:S24"/>
    <mergeCell ref="T20:T24"/>
  </mergeCells>
  <pageMargins left="0.7" right="0.7" top="0.75" bottom="0.75" header="0.3" footer="0.3"/>
  <pageSetup scale="5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showGridLines="0" topLeftCell="N1" workbookViewId="0">
      <selection activeCell="R7" sqref="R7"/>
    </sheetView>
  </sheetViews>
  <sheetFormatPr defaultRowHeight="15" x14ac:dyDescent="0.25"/>
  <cols>
    <col min="2" max="2" width="17.7109375" bestFit="1" customWidth="1"/>
    <col min="5" max="5" width="10.5703125" bestFit="1" customWidth="1"/>
    <col min="9" max="9" width="17.7109375" bestFit="1" customWidth="1"/>
    <col min="12" max="12" width="10.5703125" bestFit="1" customWidth="1"/>
    <col min="14" max="14" width="3.5703125" bestFit="1" customWidth="1"/>
    <col min="15" max="15" width="17.7109375" bestFit="1" customWidth="1"/>
    <col min="18" max="18" width="11.85546875" bestFit="1" customWidth="1"/>
    <col min="20" max="20" width="3.5703125" bestFit="1" customWidth="1"/>
    <col min="21" max="21" width="17.7109375" bestFit="1" customWidth="1"/>
    <col min="24" max="24" width="10.5703125" bestFit="1" customWidth="1"/>
    <col min="26" max="26" width="3.5703125" bestFit="1" customWidth="1"/>
    <col min="27" max="27" width="17.7109375" bestFit="1" customWidth="1"/>
    <col min="30" max="30" width="10.5703125" bestFit="1" customWidth="1"/>
  </cols>
  <sheetData>
    <row r="1" spans="1:30" x14ac:dyDescent="0.25">
      <c r="A1" s="223" t="s">
        <v>761</v>
      </c>
      <c r="B1" s="223"/>
      <c r="C1" s="223"/>
      <c r="D1" s="223"/>
      <c r="E1" s="223"/>
      <c r="H1" s="223" t="s">
        <v>762</v>
      </c>
      <c r="I1" s="223"/>
      <c r="J1" s="223"/>
      <c r="K1" s="223"/>
      <c r="L1" s="223"/>
      <c r="N1" s="223" t="s">
        <v>761</v>
      </c>
      <c r="O1" s="223"/>
      <c r="P1" s="223"/>
      <c r="Q1" s="223"/>
      <c r="R1" s="223"/>
      <c r="T1" s="223" t="s">
        <v>895</v>
      </c>
      <c r="U1" s="223"/>
      <c r="V1" s="223"/>
      <c r="W1" s="223"/>
      <c r="X1" s="223"/>
      <c r="Z1" s="223" t="s">
        <v>761</v>
      </c>
      <c r="AA1" s="223"/>
      <c r="AB1" s="223"/>
      <c r="AC1" s="223"/>
      <c r="AD1" s="223"/>
    </row>
    <row r="2" spans="1:30" x14ac:dyDescent="0.25">
      <c r="A2" s="224" t="s">
        <v>763</v>
      </c>
      <c r="B2" s="224"/>
      <c r="C2" s="224"/>
      <c r="D2" s="224"/>
      <c r="E2" s="224"/>
      <c r="H2" s="224" t="s">
        <v>763</v>
      </c>
      <c r="I2" s="224"/>
      <c r="J2" s="224"/>
      <c r="K2" s="224"/>
      <c r="L2" s="224"/>
      <c r="N2" s="224" t="s">
        <v>763</v>
      </c>
      <c r="O2" s="224"/>
      <c r="P2" s="224"/>
      <c r="Q2" s="224"/>
      <c r="R2" s="224"/>
      <c r="T2" s="224" t="s">
        <v>763</v>
      </c>
      <c r="U2" s="224"/>
      <c r="V2" s="224"/>
      <c r="W2" s="224"/>
      <c r="X2" s="224"/>
      <c r="Z2" s="224" t="s">
        <v>763</v>
      </c>
      <c r="AA2" s="224"/>
      <c r="AB2" s="224"/>
      <c r="AC2" s="224"/>
      <c r="AD2" s="224"/>
    </row>
    <row r="3" spans="1:30" x14ac:dyDescent="0.25">
      <c r="A3" s="39" t="s">
        <v>764</v>
      </c>
      <c r="B3" s="39" t="s">
        <v>765</v>
      </c>
      <c r="C3" s="39" t="s">
        <v>766</v>
      </c>
      <c r="D3" s="39" t="s">
        <v>767</v>
      </c>
      <c r="E3" s="39" t="s">
        <v>768</v>
      </c>
      <c r="H3" s="39" t="s">
        <v>764</v>
      </c>
      <c r="I3" s="39" t="s">
        <v>765</v>
      </c>
      <c r="J3" s="39" t="s">
        <v>766</v>
      </c>
      <c r="K3" s="39" t="s">
        <v>767</v>
      </c>
      <c r="L3" s="39" t="s">
        <v>768</v>
      </c>
      <c r="N3" s="39" t="s">
        <v>764</v>
      </c>
      <c r="O3" s="39" t="s">
        <v>765</v>
      </c>
      <c r="P3" s="39" t="s">
        <v>766</v>
      </c>
      <c r="Q3" s="39" t="s">
        <v>767</v>
      </c>
      <c r="R3" s="39" t="s">
        <v>768</v>
      </c>
      <c r="T3" s="39" t="s">
        <v>764</v>
      </c>
      <c r="U3" s="39" t="s">
        <v>765</v>
      </c>
      <c r="V3" s="39" t="s">
        <v>766</v>
      </c>
      <c r="W3" s="39" t="s">
        <v>767</v>
      </c>
      <c r="X3" s="39" t="s">
        <v>768</v>
      </c>
      <c r="Z3" s="39" t="s">
        <v>764</v>
      </c>
      <c r="AA3" s="39" t="s">
        <v>765</v>
      </c>
      <c r="AB3" s="39" t="s">
        <v>766</v>
      </c>
      <c r="AC3" s="39" t="s">
        <v>767</v>
      </c>
      <c r="AD3" s="39" t="s">
        <v>768</v>
      </c>
    </row>
    <row r="4" spans="1:30" x14ac:dyDescent="0.25">
      <c r="A4" s="39">
        <v>1</v>
      </c>
      <c r="B4" s="39" t="s">
        <v>769</v>
      </c>
      <c r="C4" s="132">
        <v>46</v>
      </c>
      <c r="D4" s="132">
        <v>16667</v>
      </c>
      <c r="E4" s="132">
        <f>D4*C4</f>
        <v>766682</v>
      </c>
      <c r="H4" s="39">
        <v>1</v>
      </c>
      <c r="I4" s="39" t="s">
        <v>769</v>
      </c>
      <c r="J4" s="132">
        <v>29</v>
      </c>
      <c r="K4" s="132">
        <v>17262</v>
      </c>
      <c r="L4" s="132">
        <f>K4*J4</f>
        <v>500598</v>
      </c>
      <c r="N4" s="39">
        <v>1</v>
      </c>
      <c r="O4" s="39" t="s">
        <v>769</v>
      </c>
      <c r="P4" s="132">
        <v>108</v>
      </c>
      <c r="Q4" s="132">
        <v>16667</v>
      </c>
      <c r="R4" s="132">
        <f>Q4*P4</f>
        <v>1800036</v>
      </c>
      <c r="T4" s="39">
        <v>1</v>
      </c>
      <c r="U4" s="39" t="s">
        <v>896</v>
      </c>
      <c r="V4" s="132">
        <v>69</v>
      </c>
      <c r="W4" s="132">
        <v>22212</v>
      </c>
      <c r="X4" s="132">
        <f>W4*V4</f>
        <v>1532628</v>
      </c>
      <c r="Z4" s="39">
        <v>1</v>
      </c>
      <c r="AA4" s="39" t="s">
        <v>769</v>
      </c>
      <c r="AB4" s="132">
        <v>115</v>
      </c>
      <c r="AC4" s="132">
        <v>16667</v>
      </c>
      <c r="AD4" s="132">
        <f>AC4*AB4</f>
        <v>1916705</v>
      </c>
    </row>
    <row r="5" spans="1:30" x14ac:dyDescent="0.25">
      <c r="A5" s="39">
        <v>2</v>
      </c>
      <c r="B5" s="39" t="s">
        <v>770</v>
      </c>
      <c r="C5" s="132">
        <v>1</v>
      </c>
      <c r="D5" s="132">
        <v>20000</v>
      </c>
      <c r="E5" s="132">
        <f>D5*C5</f>
        <v>20000</v>
      </c>
      <c r="H5" s="39">
        <v>2</v>
      </c>
      <c r="I5" s="39" t="s">
        <v>770</v>
      </c>
      <c r="J5" s="132">
        <v>1</v>
      </c>
      <c r="K5" s="132">
        <v>20000</v>
      </c>
      <c r="L5" s="132">
        <f>K5*J5</f>
        <v>20000</v>
      </c>
      <c r="N5" s="39">
        <v>2</v>
      </c>
      <c r="O5" s="39" t="s">
        <v>770</v>
      </c>
      <c r="P5" s="132">
        <v>1</v>
      </c>
      <c r="Q5" s="132">
        <v>20000</v>
      </c>
      <c r="R5" s="132">
        <f>Q5*P5</f>
        <v>20000</v>
      </c>
      <c r="T5" s="39">
        <v>2</v>
      </c>
      <c r="U5" s="39" t="s">
        <v>770</v>
      </c>
      <c r="V5" s="132">
        <v>1</v>
      </c>
      <c r="W5" s="132">
        <v>20000</v>
      </c>
      <c r="X5" s="132">
        <f>W5*V5</f>
        <v>20000</v>
      </c>
      <c r="Z5" s="39">
        <v>2</v>
      </c>
      <c r="AA5" s="39" t="s">
        <v>770</v>
      </c>
      <c r="AB5" s="132">
        <v>1</v>
      </c>
      <c r="AC5" s="132">
        <v>20000</v>
      </c>
      <c r="AD5" s="132">
        <f>AC5*AB5</f>
        <v>20000</v>
      </c>
    </row>
    <row r="6" spans="1:30" x14ac:dyDescent="0.25">
      <c r="A6" s="39">
        <v>3</v>
      </c>
      <c r="B6" s="39" t="s">
        <v>771</v>
      </c>
      <c r="C6" s="132">
        <v>1</v>
      </c>
      <c r="D6" s="132">
        <v>5000</v>
      </c>
      <c r="E6" s="132">
        <f>D6*C6</f>
        <v>5000</v>
      </c>
      <c r="H6" s="39">
        <v>3</v>
      </c>
      <c r="I6" s="39" t="s">
        <v>771</v>
      </c>
      <c r="J6" s="132">
        <v>1</v>
      </c>
      <c r="K6" s="132">
        <v>5000</v>
      </c>
      <c r="L6" s="132">
        <f>K6*J6</f>
        <v>5000</v>
      </c>
      <c r="N6" s="39">
        <v>3</v>
      </c>
      <c r="O6" s="39" t="s">
        <v>771</v>
      </c>
      <c r="P6" s="132">
        <v>1</v>
      </c>
      <c r="Q6" s="132">
        <v>5000</v>
      </c>
      <c r="R6" s="132">
        <f>Q6*P6</f>
        <v>5000</v>
      </c>
      <c r="T6" s="39">
        <v>3</v>
      </c>
      <c r="U6" s="39" t="s">
        <v>771</v>
      </c>
      <c r="V6" s="132">
        <v>1</v>
      </c>
      <c r="W6" s="132">
        <v>5000</v>
      </c>
      <c r="X6" s="132">
        <f>W6*V6</f>
        <v>5000</v>
      </c>
      <c r="Z6" s="39">
        <v>3</v>
      </c>
      <c r="AA6" s="39" t="s">
        <v>771</v>
      </c>
      <c r="AB6" s="132">
        <v>1</v>
      </c>
      <c r="AC6" s="132">
        <v>5000</v>
      </c>
      <c r="AD6" s="132">
        <f>AC6*AB6</f>
        <v>5000</v>
      </c>
    </row>
    <row r="7" spans="1:30" x14ac:dyDescent="0.25">
      <c r="A7" s="39"/>
      <c r="B7" s="223" t="s">
        <v>772</v>
      </c>
      <c r="C7" s="223"/>
      <c r="D7" s="223"/>
      <c r="E7" s="133">
        <f>SUM(E4:E6)</f>
        <v>791682</v>
      </c>
      <c r="H7" s="39"/>
      <c r="I7" s="223" t="s">
        <v>772</v>
      </c>
      <c r="J7" s="223"/>
      <c r="K7" s="223"/>
      <c r="L7" s="133">
        <f>SUM(L4:L6)</f>
        <v>525598</v>
      </c>
      <c r="N7" s="39"/>
      <c r="O7" s="223" t="s">
        <v>772</v>
      </c>
      <c r="P7" s="223"/>
      <c r="Q7" s="223"/>
      <c r="R7" s="132">
        <f>SUM(R4:R6)</f>
        <v>1825036</v>
      </c>
      <c r="T7" s="39"/>
      <c r="U7" s="223" t="s">
        <v>772</v>
      </c>
      <c r="V7" s="223"/>
      <c r="W7" s="223"/>
      <c r="X7" s="132">
        <f>SUM(X4:X6)</f>
        <v>1557628</v>
      </c>
      <c r="Z7" s="39"/>
      <c r="AA7" s="223" t="s">
        <v>772</v>
      </c>
      <c r="AB7" s="223"/>
      <c r="AC7" s="223"/>
      <c r="AD7" s="132">
        <f>SUM(AD4:AD6)</f>
        <v>1941705</v>
      </c>
    </row>
    <row r="8" spans="1:30" x14ac:dyDescent="0.25">
      <c r="A8" t="s">
        <v>773</v>
      </c>
      <c r="E8" s="78">
        <f>E7+L7</f>
        <v>1317280</v>
      </c>
      <c r="N8" s="155" t="s">
        <v>774</v>
      </c>
      <c r="R8" s="155" t="s">
        <v>94</v>
      </c>
      <c r="T8" s="155" t="s">
        <v>774</v>
      </c>
      <c r="X8" s="155" t="s">
        <v>94</v>
      </c>
      <c r="Z8" s="155" t="s">
        <v>774</v>
      </c>
      <c r="AD8" s="155" t="s">
        <v>775</v>
      </c>
    </row>
    <row r="9" spans="1:30" x14ac:dyDescent="0.25">
      <c r="A9" t="s">
        <v>774</v>
      </c>
      <c r="E9" s="135" t="s">
        <v>775</v>
      </c>
    </row>
    <row r="10" spans="1:30" x14ac:dyDescent="0.25">
      <c r="A10" t="s">
        <v>776</v>
      </c>
      <c r="E10" s="134">
        <v>1318000</v>
      </c>
    </row>
    <row r="12" spans="1:30" x14ac:dyDescent="0.25">
      <c r="A12" s="223" t="s">
        <v>1032</v>
      </c>
      <c r="B12" s="223"/>
      <c r="C12" s="223"/>
      <c r="D12" s="223"/>
      <c r="E12" s="223"/>
      <c r="H12" s="223" t="s">
        <v>761</v>
      </c>
      <c r="I12" s="223"/>
      <c r="J12" s="223"/>
      <c r="K12" s="223"/>
      <c r="L12" s="223"/>
    </row>
    <row r="13" spans="1:30" x14ac:dyDescent="0.25">
      <c r="A13" s="224" t="s">
        <v>763</v>
      </c>
      <c r="B13" s="224"/>
      <c r="C13" s="224"/>
      <c r="D13" s="224"/>
      <c r="E13" s="224"/>
      <c r="H13" s="224" t="s">
        <v>763</v>
      </c>
      <c r="I13" s="224"/>
      <c r="J13" s="224"/>
      <c r="K13" s="224"/>
      <c r="L13" s="224"/>
    </row>
    <row r="14" spans="1:30" x14ac:dyDescent="0.25">
      <c r="A14" s="39" t="s">
        <v>764</v>
      </c>
      <c r="B14" s="39" t="s">
        <v>765</v>
      </c>
      <c r="C14" s="39" t="s">
        <v>766</v>
      </c>
      <c r="D14" s="39" t="s">
        <v>767</v>
      </c>
      <c r="E14" s="39" t="s">
        <v>768</v>
      </c>
      <c r="H14" s="39" t="s">
        <v>764</v>
      </c>
      <c r="I14" s="39" t="s">
        <v>765</v>
      </c>
      <c r="J14" s="39" t="s">
        <v>766</v>
      </c>
      <c r="K14" s="39" t="s">
        <v>767</v>
      </c>
      <c r="L14" s="39" t="s">
        <v>768</v>
      </c>
    </row>
    <row r="15" spans="1:30" x14ac:dyDescent="0.25">
      <c r="A15" s="39">
        <v>1</v>
      </c>
      <c r="B15" s="39" t="s">
        <v>769</v>
      </c>
      <c r="C15" s="132">
        <v>358</v>
      </c>
      <c r="D15" s="132">
        <v>17000</v>
      </c>
      <c r="E15" s="132">
        <f>D15*C15</f>
        <v>6086000</v>
      </c>
      <c r="H15" s="39">
        <v>1</v>
      </c>
      <c r="I15" s="39" t="s">
        <v>769</v>
      </c>
      <c r="J15" s="132">
        <v>118</v>
      </c>
      <c r="K15" s="132">
        <v>17000</v>
      </c>
      <c r="L15" s="132">
        <f>K15*J15</f>
        <v>2006000</v>
      </c>
    </row>
    <row r="16" spans="1:30" x14ac:dyDescent="0.25">
      <c r="A16" s="39">
        <v>2</v>
      </c>
      <c r="B16" s="39" t="s">
        <v>770</v>
      </c>
      <c r="C16" s="132">
        <v>1</v>
      </c>
      <c r="D16" s="132">
        <v>20000</v>
      </c>
      <c r="E16" s="132">
        <f>D16*C16</f>
        <v>20000</v>
      </c>
      <c r="H16" s="39">
        <v>2</v>
      </c>
      <c r="I16" s="39" t="s">
        <v>770</v>
      </c>
      <c r="J16" s="132">
        <v>1</v>
      </c>
      <c r="K16" s="132">
        <v>20000</v>
      </c>
      <c r="L16" s="132">
        <f>K16*J16</f>
        <v>20000</v>
      </c>
    </row>
    <row r="17" spans="1:12" x14ac:dyDescent="0.25">
      <c r="A17" s="39">
        <v>3</v>
      </c>
      <c r="B17" s="39" t="s">
        <v>771</v>
      </c>
      <c r="C17" s="132">
        <v>1</v>
      </c>
      <c r="D17" s="132">
        <v>8250</v>
      </c>
      <c r="E17" s="132">
        <f>D17*C17</f>
        <v>8250</v>
      </c>
      <c r="H17" s="39">
        <v>3</v>
      </c>
      <c r="I17" s="39" t="s">
        <v>771</v>
      </c>
      <c r="J17" s="132">
        <v>1</v>
      </c>
      <c r="K17" s="132">
        <v>5000</v>
      </c>
      <c r="L17" s="132">
        <f>K17*J17</f>
        <v>5000</v>
      </c>
    </row>
    <row r="18" spans="1:12" x14ac:dyDescent="0.25">
      <c r="A18" s="39"/>
      <c r="B18" s="223" t="s">
        <v>772</v>
      </c>
      <c r="C18" s="223"/>
      <c r="D18" s="223"/>
      <c r="E18" s="133">
        <f>SUM(E15:E17)</f>
        <v>6114250</v>
      </c>
      <c r="H18" s="39"/>
      <c r="I18" s="223" t="s">
        <v>772</v>
      </c>
      <c r="J18" s="223"/>
      <c r="K18" s="223"/>
      <c r="L18" s="133">
        <f>SUM(L15:L17)</f>
        <v>2031000</v>
      </c>
    </row>
    <row r="19" spans="1:12" x14ac:dyDescent="0.25">
      <c r="A19" s="155" t="s">
        <v>774</v>
      </c>
      <c r="E19" s="155" t="s">
        <v>94</v>
      </c>
      <c r="H19" s="155" t="s">
        <v>774</v>
      </c>
      <c r="L19" s="155" t="s">
        <v>775</v>
      </c>
    </row>
  </sheetData>
  <mergeCells count="21">
    <mergeCell ref="A12:E12"/>
    <mergeCell ref="A13:E13"/>
    <mergeCell ref="B18:D18"/>
    <mergeCell ref="O7:Q7"/>
    <mergeCell ref="U7:W7"/>
    <mergeCell ref="H12:L12"/>
    <mergeCell ref="H13:L13"/>
    <mergeCell ref="I18:K18"/>
    <mergeCell ref="AA7:AC7"/>
    <mergeCell ref="N1:R1"/>
    <mergeCell ref="T1:X1"/>
    <mergeCell ref="Z1:AD1"/>
    <mergeCell ref="N2:R2"/>
    <mergeCell ref="T2:X2"/>
    <mergeCell ref="Z2:AD2"/>
    <mergeCell ref="A1:E1"/>
    <mergeCell ref="H1:L1"/>
    <mergeCell ref="A2:E2"/>
    <mergeCell ref="H2:L2"/>
    <mergeCell ref="B7:D7"/>
    <mergeCell ref="I7:K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34"/>
  <sheetViews>
    <sheetView topLeftCell="A13" workbookViewId="0">
      <selection activeCell="C18" sqref="C18"/>
    </sheetView>
  </sheetViews>
  <sheetFormatPr defaultRowHeight="15" x14ac:dyDescent="0.25"/>
  <cols>
    <col min="2" max="2" width="25.140625" bestFit="1" customWidth="1"/>
    <col min="3" max="3" width="28.42578125" bestFit="1" customWidth="1"/>
    <col min="4" max="4" width="11.28515625" customWidth="1"/>
    <col min="5" max="5" width="13.7109375" bestFit="1" customWidth="1"/>
    <col min="6" max="6" width="12" bestFit="1" customWidth="1"/>
    <col min="7" max="7" width="13.7109375" bestFit="1" customWidth="1"/>
    <col min="8" max="8" width="13.85546875" bestFit="1" customWidth="1"/>
    <col min="9" max="9" width="12" bestFit="1" customWidth="1"/>
  </cols>
  <sheetData>
    <row r="5" spans="2:10" x14ac:dyDescent="0.25">
      <c r="B5" s="225" t="s">
        <v>897</v>
      </c>
      <c r="C5" s="225"/>
      <c r="D5" s="225"/>
      <c r="E5" s="225"/>
      <c r="F5" s="225"/>
      <c r="G5" s="225"/>
      <c r="H5" s="225"/>
      <c r="I5" s="225"/>
    </row>
    <row r="6" spans="2:10" x14ac:dyDescent="0.25">
      <c r="B6" s="161" t="s">
        <v>898</v>
      </c>
      <c r="C6" s="161" t="s">
        <v>899</v>
      </c>
      <c r="D6" s="161"/>
      <c r="E6" s="161"/>
      <c r="F6" s="161"/>
      <c r="G6" s="161" t="s">
        <v>900</v>
      </c>
      <c r="H6" s="161" t="s">
        <v>901</v>
      </c>
      <c r="I6" s="161"/>
    </row>
    <row r="7" spans="2:10" ht="15.75" thickBot="1" x14ac:dyDescent="0.3">
      <c r="B7" s="162" t="s">
        <v>902</v>
      </c>
      <c r="C7" s="162" t="s">
        <v>903</v>
      </c>
      <c r="D7" s="162"/>
      <c r="E7" s="162"/>
      <c r="F7" s="162"/>
      <c r="G7" s="162" t="s">
        <v>904</v>
      </c>
      <c r="H7" s="163">
        <v>44404</v>
      </c>
      <c r="I7" s="162"/>
    </row>
    <row r="8" spans="2:10" ht="28.5" customHeight="1" thickBot="1" x14ac:dyDescent="0.3">
      <c r="B8" s="226" t="s">
        <v>905</v>
      </c>
      <c r="C8" s="227"/>
      <c r="D8" s="164" t="s">
        <v>906</v>
      </c>
      <c r="E8" s="164" t="s">
        <v>907</v>
      </c>
      <c r="F8" s="164" t="s">
        <v>908</v>
      </c>
      <c r="G8" s="164" t="s">
        <v>909</v>
      </c>
      <c r="H8" s="164" t="s">
        <v>910</v>
      </c>
      <c r="I8" s="164" t="s">
        <v>911</v>
      </c>
    </row>
    <row r="9" spans="2:10" x14ac:dyDescent="0.25">
      <c r="B9" s="158" t="s">
        <v>916</v>
      </c>
      <c r="C9" s="158" t="s">
        <v>912</v>
      </c>
      <c r="D9" s="159">
        <v>1</v>
      </c>
      <c r="E9" s="160">
        <v>56.25</v>
      </c>
      <c r="F9" s="160">
        <v>45</v>
      </c>
      <c r="G9" s="160">
        <v>56.25</v>
      </c>
      <c r="H9" s="160">
        <v>45</v>
      </c>
      <c r="I9" s="160">
        <v>11.25</v>
      </c>
    </row>
    <row r="10" spans="2:10" x14ac:dyDescent="0.25">
      <c r="B10" s="39" t="s">
        <v>917</v>
      </c>
      <c r="C10" s="39" t="s">
        <v>913</v>
      </c>
      <c r="D10" s="156">
        <v>547</v>
      </c>
      <c r="E10" s="157">
        <v>0.15</v>
      </c>
      <c r="F10" s="157">
        <v>0.1</v>
      </c>
      <c r="G10" s="157">
        <v>82.05</v>
      </c>
      <c r="H10" s="157">
        <v>54.7</v>
      </c>
      <c r="I10" s="157">
        <v>27.349999999999994</v>
      </c>
    </row>
    <row r="11" spans="2:10" x14ac:dyDescent="0.25">
      <c r="B11" s="39" t="s">
        <v>918</v>
      </c>
      <c r="C11" s="39" t="s">
        <v>919</v>
      </c>
      <c r="D11" s="156">
        <v>1</v>
      </c>
      <c r="E11" s="157">
        <v>45</v>
      </c>
      <c r="F11" s="157">
        <v>35</v>
      </c>
      <c r="G11" s="157">
        <v>45</v>
      </c>
      <c r="H11" s="157">
        <v>35</v>
      </c>
      <c r="I11" s="157">
        <v>10</v>
      </c>
    </row>
    <row r="12" spans="2:10" x14ac:dyDescent="0.25">
      <c r="B12" s="39" t="s">
        <v>920</v>
      </c>
      <c r="C12" s="39" t="s">
        <v>919</v>
      </c>
      <c r="D12" s="156">
        <v>1</v>
      </c>
      <c r="E12" s="157">
        <v>31.25</v>
      </c>
      <c r="F12" s="157">
        <v>25</v>
      </c>
      <c r="G12" s="157">
        <v>31.25</v>
      </c>
      <c r="H12" s="157">
        <v>25</v>
      </c>
      <c r="I12" s="157">
        <v>6.25</v>
      </c>
    </row>
    <row r="13" spans="2:10" x14ac:dyDescent="0.25">
      <c r="B13" s="39" t="s">
        <v>921</v>
      </c>
      <c r="C13" s="39" t="s">
        <v>922</v>
      </c>
      <c r="D13" s="156">
        <v>0</v>
      </c>
      <c r="E13" s="157">
        <v>0.5625</v>
      </c>
      <c r="F13" s="157">
        <v>0.44999999999999996</v>
      </c>
      <c r="G13" s="157">
        <v>0</v>
      </c>
      <c r="H13" s="157">
        <v>0</v>
      </c>
      <c r="I13" s="157">
        <v>0</v>
      </c>
      <c r="J13" t="s">
        <v>914</v>
      </c>
    </row>
    <row r="14" spans="2:10" x14ac:dyDescent="0.25">
      <c r="B14" s="39" t="s">
        <v>923</v>
      </c>
      <c r="C14" s="39" t="s">
        <v>919</v>
      </c>
      <c r="D14" s="156">
        <v>1</v>
      </c>
      <c r="E14" s="157">
        <v>25</v>
      </c>
      <c r="F14" s="157">
        <v>20</v>
      </c>
      <c r="G14" s="157">
        <v>25</v>
      </c>
      <c r="H14" s="157">
        <v>20</v>
      </c>
      <c r="I14" s="157">
        <v>5</v>
      </c>
    </row>
    <row r="15" spans="2:10" x14ac:dyDescent="0.25">
      <c r="B15" s="39" t="s">
        <v>924</v>
      </c>
      <c r="C15" s="39" t="s">
        <v>922</v>
      </c>
      <c r="D15" s="156">
        <v>1</v>
      </c>
      <c r="E15" s="157">
        <v>0</v>
      </c>
      <c r="F15" s="157">
        <v>0</v>
      </c>
      <c r="G15" s="157">
        <v>0</v>
      </c>
      <c r="H15" s="157">
        <v>0</v>
      </c>
      <c r="I15" s="157">
        <v>0</v>
      </c>
    </row>
    <row r="16" spans="2:10" x14ac:dyDescent="0.25">
      <c r="B16" s="39" t="s">
        <v>925</v>
      </c>
      <c r="C16" s="39" t="s">
        <v>926</v>
      </c>
      <c r="D16" s="156">
        <v>1</v>
      </c>
      <c r="E16" s="157">
        <v>312.5</v>
      </c>
      <c r="F16" s="157">
        <v>216.66666666666666</v>
      </c>
      <c r="G16" s="157">
        <v>312.5</v>
      </c>
      <c r="H16" s="157">
        <v>216.66666666666666</v>
      </c>
      <c r="I16" s="157">
        <v>95.833333333333343</v>
      </c>
    </row>
    <row r="17" spans="2:9" x14ac:dyDescent="0.25">
      <c r="B17" s="39" t="s">
        <v>927</v>
      </c>
      <c r="C17" s="39" t="s">
        <v>928</v>
      </c>
      <c r="D17" s="156">
        <v>597</v>
      </c>
      <c r="E17" s="157">
        <v>4.5599999999999996</v>
      </c>
      <c r="F17" s="157">
        <v>3.65</v>
      </c>
      <c r="G17" s="157">
        <v>2722.3199999999997</v>
      </c>
      <c r="H17" s="157">
        <v>2179.0499999999997</v>
      </c>
      <c r="I17" s="157">
        <v>543.27</v>
      </c>
    </row>
    <row r="18" spans="2:9" x14ac:dyDescent="0.25">
      <c r="B18" s="39" t="s">
        <v>929</v>
      </c>
      <c r="C18" s="39" t="s">
        <v>926</v>
      </c>
      <c r="D18" s="156">
        <v>1</v>
      </c>
      <c r="E18" s="157">
        <v>331.25</v>
      </c>
      <c r="F18" s="157">
        <v>265</v>
      </c>
      <c r="G18" s="157">
        <v>331.25</v>
      </c>
      <c r="H18" s="157">
        <v>265</v>
      </c>
      <c r="I18" s="157">
        <v>66.25</v>
      </c>
    </row>
    <row r="19" spans="2:9" x14ac:dyDescent="0.25">
      <c r="B19" s="39" t="s">
        <v>930</v>
      </c>
      <c r="C19" s="39" t="s">
        <v>919</v>
      </c>
      <c r="D19" s="156">
        <v>1</v>
      </c>
      <c r="E19" s="157">
        <v>93.75</v>
      </c>
      <c r="F19" s="157">
        <v>75</v>
      </c>
      <c r="G19" s="157">
        <v>93.75</v>
      </c>
      <c r="H19" s="157">
        <v>75</v>
      </c>
      <c r="I19" s="157">
        <v>18.75</v>
      </c>
    </row>
    <row r="20" spans="2:9" x14ac:dyDescent="0.25">
      <c r="B20" s="39" t="s">
        <v>931</v>
      </c>
      <c r="C20" s="39" t="s">
        <v>919</v>
      </c>
      <c r="D20" s="156">
        <v>1</v>
      </c>
      <c r="E20" s="157">
        <v>345</v>
      </c>
      <c r="F20" s="157">
        <v>275</v>
      </c>
      <c r="G20" s="157">
        <v>345</v>
      </c>
      <c r="H20" s="157">
        <v>275</v>
      </c>
      <c r="I20" s="157">
        <v>70</v>
      </c>
    </row>
    <row r="21" spans="2:9" x14ac:dyDescent="0.25">
      <c r="B21" s="39" t="s">
        <v>932</v>
      </c>
      <c r="C21" s="39" t="s">
        <v>928</v>
      </c>
      <c r="D21" s="156">
        <v>597</v>
      </c>
      <c r="E21" s="157">
        <v>0.94</v>
      </c>
      <c r="F21" s="157">
        <v>0.75</v>
      </c>
      <c r="G21" s="157">
        <v>561.17999999999995</v>
      </c>
      <c r="H21" s="157">
        <v>447.75</v>
      </c>
      <c r="I21" s="157">
        <v>113.42999999999995</v>
      </c>
    </row>
    <row r="22" spans="2:9" x14ac:dyDescent="0.25">
      <c r="B22" s="39" t="s">
        <v>933</v>
      </c>
      <c r="C22" s="39" t="s">
        <v>919</v>
      </c>
      <c r="D22" s="156">
        <v>1</v>
      </c>
      <c r="E22" s="157">
        <v>56.25</v>
      </c>
      <c r="F22" s="157">
        <v>45</v>
      </c>
      <c r="G22" s="157">
        <v>56.25</v>
      </c>
      <c r="H22" s="157">
        <v>45</v>
      </c>
      <c r="I22" s="157">
        <v>11.25</v>
      </c>
    </row>
    <row r="23" spans="2:9" x14ac:dyDescent="0.25">
      <c r="B23" s="39" t="s">
        <v>934</v>
      </c>
      <c r="C23" s="39" t="s">
        <v>928</v>
      </c>
      <c r="D23" s="156">
        <v>597</v>
      </c>
      <c r="E23" s="157">
        <v>0.08</v>
      </c>
      <c r="F23" s="157">
        <v>0.06</v>
      </c>
      <c r="G23" s="157">
        <v>47.76</v>
      </c>
      <c r="H23" s="157">
        <v>35.82</v>
      </c>
      <c r="I23" s="157">
        <v>11.939999999999998</v>
      </c>
    </row>
    <row r="24" spans="2:9" x14ac:dyDescent="0.25">
      <c r="B24" s="228" t="s">
        <v>772</v>
      </c>
      <c r="C24" s="229"/>
      <c r="D24" s="229"/>
      <c r="E24" s="229"/>
      <c r="F24" s="230"/>
      <c r="G24" s="165">
        <v>4709.5600000000004</v>
      </c>
      <c r="H24" s="165">
        <v>3718.9866666666667</v>
      </c>
      <c r="I24" s="165">
        <v>990.57333333333327</v>
      </c>
    </row>
    <row r="25" spans="2:9" x14ac:dyDescent="0.25">
      <c r="F25" t="s">
        <v>915</v>
      </c>
    </row>
    <row r="26" spans="2:9" ht="15.75" thickBot="1" x14ac:dyDescent="0.3">
      <c r="F26" t="s">
        <v>915</v>
      </c>
    </row>
    <row r="27" spans="2:9" x14ac:dyDescent="0.25">
      <c r="B27" s="236" t="s">
        <v>945</v>
      </c>
      <c r="C27" s="237"/>
      <c r="D27" s="237"/>
      <c r="E27" s="237"/>
      <c r="F27" s="237"/>
      <c r="G27" s="237"/>
      <c r="H27" s="238"/>
    </row>
    <row r="28" spans="2:9" ht="15.75" thickBot="1" x14ac:dyDescent="0.3">
      <c r="B28" s="239"/>
      <c r="C28" s="240"/>
      <c r="D28" s="240"/>
      <c r="E28" s="240"/>
      <c r="F28" s="240"/>
      <c r="G28" s="240"/>
      <c r="H28" s="241"/>
    </row>
    <row r="29" spans="2:9" ht="15.75" x14ac:dyDescent="0.25">
      <c r="B29" s="231" t="s">
        <v>935</v>
      </c>
      <c r="C29" s="231" t="s">
        <v>936</v>
      </c>
      <c r="D29" s="233" t="s">
        <v>937</v>
      </c>
      <c r="E29" s="233"/>
      <c r="F29" s="233"/>
      <c r="G29" s="233"/>
      <c r="H29" s="234" t="s">
        <v>938</v>
      </c>
    </row>
    <row r="30" spans="2:9" ht="15.75" x14ac:dyDescent="0.25">
      <c r="B30" s="232"/>
      <c r="C30" s="232"/>
      <c r="D30" s="166" t="s">
        <v>939</v>
      </c>
      <c r="E30" s="166" t="s">
        <v>940</v>
      </c>
      <c r="F30" s="166" t="s">
        <v>941</v>
      </c>
      <c r="G30" s="166" t="s">
        <v>940</v>
      </c>
      <c r="H30" s="235"/>
    </row>
    <row r="31" spans="2:9" ht="15.75" x14ac:dyDescent="0.25">
      <c r="B31" s="167" t="s">
        <v>942</v>
      </c>
      <c r="C31" s="168">
        <v>460</v>
      </c>
      <c r="D31" s="169">
        <v>2750000</v>
      </c>
      <c r="E31" s="169"/>
      <c r="F31" s="169">
        <v>1011044</v>
      </c>
      <c r="G31" s="170">
        <f>D31-F31</f>
        <v>1738956</v>
      </c>
      <c r="H31" s="171">
        <f>G31</f>
        <v>1738956</v>
      </c>
    </row>
    <row r="32" spans="2:9" ht="15.75" x14ac:dyDescent="0.25">
      <c r="B32" s="167" t="s">
        <v>943</v>
      </c>
      <c r="C32" s="168">
        <v>460</v>
      </c>
      <c r="D32" s="170">
        <v>23500</v>
      </c>
      <c r="E32" s="170">
        <f>D32*C32</f>
        <v>10810000</v>
      </c>
      <c r="F32" s="170">
        <v>21212</v>
      </c>
      <c r="G32" s="170">
        <f>F32*C32</f>
        <v>9757520</v>
      </c>
      <c r="H32" s="172">
        <f>E32-G32</f>
        <v>1052480</v>
      </c>
    </row>
    <row r="33" spans="2:8" ht="15.75" x14ac:dyDescent="0.25">
      <c r="B33" s="167" t="s">
        <v>944</v>
      </c>
      <c r="C33" s="168">
        <v>460</v>
      </c>
      <c r="D33" s="170">
        <v>400000</v>
      </c>
      <c r="E33" s="170"/>
      <c r="F33" s="173"/>
      <c r="G33" s="173"/>
      <c r="H33" s="172">
        <f>D33</f>
        <v>400000</v>
      </c>
    </row>
    <row r="34" spans="2:8" ht="15.75" x14ac:dyDescent="0.25">
      <c r="B34" s="174"/>
      <c r="C34" s="175"/>
      <c r="D34" s="176"/>
      <c r="E34" s="176"/>
      <c r="F34" s="176"/>
      <c r="G34" s="176"/>
      <c r="H34" s="177">
        <f>SUM(H31:H33)</f>
        <v>3191436</v>
      </c>
    </row>
  </sheetData>
  <mergeCells count="8">
    <mergeCell ref="B5:I5"/>
    <mergeCell ref="B8:C8"/>
    <mergeCell ref="B24:F24"/>
    <mergeCell ref="B29:B30"/>
    <mergeCell ref="C29:C30"/>
    <mergeCell ref="D29:G29"/>
    <mergeCell ref="H29:H30"/>
    <mergeCell ref="B27:H2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abSelected="1" workbookViewId="0">
      <selection activeCell="E156" sqref="E156"/>
    </sheetView>
  </sheetViews>
  <sheetFormatPr defaultRowHeight="15" x14ac:dyDescent="0.25"/>
  <cols>
    <col min="1" max="1" width="4.28515625" style="79" bestFit="1" customWidth="1"/>
    <col min="2" max="2" width="12.7109375" style="79" bestFit="1" customWidth="1"/>
    <col min="3" max="3" width="9.140625" style="79"/>
    <col min="4" max="4" width="16.5703125" style="79" bestFit="1" customWidth="1"/>
    <col min="5" max="5" width="14" style="79" bestFit="1" customWidth="1"/>
    <col min="6" max="8" width="9.140625" style="79"/>
    <col min="9" max="9" width="10" style="79" bestFit="1" customWidth="1"/>
    <col min="10" max="12" width="9.140625" style="79"/>
    <col min="13" max="13" width="14.28515625" style="79" bestFit="1" customWidth="1"/>
    <col min="14" max="16384" width="9.140625" style="79"/>
  </cols>
  <sheetData>
    <row r="1" spans="1:13" ht="27" x14ac:dyDescent="0.35">
      <c r="A1" s="245" t="s">
        <v>822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</row>
    <row r="2" spans="1:13" ht="28.5" x14ac:dyDescent="0.25">
      <c r="A2" s="136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137" t="s">
        <v>8</v>
      </c>
      <c r="J2" s="40" t="s">
        <v>9</v>
      </c>
      <c r="K2" s="40" t="s">
        <v>10</v>
      </c>
      <c r="L2" s="40" t="s">
        <v>11</v>
      </c>
      <c r="M2" s="40" t="s">
        <v>16</v>
      </c>
    </row>
    <row r="3" spans="1:13" x14ac:dyDescent="0.25">
      <c r="A3" s="30">
        <v>1</v>
      </c>
      <c r="B3" s="30" t="s">
        <v>539</v>
      </c>
      <c r="C3" s="26" t="s">
        <v>29</v>
      </c>
      <c r="D3" s="30" t="s">
        <v>85</v>
      </c>
      <c r="E3" s="30" t="s">
        <v>49</v>
      </c>
      <c r="F3" s="30" t="s">
        <v>29</v>
      </c>
      <c r="G3" s="30" t="s">
        <v>50</v>
      </c>
      <c r="H3" s="30" t="s">
        <v>58</v>
      </c>
      <c r="I3" s="36">
        <v>44362</v>
      </c>
      <c r="J3" s="30">
        <v>7</v>
      </c>
      <c r="K3" s="30">
        <v>141</v>
      </c>
      <c r="L3" s="30">
        <v>141</v>
      </c>
      <c r="M3" s="21">
        <v>5432305.2000000002</v>
      </c>
    </row>
    <row r="4" spans="1:13" x14ac:dyDescent="0.25">
      <c r="A4" s="246" t="s">
        <v>772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143">
        <f>SUM(M3:M3)</f>
        <v>5432305.2000000002</v>
      </c>
    </row>
    <row r="7" spans="1:13" ht="27" x14ac:dyDescent="0.35">
      <c r="A7" s="245" t="s">
        <v>965</v>
      </c>
      <c r="B7" s="245"/>
      <c r="C7" s="245"/>
      <c r="D7" s="245"/>
      <c r="E7" s="245"/>
      <c r="F7" s="245"/>
      <c r="G7" s="245"/>
      <c r="H7" s="245"/>
      <c r="I7" s="245"/>
      <c r="J7" s="245"/>
      <c r="K7" s="245"/>
      <c r="L7" s="245"/>
      <c r="M7" s="245"/>
    </row>
    <row r="8" spans="1:13" ht="28.5" x14ac:dyDescent="0.25">
      <c r="A8" s="136" t="s">
        <v>0</v>
      </c>
      <c r="B8" s="40" t="s">
        <v>1</v>
      </c>
      <c r="C8" s="40" t="s">
        <v>2</v>
      </c>
      <c r="D8" s="40" t="s">
        <v>3</v>
      </c>
      <c r="E8" s="40" t="s">
        <v>4</v>
      </c>
      <c r="F8" s="40" t="s">
        <v>5</v>
      </c>
      <c r="G8" s="40" t="s">
        <v>6</v>
      </c>
      <c r="H8" s="40" t="s">
        <v>7</v>
      </c>
      <c r="I8" s="137" t="s">
        <v>8</v>
      </c>
      <c r="J8" s="40" t="s">
        <v>9</v>
      </c>
      <c r="K8" s="40" t="s">
        <v>10</v>
      </c>
      <c r="L8" s="40" t="s">
        <v>11</v>
      </c>
      <c r="M8" s="40" t="s">
        <v>16</v>
      </c>
    </row>
    <row r="9" spans="1:13" x14ac:dyDescent="0.25">
      <c r="A9" s="26">
        <v>1</v>
      </c>
      <c r="B9" s="30" t="s">
        <v>742</v>
      </c>
      <c r="C9" s="26" t="s">
        <v>29</v>
      </c>
      <c r="D9" s="30" t="s">
        <v>744</v>
      </c>
      <c r="E9" s="30" t="s">
        <v>23</v>
      </c>
      <c r="F9" s="30" t="s">
        <v>29</v>
      </c>
      <c r="G9" s="30" t="s">
        <v>45</v>
      </c>
      <c r="H9" s="30" t="s">
        <v>238</v>
      </c>
      <c r="I9" s="111">
        <v>44419</v>
      </c>
      <c r="J9" s="30">
        <v>1</v>
      </c>
      <c r="K9" s="30">
        <v>13</v>
      </c>
      <c r="L9" s="30">
        <v>14</v>
      </c>
      <c r="M9" s="21">
        <v>622518</v>
      </c>
    </row>
    <row r="10" spans="1:13" x14ac:dyDescent="0.25">
      <c r="A10" s="26">
        <v>2</v>
      </c>
      <c r="B10" s="30" t="s">
        <v>791</v>
      </c>
      <c r="C10" s="26" t="s">
        <v>29</v>
      </c>
      <c r="D10" s="30" t="s">
        <v>815</v>
      </c>
      <c r="E10" s="30" t="s">
        <v>23</v>
      </c>
      <c r="F10" s="30" t="s">
        <v>29</v>
      </c>
      <c r="G10" s="30" t="s">
        <v>24</v>
      </c>
      <c r="H10" s="30" t="s">
        <v>58</v>
      </c>
      <c r="I10" s="36">
        <v>44427</v>
      </c>
      <c r="J10" s="30">
        <v>11</v>
      </c>
      <c r="K10" s="30">
        <v>84</v>
      </c>
      <c r="L10" s="30">
        <v>102</v>
      </c>
      <c r="M10" s="21">
        <v>2939874</v>
      </c>
    </row>
    <row r="11" spans="1:13" x14ac:dyDescent="0.25">
      <c r="A11" s="26">
        <v>3</v>
      </c>
      <c r="B11" s="30" t="s">
        <v>793</v>
      </c>
      <c r="C11" s="26" t="s">
        <v>29</v>
      </c>
      <c r="D11" s="30" t="s">
        <v>815</v>
      </c>
      <c r="E11" s="30" t="s">
        <v>23</v>
      </c>
      <c r="F11" s="30" t="s">
        <v>29</v>
      </c>
      <c r="G11" s="30" t="s">
        <v>60</v>
      </c>
      <c r="H11" s="30" t="s">
        <v>816</v>
      </c>
      <c r="I11" s="36">
        <v>44427</v>
      </c>
      <c r="J11" s="30">
        <v>6</v>
      </c>
      <c r="K11" s="30">
        <v>16</v>
      </c>
      <c r="L11" s="30">
        <v>18</v>
      </c>
      <c r="M11" s="21">
        <v>376596</v>
      </c>
    </row>
    <row r="12" spans="1:13" x14ac:dyDescent="0.25">
      <c r="A12" s="26">
        <v>4</v>
      </c>
      <c r="B12" s="30" t="s">
        <v>794</v>
      </c>
      <c r="C12" s="26" t="s">
        <v>29</v>
      </c>
      <c r="D12" s="30" t="s">
        <v>815</v>
      </c>
      <c r="E12" s="30" t="s">
        <v>23</v>
      </c>
      <c r="F12" s="30" t="s">
        <v>29</v>
      </c>
      <c r="G12" s="30" t="s">
        <v>231</v>
      </c>
      <c r="H12" s="30" t="s">
        <v>638</v>
      </c>
      <c r="I12" s="36">
        <v>44427</v>
      </c>
      <c r="J12" s="30">
        <v>5</v>
      </c>
      <c r="K12" s="30">
        <v>40</v>
      </c>
      <c r="L12" s="30">
        <v>40</v>
      </c>
      <c r="M12" s="21">
        <v>1241130</v>
      </c>
    </row>
    <row r="13" spans="1:13" x14ac:dyDescent="0.25">
      <c r="A13" s="26">
        <v>5</v>
      </c>
      <c r="B13" s="30" t="s">
        <v>795</v>
      </c>
      <c r="C13" s="26" t="s">
        <v>29</v>
      </c>
      <c r="D13" s="30" t="s">
        <v>815</v>
      </c>
      <c r="E13" s="30" t="s">
        <v>23</v>
      </c>
      <c r="F13" s="30" t="s">
        <v>29</v>
      </c>
      <c r="G13" s="30" t="s">
        <v>210</v>
      </c>
      <c r="H13" s="30" t="s">
        <v>516</v>
      </c>
      <c r="I13" s="36">
        <v>44427</v>
      </c>
      <c r="J13" s="30">
        <v>3</v>
      </c>
      <c r="K13" s="30">
        <v>12</v>
      </c>
      <c r="L13" s="30">
        <v>19</v>
      </c>
      <c r="M13" s="21">
        <v>271493</v>
      </c>
    </row>
    <row r="14" spans="1:13" x14ac:dyDescent="0.25">
      <c r="A14" s="26">
        <v>6</v>
      </c>
      <c r="B14" s="30" t="s">
        <v>797</v>
      </c>
      <c r="C14" s="26" t="s">
        <v>29</v>
      </c>
      <c r="D14" s="30" t="s">
        <v>815</v>
      </c>
      <c r="E14" s="30" t="s">
        <v>23</v>
      </c>
      <c r="F14" s="30" t="s">
        <v>29</v>
      </c>
      <c r="G14" s="30" t="s">
        <v>171</v>
      </c>
      <c r="H14" s="30" t="s">
        <v>246</v>
      </c>
      <c r="I14" s="36">
        <v>44427</v>
      </c>
      <c r="J14" s="30">
        <v>4</v>
      </c>
      <c r="K14" s="30">
        <v>75</v>
      </c>
      <c r="L14" s="30">
        <v>75</v>
      </c>
      <c r="M14" s="21">
        <v>1327275</v>
      </c>
    </row>
    <row r="15" spans="1:13" x14ac:dyDescent="0.25">
      <c r="A15" s="26">
        <v>7</v>
      </c>
      <c r="B15" s="30" t="s">
        <v>798</v>
      </c>
      <c r="C15" s="26" t="s">
        <v>29</v>
      </c>
      <c r="D15" s="30" t="s">
        <v>815</v>
      </c>
      <c r="E15" s="30" t="s">
        <v>23</v>
      </c>
      <c r="F15" s="30" t="s">
        <v>29</v>
      </c>
      <c r="G15" s="30" t="s">
        <v>184</v>
      </c>
      <c r="H15" s="30" t="s">
        <v>817</v>
      </c>
      <c r="I15" s="36">
        <v>44427</v>
      </c>
      <c r="J15" s="30">
        <v>9</v>
      </c>
      <c r="K15" s="30">
        <v>101</v>
      </c>
      <c r="L15" s="30">
        <v>101</v>
      </c>
      <c r="M15" s="21">
        <v>2005697</v>
      </c>
    </row>
    <row r="16" spans="1:13" x14ac:dyDescent="0.25">
      <c r="A16" s="26">
        <v>8</v>
      </c>
      <c r="B16" s="30" t="s">
        <v>799</v>
      </c>
      <c r="C16" s="26" t="s">
        <v>29</v>
      </c>
      <c r="D16" s="30" t="s">
        <v>815</v>
      </c>
      <c r="E16" s="30" t="s">
        <v>23</v>
      </c>
      <c r="F16" s="30" t="s">
        <v>29</v>
      </c>
      <c r="G16" s="30" t="s">
        <v>241</v>
      </c>
      <c r="H16" s="30" t="s">
        <v>102</v>
      </c>
      <c r="I16" s="36">
        <v>44427</v>
      </c>
      <c r="J16" s="30">
        <v>3</v>
      </c>
      <c r="K16" s="30">
        <v>41</v>
      </c>
      <c r="L16" s="30">
        <v>41</v>
      </c>
      <c r="M16" s="21">
        <v>1436492</v>
      </c>
    </row>
    <row r="17" spans="1:13" x14ac:dyDescent="0.25">
      <c r="A17" s="26">
        <v>9</v>
      </c>
      <c r="B17" s="30" t="s">
        <v>801</v>
      </c>
      <c r="C17" s="26" t="s">
        <v>29</v>
      </c>
      <c r="D17" s="30" t="s">
        <v>815</v>
      </c>
      <c r="E17" s="30" t="s">
        <v>23</v>
      </c>
      <c r="F17" s="30" t="s">
        <v>29</v>
      </c>
      <c r="G17" s="30" t="s">
        <v>263</v>
      </c>
      <c r="H17" s="30" t="s">
        <v>264</v>
      </c>
      <c r="I17" s="36">
        <v>44427</v>
      </c>
      <c r="J17" s="30">
        <v>2</v>
      </c>
      <c r="K17" s="30">
        <v>13</v>
      </c>
      <c r="L17" s="30">
        <v>17</v>
      </c>
      <c r="M17" s="21">
        <v>281499</v>
      </c>
    </row>
    <row r="18" spans="1:13" x14ac:dyDescent="0.25">
      <c r="A18" s="26">
        <v>10</v>
      </c>
      <c r="B18" s="30" t="s">
        <v>804</v>
      </c>
      <c r="C18" s="26" t="s">
        <v>29</v>
      </c>
      <c r="D18" s="30" t="s">
        <v>815</v>
      </c>
      <c r="E18" s="30" t="s">
        <v>23</v>
      </c>
      <c r="F18" s="30" t="s">
        <v>29</v>
      </c>
      <c r="G18" s="30" t="s">
        <v>79</v>
      </c>
      <c r="H18" s="30" t="s">
        <v>654</v>
      </c>
      <c r="I18" s="36">
        <v>44427</v>
      </c>
      <c r="J18" s="30">
        <v>13</v>
      </c>
      <c r="K18" s="30">
        <v>196</v>
      </c>
      <c r="L18" s="30">
        <v>196</v>
      </c>
      <c r="M18" s="21">
        <v>4097262</v>
      </c>
    </row>
    <row r="19" spans="1:13" x14ac:dyDescent="0.25">
      <c r="A19" s="26">
        <v>11</v>
      </c>
      <c r="B19" s="30" t="s">
        <v>805</v>
      </c>
      <c r="C19" s="26" t="s">
        <v>29</v>
      </c>
      <c r="D19" s="30" t="s">
        <v>815</v>
      </c>
      <c r="E19" s="30" t="s">
        <v>23</v>
      </c>
      <c r="F19" s="30" t="s">
        <v>29</v>
      </c>
      <c r="G19" s="30" t="s">
        <v>72</v>
      </c>
      <c r="H19" s="30" t="s">
        <v>73</v>
      </c>
      <c r="I19" s="36">
        <v>44427</v>
      </c>
      <c r="J19" s="30">
        <v>7</v>
      </c>
      <c r="K19" s="30">
        <v>73</v>
      </c>
      <c r="L19" s="30">
        <v>106</v>
      </c>
      <c r="M19" s="21">
        <v>2395932</v>
      </c>
    </row>
    <row r="20" spans="1:13" x14ac:dyDescent="0.25">
      <c r="A20" s="26">
        <v>12</v>
      </c>
      <c r="B20" s="30" t="s">
        <v>806</v>
      </c>
      <c r="C20" s="26" t="s">
        <v>29</v>
      </c>
      <c r="D20" s="30" t="s">
        <v>815</v>
      </c>
      <c r="E20" s="30" t="s">
        <v>23</v>
      </c>
      <c r="F20" s="30" t="s">
        <v>29</v>
      </c>
      <c r="G20" s="30" t="s">
        <v>713</v>
      </c>
      <c r="H20" s="30" t="s">
        <v>714</v>
      </c>
      <c r="I20" s="36">
        <v>44427</v>
      </c>
      <c r="J20" s="30">
        <v>2</v>
      </c>
      <c r="K20" s="30">
        <v>5</v>
      </c>
      <c r="L20" s="30">
        <v>10</v>
      </c>
      <c r="M20" s="21">
        <v>208720</v>
      </c>
    </row>
    <row r="21" spans="1:13" x14ac:dyDescent="0.25">
      <c r="A21" s="26">
        <v>13</v>
      </c>
      <c r="B21" s="30" t="s">
        <v>807</v>
      </c>
      <c r="C21" s="26" t="s">
        <v>29</v>
      </c>
      <c r="D21" s="30" t="s">
        <v>815</v>
      </c>
      <c r="E21" s="30" t="s">
        <v>23</v>
      </c>
      <c r="F21" s="30" t="s">
        <v>29</v>
      </c>
      <c r="G21" s="30" t="s">
        <v>64</v>
      </c>
      <c r="H21" s="30" t="s">
        <v>818</v>
      </c>
      <c r="I21" s="36">
        <v>44427</v>
      </c>
      <c r="J21" s="30">
        <v>3</v>
      </c>
      <c r="K21" s="30">
        <v>43</v>
      </c>
      <c r="L21" s="30">
        <v>43</v>
      </c>
      <c r="M21" s="21">
        <v>879291</v>
      </c>
    </row>
    <row r="22" spans="1:13" x14ac:dyDescent="0.25">
      <c r="A22" s="26">
        <v>14</v>
      </c>
      <c r="B22" s="30" t="s">
        <v>808</v>
      </c>
      <c r="C22" s="26" t="s">
        <v>29</v>
      </c>
      <c r="D22" s="30" t="s">
        <v>815</v>
      </c>
      <c r="E22" s="30" t="s">
        <v>23</v>
      </c>
      <c r="F22" s="30" t="s">
        <v>29</v>
      </c>
      <c r="G22" s="30" t="s">
        <v>79</v>
      </c>
      <c r="H22" s="30" t="s">
        <v>638</v>
      </c>
      <c r="I22" s="36">
        <v>44427</v>
      </c>
      <c r="J22" s="30">
        <v>4</v>
      </c>
      <c r="K22" s="30">
        <v>85</v>
      </c>
      <c r="L22" s="30">
        <v>85</v>
      </c>
      <c r="M22" s="21">
        <v>1783245</v>
      </c>
    </row>
    <row r="23" spans="1:13" x14ac:dyDescent="0.25">
      <c r="A23" s="26">
        <v>15</v>
      </c>
      <c r="B23" s="30" t="s">
        <v>809</v>
      </c>
      <c r="C23" s="26" t="s">
        <v>29</v>
      </c>
      <c r="D23" s="30" t="s">
        <v>815</v>
      </c>
      <c r="E23" s="30" t="s">
        <v>23</v>
      </c>
      <c r="F23" s="30" t="s">
        <v>29</v>
      </c>
      <c r="G23" s="30" t="s">
        <v>35</v>
      </c>
      <c r="H23" s="30" t="s">
        <v>760</v>
      </c>
      <c r="I23" s="36">
        <v>44427</v>
      </c>
      <c r="J23" s="30">
        <v>1</v>
      </c>
      <c r="K23" s="30">
        <v>7</v>
      </c>
      <c r="L23" s="30">
        <v>10</v>
      </c>
      <c r="M23" s="21">
        <v>164720</v>
      </c>
    </row>
    <row r="24" spans="1:13" x14ac:dyDescent="0.25">
      <c r="A24" s="26">
        <v>16</v>
      </c>
      <c r="B24" s="30" t="s">
        <v>810</v>
      </c>
      <c r="C24" s="26" t="s">
        <v>29</v>
      </c>
      <c r="D24" s="30" t="s">
        <v>815</v>
      </c>
      <c r="E24" s="30" t="s">
        <v>23</v>
      </c>
      <c r="F24" s="30" t="s">
        <v>29</v>
      </c>
      <c r="G24" s="30" t="s">
        <v>76</v>
      </c>
      <c r="H24" s="30" t="s">
        <v>819</v>
      </c>
      <c r="I24" s="36">
        <v>44427</v>
      </c>
      <c r="J24" s="30">
        <v>9</v>
      </c>
      <c r="K24" s="30">
        <v>57</v>
      </c>
      <c r="L24" s="30">
        <v>65</v>
      </c>
      <c r="M24" s="21">
        <v>1663030</v>
      </c>
    </row>
    <row r="25" spans="1:13" x14ac:dyDescent="0.25">
      <c r="A25" s="26">
        <v>17</v>
      </c>
      <c r="B25" s="30" t="s">
        <v>811</v>
      </c>
      <c r="C25" s="26" t="s">
        <v>29</v>
      </c>
      <c r="D25" s="30" t="s">
        <v>815</v>
      </c>
      <c r="E25" s="30" t="s">
        <v>23</v>
      </c>
      <c r="F25" s="30" t="s">
        <v>29</v>
      </c>
      <c r="G25" s="30" t="s">
        <v>69</v>
      </c>
      <c r="H25" s="30" t="s">
        <v>70</v>
      </c>
      <c r="I25" s="36">
        <v>44427</v>
      </c>
      <c r="J25" s="30">
        <v>2</v>
      </c>
      <c r="K25" s="30">
        <v>1</v>
      </c>
      <c r="L25" s="30">
        <v>10</v>
      </c>
      <c r="M25" s="21">
        <v>175720</v>
      </c>
    </row>
    <row r="26" spans="1:13" x14ac:dyDescent="0.25">
      <c r="A26" s="26">
        <v>18</v>
      </c>
      <c r="B26" s="30" t="s">
        <v>812</v>
      </c>
      <c r="C26" s="26" t="s">
        <v>29</v>
      </c>
      <c r="D26" s="30" t="s">
        <v>815</v>
      </c>
      <c r="E26" s="30" t="s">
        <v>23</v>
      </c>
      <c r="F26" s="30" t="s">
        <v>29</v>
      </c>
      <c r="G26" s="30" t="s">
        <v>241</v>
      </c>
      <c r="H26" s="30" t="s">
        <v>102</v>
      </c>
      <c r="I26" s="36">
        <v>44428</v>
      </c>
      <c r="J26" s="30">
        <v>14</v>
      </c>
      <c r="K26" s="30">
        <v>52</v>
      </c>
      <c r="L26" s="30">
        <v>52</v>
      </c>
      <c r="M26" s="21">
        <v>1818874</v>
      </c>
    </row>
    <row r="27" spans="1:13" x14ac:dyDescent="0.25">
      <c r="A27" s="26">
        <v>19</v>
      </c>
      <c r="B27" s="30" t="s">
        <v>820</v>
      </c>
      <c r="C27" s="26" t="s">
        <v>29</v>
      </c>
      <c r="D27" s="30" t="s">
        <v>815</v>
      </c>
      <c r="E27" s="30" t="s">
        <v>23</v>
      </c>
      <c r="F27" s="30" t="s">
        <v>29</v>
      </c>
      <c r="G27" s="30" t="s">
        <v>210</v>
      </c>
      <c r="H27" s="30" t="s">
        <v>516</v>
      </c>
      <c r="I27" s="36">
        <v>44429</v>
      </c>
      <c r="J27" s="30">
        <v>5</v>
      </c>
      <c r="K27" s="30">
        <v>22</v>
      </c>
      <c r="L27" s="30">
        <v>35</v>
      </c>
      <c r="M27" s="21">
        <v>490645</v>
      </c>
    </row>
    <row r="28" spans="1:13" x14ac:dyDescent="0.25">
      <c r="A28" s="26">
        <v>20</v>
      </c>
      <c r="B28" s="30" t="s">
        <v>845</v>
      </c>
      <c r="C28" s="26" t="s">
        <v>29</v>
      </c>
      <c r="D28" s="30" t="s">
        <v>815</v>
      </c>
      <c r="E28" s="30" t="s">
        <v>23</v>
      </c>
      <c r="F28" s="30" t="s">
        <v>29</v>
      </c>
      <c r="G28" s="30" t="s">
        <v>24</v>
      </c>
      <c r="H28" s="30" t="s">
        <v>58</v>
      </c>
      <c r="I28" s="140">
        <v>44432</v>
      </c>
      <c r="J28" s="30">
        <v>6</v>
      </c>
      <c r="K28" s="30">
        <v>57</v>
      </c>
      <c r="L28" s="30">
        <v>57</v>
      </c>
      <c r="M28" s="21">
        <v>1647834</v>
      </c>
    </row>
    <row r="29" spans="1:13" x14ac:dyDescent="0.25">
      <c r="A29" s="26">
        <v>21</v>
      </c>
      <c r="B29" s="30" t="s">
        <v>846</v>
      </c>
      <c r="C29" s="26" t="s">
        <v>29</v>
      </c>
      <c r="D29" s="30" t="s">
        <v>815</v>
      </c>
      <c r="E29" s="30" t="s">
        <v>23</v>
      </c>
      <c r="F29" s="30" t="s">
        <v>29</v>
      </c>
      <c r="G29" s="30" t="s">
        <v>79</v>
      </c>
      <c r="H29" s="30" t="s">
        <v>638</v>
      </c>
      <c r="I29" s="140">
        <v>44432</v>
      </c>
      <c r="J29" s="30">
        <v>10</v>
      </c>
      <c r="K29" s="30">
        <v>124</v>
      </c>
      <c r="L29" s="30">
        <v>124</v>
      </c>
      <c r="M29" s="21">
        <v>2596278</v>
      </c>
    </row>
    <row r="30" spans="1:13" x14ac:dyDescent="0.25">
      <c r="A30" s="26">
        <v>22</v>
      </c>
      <c r="B30" s="30" t="s">
        <v>847</v>
      </c>
      <c r="C30" s="26" t="s">
        <v>29</v>
      </c>
      <c r="D30" s="30" t="s">
        <v>815</v>
      </c>
      <c r="E30" s="30" t="s">
        <v>23</v>
      </c>
      <c r="F30" s="30" t="s">
        <v>29</v>
      </c>
      <c r="G30" s="30" t="s">
        <v>79</v>
      </c>
      <c r="H30" s="30" t="s">
        <v>638</v>
      </c>
      <c r="I30" s="140">
        <v>44432</v>
      </c>
      <c r="J30" s="30">
        <v>7</v>
      </c>
      <c r="K30" s="30">
        <v>153</v>
      </c>
      <c r="L30" s="30">
        <v>153</v>
      </c>
      <c r="M30" s="21">
        <v>3200841</v>
      </c>
    </row>
    <row r="31" spans="1:13" x14ac:dyDescent="0.25">
      <c r="A31" s="26">
        <v>23</v>
      </c>
      <c r="B31" s="30" t="s">
        <v>868</v>
      </c>
      <c r="C31" s="26" t="s">
        <v>29</v>
      </c>
      <c r="D31" s="30" t="s">
        <v>85</v>
      </c>
      <c r="E31" s="30" t="s">
        <v>23</v>
      </c>
      <c r="F31" s="30" t="s">
        <v>29</v>
      </c>
      <c r="G31" s="30" t="s">
        <v>709</v>
      </c>
      <c r="H31" s="30" t="s">
        <v>533</v>
      </c>
      <c r="I31" s="140">
        <v>44435</v>
      </c>
      <c r="J31" s="30">
        <v>1</v>
      </c>
      <c r="K31" s="30">
        <v>12</v>
      </c>
      <c r="L31" s="30">
        <v>13</v>
      </c>
      <c r="M31" s="21">
        <v>525361</v>
      </c>
    </row>
    <row r="32" spans="1:13" x14ac:dyDescent="0.25">
      <c r="A32" s="26">
        <v>24</v>
      </c>
      <c r="B32" s="30" t="s">
        <v>870</v>
      </c>
      <c r="C32" s="26" t="s">
        <v>29</v>
      </c>
      <c r="D32" s="30" t="s">
        <v>85</v>
      </c>
      <c r="E32" s="30" t="s">
        <v>23</v>
      </c>
      <c r="F32" s="30" t="s">
        <v>29</v>
      </c>
      <c r="G32" s="30" t="s">
        <v>24</v>
      </c>
      <c r="H32" s="30" t="s">
        <v>502</v>
      </c>
      <c r="I32" s="140">
        <v>44435</v>
      </c>
      <c r="J32" s="30">
        <v>6</v>
      </c>
      <c r="K32" s="30">
        <v>129</v>
      </c>
      <c r="L32" s="30">
        <v>129</v>
      </c>
      <c r="M32" s="21">
        <v>3715098</v>
      </c>
    </row>
    <row r="33" spans="1:13" x14ac:dyDescent="0.25">
      <c r="A33" s="26">
        <v>25</v>
      </c>
      <c r="B33" s="30" t="s">
        <v>855</v>
      </c>
      <c r="C33" s="26" t="s">
        <v>29</v>
      </c>
      <c r="D33" s="30" t="s">
        <v>815</v>
      </c>
      <c r="E33" s="30" t="s">
        <v>23</v>
      </c>
      <c r="F33" s="30" t="s">
        <v>29</v>
      </c>
      <c r="G33" s="30" t="s">
        <v>713</v>
      </c>
      <c r="H33" s="30" t="s">
        <v>858</v>
      </c>
      <c r="I33" s="140">
        <v>44435</v>
      </c>
      <c r="J33" s="30">
        <v>3</v>
      </c>
      <c r="K33" s="30">
        <v>30</v>
      </c>
      <c r="L33" s="30">
        <v>30</v>
      </c>
      <c r="M33" s="21">
        <v>603660</v>
      </c>
    </row>
    <row r="34" spans="1:13" x14ac:dyDescent="0.25">
      <c r="A34" s="26">
        <v>26</v>
      </c>
      <c r="B34" s="30" t="s">
        <v>856</v>
      </c>
      <c r="C34" s="26" t="s">
        <v>29</v>
      </c>
      <c r="D34" s="30" t="s">
        <v>815</v>
      </c>
      <c r="E34" s="30" t="s">
        <v>23</v>
      </c>
      <c r="F34" s="30" t="s">
        <v>29</v>
      </c>
      <c r="G34" s="30" t="s">
        <v>713</v>
      </c>
      <c r="H34" s="30" t="s">
        <v>858</v>
      </c>
      <c r="I34" s="140">
        <v>44435</v>
      </c>
      <c r="J34" s="30">
        <v>11</v>
      </c>
      <c r="K34" s="30">
        <v>288</v>
      </c>
      <c r="L34" s="30">
        <v>288</v>
      </c>
      <c r="M34" s="21">
        <v>5698386</v>
      </c>
    </row>
    <row r="35" spans="1:13" x14ac:dyDescent="0.25">
      <c r="A35" s="26">
        <v>27</v>
      </c>
      <c r="B35" s="30" t="s">
        <v>878</v>
      </c>
      <c r="C35" s="26" t="s">
        <v>29</v>
      </c>
      <c r="D35" s="30" t="s">
        <v>85</v>
      </c>
      <c r="E35" s="30" t="s">
        <v>23</v>
      </c>
      <c r="F35" s="30" t="s">
        <v>29</v>
      </c>
      <c r="G35" s="30" t="s">
        <v>713</v>
      </c>
      <c r="H35" s="30" t="s">
        <v>714</v>
      </c>
      <c r="I35" s="140">
        <v>44436</v>
      </c>
      <c r="J35" s="30">
        <v>2</v>
      </c>
      <c r="K35" s="30">
        <v>11</v>
      </c>
      <c r="L35" s="30">
        <v>14</v>
      </c>
      <c r="M35" s="21">
        <v>287708</v>
      </c>
    </row>
    <row r="36" spans="1:13" x14ac:dyDescent="0.25">
      <c r="A36" s="26">
        <v>28</v>
      </c>
      <c r="B36" s="30" t="s">
        <v>881</v>
      </c>
      <c r="C36" s="26" t="s">
        <v>29</v>
      </c>
      <c r="D36" s="30" t="s">
        <v>631</v>
      </c>
      <c r="E36" s="30" t="s">
        <v>23</v>
      </c>
      <c r="F36" s="30" t="s">
        <v>29</v>
      </c>
      <c r="G36" s="30" t="s">
        <v>885</v>
      </c>
      <c r="H36" s="30" t="s">
        <v>818</v>
      </c>
      <c r="I36" s="140">
        <v>44436</v>
      </c>
      <c r="J36" s="30">
        <v>1</v>
      </c>
      <c r="K36" s="30">
        <v>4</v>
      </c>
      <c r="L36" s="30">
        <v>10</v>
      </c>
      <c r="M36" s="21">
        <v>420520</v>
      </c>
    </row>
    <row r="37" spans="1:13" x14ac:dyDescent="0.25">
      <c r="A37" s="26">
        <v>29</v>
      </c>
      <c r="B37" s="30" t="s">
        <v>883</v>
      </c>
      <c r="C37" s="26" t="s">
        <v>29</v>
      </c>
      <c r="D37" s="30" t="s">
        <v>85</v>
      </c>
      <c r="E37" s="30" t="s">
        <v>23</v>
      </c>
      <c r="F37" s="30" t="s">
        <v>29</v>
      </c>
      <c r="G37" s="30" t="s">
        <v>713</v>
      </c>
      <c r="H37" s="30" t="s">
        <v>714</v>
      </c>
      <c r="I37" s="140">
        <v>44437</v>
      </c>
      <c r="J37" s="30">
        <v>1</v>
      </c>
      <c r="K37" s="30">
        <v>1</v>
      </c>
      <c r="L37" s="30">
        <v>10</v>
      </c>
      <c r="M37" s="21">
        <v>208720</v>
      </c>
    </row>
    <row r="38" spans="1:13" x14ac:dyDescent="0.25">
      <c r="A38" s="26">
        <v>30</v>
      </c>
      <c r="B38" s="30" t="s">
        <v>890</v>
      </c>
      <c r="C38" s="26" t="s">
        <v>29</v>
      </c>
      <c r="D38" s="30" t="s">
        <v>815</v>
      </c>
      <c r="E38" s="30" t="s">
        <v>23</v>
      </c>
      <c r="F38" s="30" t="s">
        <v>29</v>
      </c>
      <c r="G38" s="30" t="s">
        <v>24</v>
      </c>
      <c r="H38" s="30" t="s">
        <v>58</v>
      </c>
      <c r="I38" s="36">
        <v>44439</v>
      </c>
      <c r="J38" s="30">
        <v>2</v>
      </c>
      <c r="K38" s="30">
        <v>47</v>
      </c>
      <c r="L38" s="30">
        <v>52</v>
      </c>
      <c r="M38" s="21">
        <v>1504274</v>
      </c>
    </row>
    <row r="39" spans="1:13" x14ac:dyDescent="0.25">
      <c r="A39" s="26">
        <v>31</v>
      </c>
      <c r="B39" s="30" t="s">
        <v>891</v>
      </c>
      <c r="C39" s="26" t="s">
        <v>29</v>
      </c>
      <c r="D39" s="30" t="s">
        <v>815</v>
      </c>
      <c r="E39" s="30" t="s">
        <v>23</v>
      </c>
      <c r="F39" s="30" t="s">
        <v>29</v>
      </c>
      <c r="G39" s="30" t="s">
        <v>60</v>
      </c>
      <c r="H39" s="30" t="s">
        <v>61</v>
      </c>
      <c r="I39" s="36">
        <v>44439</v>
      </c>
      <c r="J39" s="30">
        <v>3</v>
      </c>
      <c r="K39" s="30">
        <v>46</v>
      </c>
      <c r="L39" s="30">
        <v>46</v>
      </c>
      <c r="M39" s="21">
        <v>944912</v>
      </c>
    </row>
    <row r="40" spans="1:13" x14ac:dyDescent="0.25">
      <c r="A40" s="26">
        <v>32</v>
      </c>
      <c r="B40" s="30" t="s">
        <v>892</v>
      </c>
      <c r="C40" s="26" t="s">
        <v>29</v>
      </c>
      <c r="D40" s="30" t="s">
        <v>85</v>
      </c>
      <c r="E40" s="30" t="s">
        <v>23</v>
      </c>
      <c r="F40" s="30" t="s">
        <v>29</v>
      </c>
      <c r="G40" s="30" t="s">
        <v>104</v>
      </c>
      <c r="H40" s="30" t="s">
        <v>105</v>
      </c>
      <c r="I40" s="36">
        <v>44439</v>
      </c>
      <c r="J40" s="30">
        <v>1</v>
      </c>
      <c r="K40" s="30">
        <v>5</v>
      </c>
      <c r="L40" s="30">
        <v>10</v>
      </c>
      <c r="M40" s="21">
        <v>441370</v>
      </c>
    </row>
    <row r="41" spans="1:13" x14ac:dyDescent="0.25">
      <c r="A41" s="26">
        <v>33</v>
      </c>
      <c r="B41" s="30" t="s">
        <v>893</v>
      </c>
      <c r="C41" s="26" t="s">
        <v>29</v>
      </c>
      <c r="D41" s="30" t="s">
        <v>815</v>
      </c>
      <c r="E41" s="30" t="s">
        <v>23</v>
      </c>
      <c r="F41" s="30" t="s">
        <v>29</v>
      </c>
      <c r="G41" s="30" t="s">
        <v>76</v>
      </c>
      <c r="H41" s="30" t="s">
        <v>819</v>
      </c>
      <c r="I41" s="36">
        <v>44439</v>
      </c>
      <c r="J41" s="30">
        <v>6</v>
      </c>
      <c r="K41" s="30">
        <v>91</v>
      </c>
      <c r="L41" s="30">
        <v>91</v>
      </c>
      <c r="M41" s="21">
        <v>2323742</v>
      </c>
    </row>
    <row r="42" spans="1:13" x14ac:dyDescent="0.25">
      <c r="A42" s="26">
        <v>34</v>
      </c>
      <c r="B42" s="30" t="s">
        <v>894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171</v>
      </c>
      <c r="H42" s="30" t="s">
        <v>246</v>
      </c>
      <c r="I42" s="36">
        <v>44439</v>
      </c>
      <c r="J42" s="30">
        <v>5</v>
      </c>
      <c r="K42" s="30">
        <v>39</v>
      </c>
      <c r="L42" s="30">
        <v>44</v>
      </c>
      <c r="M42" s="21">
        <v>783318</v>
      </c>
    </row>
    <row r="43" spans="1:13" x14ac:dyDescent="0.25">
      <c r="A43" s="26">
        <v>35</v>
      </c>
      <c r="B43" s="69" t="s">
        <v>860</v>
      </c>
      <c r="C43" s="26" t="s">
        <v>859</v>
      </c>
      <c r="D43" s="69" t="s">
        <v>861</v>
      </c>
      <c r="E43" s="30" t="s">
        <v>23</v>
      </c>
      <c r="F43" s="69" t="s">
        <v>29</v>
      </c>
      <c r="G43" s="69" t="s">
        <v>79</v>
      </c>
      <c r="H43" s="69" t="s">
        <v>862</v>
      </c>
      <c r="I43" s="111">
        <v>44422</v>
      </c>
      <c r="J43" s="69">
        <v>1</v>
      </c>
      <c r="K43" s="69">
        <v>10</v>
      </c>
      <c r="L43" s="142">
        <v>10</v>
      </c>
      <c r="M43" s="21">
        <v>337180</v>
      </c>
    </row>
    <row r="44" spans="1:13" x14ac:dyDescent="0.25">
      <c r="A44" s="26">
        <v>36</v>
      </c>
      <c r="B44" s="30" t="s">
        <v>863</v>
      </c>
      <c r="C44" s="26" t="s">
        <v>859</v>
      </c>
      <c r="D44" s="30" t="s">
        <v>152</v>
      </c>
      <c r="E44" s="30" t="s">
        <v>595</v>
      </c>
      <c r="F44" s="30" t="s">
        <v>29</v>
      </c>
      <c r="G44" s="30" t="s">
        <v>184</v>
      </c>
      <c r="H44" s="30" t="s">
        <v>864</v>
      </c>
      <c r="I44" s="36">
        <v>44429</v>
      </c>
      <c r="J44" s="30">
        <v>2</v>
      </c>
      <c r="K44" s="30">
        <v>10</v>
      </c>
      <c r="L44" s="141">
        <v>16</v>
      </c>
      <c r="M44" s="21">
        <v>343188</v>
      </c>
    </row>
    <row r="45" spans="1:13" x14ac:dyDescent="0.25">
      <c r="A45" s="26">
        <v>37</v>
      </c>
      <c r="B45" s="30" t="s">
        <v>865</v>
      </c>
      <c r="C45" s="26" t="s">
        <v>859</v>
      </c>
      <c r="D45" s="30" t="s">
        <v>152</v>
      </c>
      <c r="E45" s="30" t="s">
        <v>595</v>
      </c>
      <c r="F45" s="30" t="s">
        <v>29</v>
      </c>
      <c r="G45" s="30" t="s">
        <v>184</v>
      </c>
      <c r="H45" s="30" t="s">
        <v>864</v>
      </c>
      <c r="I45" s="36">
        <v>44429</v>
      </c>
      <c r="J45" s="30">
        <v>6</v>
      </c>
      <c r="K45" s="30">
        <v>29</v>
      </c>
      <c r="L45" s="141">
        <v>43</v>
      </c>
      <c r="M45" s="21">
        <v>894474</v>
      </c>
    </row>
    <row r="46" spans="1:13" x14ac:dyDescent="0.25">
      <c r="A46" s="246" t="s">
        <v>772</v>
      </c>
      <c r="B46" s="246"/>
      <c r="C46" s="246"/>
      <c r="D46" s="246"/>
      <c r="E46" s="246"/>
      <c r="F46" s="246"/>
      <c r="G46" s="246"/>
      <c r="H46" s="246"/>
      <c r="I46" s="246"/>
      <c r="J46" s="246"/>
      <c r="K46" s="246"/>
      <c r="L46" s="246"/>
      <c r="M46" s="143">
        <f>SUM(M9:M45)</f>
        <v>50656877</v>
      </c>
    </row>
    <row r="47" spans="1:13" x14ac:dyDescent="0.25">
      <c r="A47" s="178"/>
      <c r="B47" s="178"/>
      <c r="C47" s="178"/>
      <c r="D47" s="178"/>
      <c r="E47" s="178"/>
      <c r="F47" s="178"/>
      <c r="G47" s="178"/>
      <c r="H47" s="178"/>
      <c r="I47" s="178"/>
      <c r="J47" s="178"/>
      <c r="K47" s="178"/>
      <c r="L47" s="178"/>
      <c r="M47" s="179"/>
    </row>
    <row r="48" spans="1:13" ht="27" x14ac:dyDescent="0.35">
      <c r="A48" s="245" t="s">
        <v>1076</v>
      </c>
      <c r="B48" s="245"/>
      <c r="C48" s="245"/>
      <c r="D48" s="245"/>
      <c r="E48" s="245"/>
      <c r="F48" s="245"/>
      <c r="G48" s="245"/>
      <c r="H48" s="245"/>
      <c r="I48" s="245"/>
      <c r="J48" s="245"/>
      <c r="K48" s="245"/>
      <c r="L48" s="245"/>
      <c r="M48" s="245"/>
    </row>
    <row r="49" spans="1:13" ht="28.5" x14ac:dyDescent="0.25">
      <c r="A49" s="136" t="s">
        <v>0</v>
      </c>
      <c r="B49" s="40" t="s">
        <v>1</v>
      </c>
      <c r="C49" s="40" t="s">
        <v>2</v>
      </c>
      <c r="D49" s="40" t="s">
        <v>3</v>
      </c>
      <c r="E49" s="40" t="s">
        <v>4</v>
      </c>
      <c r="F49" s="40" t="s">
        <v>5</v>
      </c>
      <c r="G49" s="40" t="s">
        <v>6</v>
      </c>
      <c r="H49" s="40" t="s">
        <v>7</v>
      </c>
      <c r="I49" s="137" t="s">
        <v>8</v>
      </c>
      <c r="J49" s="40" t="s">
        <v>9</v>
      </c>
      <c r="K49" s="40" t="s">
        <v>10</v>
      </c>
      <c r="L49" s="40" t="s">
        <v>11</v>
      </c>
      <c r="M49" s="40" t="s">
        <v>16</v>
      </c>
    </row>
    <row r="50" spans="1:13" x14ac:dyDescent="0.25">
      <c r="A50" s="26">
        <v>1</v>
      </c>
      <c r="B50" s="30" t="s">
        <v>947</v>
      </c>
      <c r="C50" s="26" t="s">
        <v>29</v>
      </c>
      <c r="D50" s="30" t="s">
        <v>815</v>
      </c>
      <c r="E50" s="30" t="s">
        <v>23</v>
      </c>
      <c r="F50" s="30" t="s">
        <v>29</v>
      </c>
      <c r="G50" s="30" t="s">
        <v>210</v>
      </c>
      <c r="H50" s="30" t="s">
        <v>516</v>
      </c>
      <c r="I50" s="36">
        <v>44440</v>
      </c>
      <c r="J50" s="30">
        <v>5</v>
      </c>
      <c r="K50" s="30">
        <v>71</v>
      </c>
      <c r="L50" s="30">
        <v>71</v>
      </c>
      <c r="M50" s="21">
        <v>983737</v>
      </c>
    </row>
    <row r="51" spans="1:13" x14ac:dyDescent="0.25">
      <c r="A51" s="26">
        <v>2</v>
      </c>
      <c r="B51" s="30" t="s">
        <v>948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184</v>
      </c>
      <c r="H51" s="30" t="s">
        <v>219</v>
      </c>
      <c r="I51" s="36">
        <v>44440</v>
      </c>
      <c r="J51" s="30">
        <v>14</v>
      </c>
      <c r="K51" s="30">
        <v>156</v>
      </c>
      <c r="L51" s="30">
        <v>156</v>
      </c>
      <c r="M51" s="21">
        <v>3091782</v>
      </c>
    </row>
    <row r="52" spans="1:13" x14ac:dyDescent="0.25">
      <c r="A52" s="26">
        <v>3</v>
      </c>
      <c r="B52" s="30" t="s">
        <v>949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713</v>
      </c>
      <c r="H52" s="30" t="s">
        <v>714</v>
      </c>
      <c r="I52" s="36">
        <v>44440</v>
      </c>
      <c r="J52" s="30">
        <v>2</v>
      </c>
      <c r="K52" s="30">
        <v>6</v>
      </c>
      <c r="L52" s="30">
        <v>10</v>
      </c>
      <c r="M52" s="21">
        <v>208720</v>
      </c>
    </row>
    <row r="53" spans="1:13" x14ac:dyDescent="0.25">
      <c r="A53" s="26">
        <v>4</v>
      </c>
      <c r="B53" s="30" t="s">
        <v>950</v>
      </c>
      <c r="C53" s="26" t="s">
        <v>29</v>
      </c>
      <c r="D53" s="30" t="s">
        <v>574</v>
      </c>
      <c r="E53" s="30" t="s">
        <v>23</v>
      </c>
      <c r="F53" s="30" t="s">
        <v>29</v>
      </c>
      <c r="G53" s="30" t="s">
        <v>115</v>
      </c>
      <c r="H53" s="30" t="s">
        <v>233</v>
      </c>
      <c r="I53" s="36">
        <v>44440</v>
      </c>
      <c r="J53" s="30">
        <v>3</v>
      </c>
      <c r="K53" s="30">
        <v>38</v>
      </c>
      <c r="L53" s="30">
        <v>38</v>
      </c>
      <c r="M53" s="21">
        <v>2758536</v>
      </c>
    </row>
    <row r="54" spans="1:13" x14ac:dyDescent="0.25">
      <c r="A54" s="26">
        <v>5</v>
      </c>
      <c r="B54" s="30" t="s">
        <v>951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24</v>
      </c>
      <c r="H54" s="30" t="s">
        <v>128</v>
      </c>
      <c r="I54" s="36">
        <v>44440</v>
      </c>
      <c r="J54" s="30">
        <v>9</v>
      </c>
      <c r="K54" s="30">
        <v>125</v>
      </c>
      <c r="L54" s="30">
        <v>125</v>
      </c>
      <c r="M54" s="21">
        <v>3600250</v>
      </c>
    </row>
    <row r="55" spans="1:13" x14ac:dyDescent="0.25">
      <c r="A55" s="26">
        <v>6</v>
      </c>
      <c r="B55" s="30" t="s">
        <v>952</v>
      </c>
      <c r="C55" s="26" t="s">
        <v>29</v>
      </c>
      <c r="D55" s="30" t="s">
        <v>30</v>
      </c>
      <c r="E55" s="30" t="s">
        <v>473</v>
      </c>
      <c r="F55" s="30" t="s">
        <v>29</v>
      </c>
      <c r="G55" s="30" t="s">
        <v>263</v>
      </c>
      <c r="H55" s="30" t="s">
        <v>264</v>
      </c>
      <c r="I55" s="36">
        <v>44441</v>
      </c>
      <c r="J55" s="30">
        <v>2</v>
      </c>
      <c r="K55" s="30">
        <v>63</v>
      </c>
      <c r="L55" s="30">
        <v>63</v>
      </c>
      <c r="M55" s="21">
        <v>1075761</v>
      </c>
    </row>
    <row r="56" spans="1:13" x14ac:dyDescent="0.25">
      <c r="A56" s="26">
        <v>7</v>
      </c>
      <c r="B56" s="30" t="s">
        <v>953</v>
      </c>
      <c r="C56" s="26" t="s">
        <v>29</v>
      </c>
      <c r="D56" s="30" t="s">
        <v>30</v>
      </c>
      <c r="E56" s="30" t="s">
        <v>473</v>
      </c>
      <c r="F56" s="30" t="s">
        <v>29</v>
      </c>
      <c r="G56" s="30" t="s">
        <v>210</v>
      </c>
      <c r="H56" s="30" t="s">
        <v>516</v>
      </c>
      <c r="I56" s="36">
        <v>44441</v>
      </c>
      <c r="J56" s="30">
        <v>5</v>
      </c>
      <c r="K56" s="30">
        <v>158</v>
      </c>
      <c r="L56" s="30">
        <v>158</v>
      </c>
      <c r="M56" s="21">
        <v>2333376</v>
      </c>
    </row>
    <row r="57" spans="1:13" x14ac:dyDescent="0.25">
      <c r="A57" s="26">
        <v>8</v>
      </c>
      <c r="B57" s="30" t="s">
        <v>954</v>
      </c>
      <c r="C57" s="26" t="s">
        <v>29</v>
      </c>
      <c r="D57" s="30" t="s">
        <v>30</v>
      </c>
      <c r="E57" s="30" t="s">
        <v>473</v>
      </c>
      <c r="F57" s="30" t="s">
        <v>29</v>
      </c>
      <c r="G57" s="30" t="s">
        <v>35</v>
      </c>
      <c r="H57" s="30" t="s">
        <v>963</v>
      </c>
      <c r="I57" s="36">
        <v>44441</v>
      </c>
      <c r="J57" s="30">
        <v>2</v>
      </c>
      <c r="K57" s="30">
        <v>58</v>
      </c>
      <c r="L57" s="30">
        <v>58</v>
      </c>
      <c r="M57" s="21">
        <v>959376</v>
      </c>
    </row>
    <row r="58" spans="1:13" x14ac:dyDescent="0.25">
      <c r="A58" s="26">
        <v>9</v>
      </c>
      <c r="B58" s="30" t="s">
        <v>955</v>
      </c>
      <c r="C58" s="26" t="s">
        <v>29</v>
      </c>
      <c r="D58" s="30" t="s">
        <v>30</v>
      </c>
      <c r="E58" s="30" t="s">
        <v>473</v>
      </c>
      <c r="F58" s="30" t="s">
        <v>29</v>
      </c>
      <c r="G58" s="30" t="s">
        <v>69</v>
      </c>
      <c r="H58" s="30" t="s">
        <v>488</v>
      </c>
      <c r="I58" s="36">
        <v>44441</v>
      </c>
      <c r="J58" s="30">
        <v>5</v>
      </c>
      <c r="K58" s="30">
        <v>156</v>
      </c>
      <c r="L58" s="30">
        <v>156</v>
      </c>
      <c r="M58" s="21">
        <v>2732982</v>
      </c>
    </row>
    <row r="59" spans="1:13" x14ac:dyDescent="0.25">
      <c r="A59" s="26">
        <v>10</v>
      </c>
      <c r="B59" s="30" t="s">
        <v>956</v>
      </c>
      <c r="C59" s="26" t="s">
        <v>29</v>
      </c>
      <c r="D59" s="30" t="s">
        <v>815</v>
      </c>
      <c r="E59" s="30" t="s">
        <v>23</v>
      </c>
      <c r="F59" s="30" t="s">
        <v>29</v>
      </c>
      <c r="G59" s="30" t="s">
        <v>50</v>
      </c>
      <c r="H59" s="30" t="s">
        <v>58</v>
      </c>
      <c r="I59" s="36">
        <v>44442</v>
      </c>
      <c r="J59" s="30">
        <v>2</v>
      </c>
      <c r="K59" s="30">
        <v>27</v>
      </c>
      <c r="L59" s="30">
        <v>27</v>
      </c>
      <c r="M59" s="21">
        <v>1049319</v>
      </c>
    </row>
    <row r="60" spans="1:13" x14ac:dyDescent="0.25">
      <c r="A60" s="26">
        <v>11</v>
      </c>
      <c r="B60" s="30" t="s">
        <v>957</v>
      </c>
      <c r="C60" s="26" t="s">
        <v>29</v>
      </c>
      <c r="D60" s="30" t="s">
        <v>85</v>
      </c>
      <c r="E60" s="30" t="s">
        <v>505</v>
      </c>
      <c r="F60" s="30" t="s">
        <v>29</v>
      </c>
      <c r="G60" s="30" t="s">
        <v>72</v>
      </c>
      <c r="H60" s="30" t="s">
        <v>964</v>
      </c>
      <c r="I60" s="36">
        <v>44442</v>
      </c>
      <c r="J60" s="30">
        <v>7</v>
      </c>
      <c r="K60" s="30">
        <v>149</v>
      </c>
      <c r="L60" s="30">
        <v>149</v>
      </c>
      <c r="M60" s="21">
        <v>3363303</v>
      </c>
    </row>
    <row r="61" spans="1:13" x14ac:dyDescent="0.25">
      <c r="A61" s="26">
        <v>12</v>
      </c>
      <c r="B61" s="30" t="s">
        <v>958</v>
      </c>
      <c r="C61" s="26" t="s">
        <v>29</v>
      </c>
      <c r="D61" s="30" t="s">
        <v>815</v>
      </c>
      <c r="E61" s="30" t="s">
        <v>23</v>
      </c>
      <c r="F61" s="30" t="s">
        <v>29</v>
      </c>
      <c r="G61" s="30" t="s">
        <v>112</v>
      </c>
      <c r="H61" s="30" t="s">
        <v>113</v>
      </c>
      <c r="I61" s="36">
        <v>44442</v>
      </c>
      <c r="J61" s="30">
        <v>3</v>
      </c>
      <c r="K61" s="30">
        <v>43</v>
      </c>
      <c r="L61" s="30">
        <v>49</v>
      </c>
      <c r="M61" s="21">
        <v>2469188</v>
      </c>
    </row>
    <row r="62" spans="1:13" x14ac:dyDescent="0.25">
      <c r="A62" s="26">
        <v>13</v>
      </c>
      <c r="B62" s="30" t="s">
        <v>959</v>
      </c>
      <c r="C62" s="26" t="s">
        <v>29</v>
      </c>
      <c r="D62" s="30" t="s">
        <v>30</v>
      </c>
      <c r="E62" s="30" t="s">
        <v>473</v>
      </c>
      <c r="F62" s="30" t="s">
        <v>29</v>
      </c>
      <c r="G62" s="30" t="s">
        <v>166</v>
      </c>
      <c r="H62" s="30" t="s">
        <v>485</v>
      </c>
      <c r="I62" s="36">
        <v>44443</v>
      </c>
      <c r="J62" s="30">
        <v>7</v>
      </c>
      <c r="K62" s="30">
        <v>181</v>
      </c>
      <c r="L62" s="30">
        <v>181</v>
      </c>
      <c r="M62" s="21">
        <v>2770957</v>
      </c>
    </row>
    <row r="63" spans="1:13" x14ac:dyDescent="0.25">
      <c r="A63" s="26">
        <v>14</v>
      </c>
      <c r="B63" s="30" t="s">
        <v>960</v>
      </c>
      <c r="C63" s="26" t="s">
        <v>29</v>
      </c>
      <c r="D63" s="30" t="s">
        <v>30</v>
      </c>
      <c r="E63" s="30" t="s">
        <v>473</v>
      </c>
      <c r="F63" s="30" t="s">
        <v>29</v>
      </c>
      <c r="G63" s="30" t="s">
        <v>79</v>
      </c>
      <c r="H63" s="30" t="s">
        <v>89</v>
      </c>
      <c r="I63" s="36">
        <v>44443</v>
      </c>
      <c r="J63" s="30">
        <v>3</v>
      </c>
      <c r="K63" s="30">
        <v>59</v>
      </c>
      <c r="L63" s="30">
        <v>60</v>
      </c>
      <c r="M63" s="21">
        <v>1322070</v>
      </c>
    </row>
    <row r="64" spans="1:13" x14ac:dyDescent="0.25">
      <c r="A64" s="26">
        <v>15</v>
      </c>
      <c r="B64" s="30" t="s">
        <v>961</v>
      </c>
      <c r="C64" s="26" t="s">
        <v>29</v>
      </c>
      <c r="D64" s="30" t="s">
        <v>815</v>
      </c>
      <c r="E64" s="30" t="s">
        <v>23</v>
      </c>
      <c r="F64" s="30" t="s">
        <v>29</v>
      </c>
      <c r="G64" s="30" t="s">
        <v>50</v>
      </c>
      <c r="H64" s="30" t="s">
        <v>58</v>
      </c>
      <c r="I64" s="36">
        <v>44443</v>
      </c>
      <c r="J64" s="30">
        <v>2</v>
      </c>
      <c r="K64" s="30">
        <v>30</v>
      </c>
      <c r="L64" s="30">
        <v>30</v>
      </c>
      <c r="M64" s="21">
        <v>1164660</v>
      </c>
    </row>
    <row r="65" spans="1:13" x14ac:dyDescent="0.25">
      <c r="A65" s="26">
        <v>16</v>
      </c>
      <c r="B65" s="30" t="s">
        <v>962</v>
      </c>
      <c r="C65" s="26" t="s">
        <v>29</v>
      </c>
      <c r="D65" s="30" t="s">
        <v>815</v>
      </c>
      <c r="E65" s="30" t="s">
        <v>23</v>
      </c>
      <c r="F65" s="30" t="s">
        <v>29</v>
      </c>
      <c r="G65" s="30" t="s">
        <v>50</v>
      </c>
      <c r="H65" s="30" t="s">
        <v>58</v>
      </c>
      <c r="I65" s="36">
        <v>44444</v>
      </c>
      <c r="J65" s="30">
        <v>2</v>
      </c>
      <c r="K65" s="30">
        <v>30</v>
      </c>
      <c r="L65" s="30">
        <v>30</v>
      </c>
      <c r="M65" s="21">
        <v>1191660</v>
      </c>
    </row>
    <row r="66" spans="1:13" x14ac:dyDescent="0.25">
      <c r="A66" s="26">
        <v>17</v>
      </c>
      <c r="B66" s="30" t="s">
        <v>968</v>
      </c>
      <c r="C66" s="26" t="s">
        <v>29</v>
      </c>
      <c r="D66" s="30" t="s">
        <v>815</v>
      </c>
      <c r="E66" s="30" t="s">
        <v>23</v>
      </c>
      <c r="F66" s="30" t="s">
        <v>29</v>
      </c>
      <c r="G66" s="30" t="s">
        <v>713</v>
      </c>
      <c r="H66" s="30" t="s">
        <v>714</v>
      </c>
      <c r="I66" s="36">
        <v>44446</v>
      </c>
      <c r="J66" s="30">
        <v>2</v>
      </c>
      <c r="K66" s="30">
        <v>5</v>
      </c>
      <c r="L66" s="30">
        <v>10</v>
      </c>
      <c r="M66" s="21">
        <v>217720</v>
      </c>
    </row>
    <row r="67" spans="1:13" x14ac:dyDescent="0.25">
      <c r="A67" s="26">
        <v>18</v>
      </c>
      <c r="B67" s="30" t="s">
        <v>970</v>
      </c>
      <c r="C67" s="26" t="s">
        <v>29</v>
      </c>
      <c r="D67" s="30" t="s">
        <v>815</v>
      </c>
      <c r="E67" s="30" t="s">
        <v>23</v>
      </c>
      <c r="F67" s="30" t="s">
        <v>29</v>
      </c>
      <c r="G67" s="30" t="s">
        <v>112</v>
      </c>
      <c r="H67" s="30" t="s">
        <v>1003</v>
      </c>
      <c r="I67" s="36">
        <v>44446</v>
      </c>
      <c r="J67" s="30">
        <v>2</v>
      </c>
      <c r="K67" s="30">
        <v>4</v>
      </c>
      <c r="L67" s="30">
        <v>10</v>
      </c>
      <c r="M67" s="21">
        <v>521870</v>
      </c>
    </row>
    <row r="68" spans="1:13" x14ac:dyDescent="0.25">
      <c r="A68" s="26">
        <v>19</v>
      </c>
      <c r="B68" s="30" t="s">
        <v>971</v>
      </c>
      <c r="C68" s="26" t="s">
        <v>29</v>
      </c>
      <c r="D68" s="30" t="s">
        <v>815</v>
      </c>
      <c r="E68" s="30" t="s">
        <v>23</v>
      </c>
      <c r="F68" s="30" t="s">
        <v>29</v>
      </c>
      <c r="G68" s="30" t="s">
        <v>79</v>
      </c>
      <c r="H68" s="30" t="s">
        <v>89</v>
      </c>
      <c r="I68" s="36">
        <v>44446</v>
      </c>
      <c r="J68" s="30">
        <v>2</v>
      </c>
      <c r="K68" s="30">
        <v>40</v>
      </c>
      <c r="L68" s="30">
        <v>40</v>
      </c>
      <c r="M68" s="21">
        <v>881130</v>
      </c>
    </row>
    <row r="69" spans="1:13" x14ac:dyDescent="0.25">
      <c r="A69" s="26">
        <v>20</v>
      </c>
      <c r="B69" s="30" t="s">
        <v>972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281</v>
      </c>
      <c r="H69" s="30" t="s">
        <v>1004</v>
      </c>
      <c r="I69" s="36">
        <v>44446</v>
      </c>
      <c r="J69" s="30">
        <v>7</v>
      </c>
      <c r="K69" s="30">
        <v>81</v>
      </c>
      <c r="L69" s="30">
        <v>81</v>
      </c>
      <c r="M69" s="21">
        <v>1683657</v>
      </c>
    </row>
    <row r="70" spans="1:13" x14ac:dyDescent="0.25">
      <c r="A70" s="26">
        <v>21</v>
      </c>
      <c r="B70" s="30" t="s">
        <v>973</v>
      </c>
      <c r="C70" s="26" t="s">
        <v>29</v>
      </c>
      <c r="D70" s="30" t="s">
        <v>815</v>
      </c>
      <c r="E70" s="30" t="s">
        <v>23</v>
      </c>
      <c r="F70" s="30" t="s">
        <v>29</v>
      </c>
      <c r="G70" s="30" t="s">
        <v>24</v>
      </c>
      <c r="H70" s="30" t="s">
        <v>138</v>
      </c>
      <c r="I70" s="36">
        <v>44446</v>
      </c>
      <c r="J70" s="30">
        <v>4</v>
      </c>
      <c r="K70" s="30">
        <v>75</v>
      </c>
      <c r="L70" s="30">
        <v>75</v>
      </c>
      <c r="M70" s="21">
        <v>2232150</v>
      </c>
    </row>
    <row r="71" spans="1:13" x14ac:dyDescent="0.25">
      <c r="A71" s="26">
        <v>22</v>
      </c>
      <c r="B71" s="30" t="s">
        <v>974</v>
      </c>
      <c r="C71" s="26" t="s">
        <v>29</v>
      </c>
      <c r="D71" s="30" t="s">
        <v>815</v>
      </c>
      <c r="E71" s="30" t="s">
        <v>23</v>
      </c>
      <c r="F71" s="30" t="s">
        <v>29</v>
      </c>
      <c r="G71" s="30" t="s">
        <v>50</v>
      </c>
      <c r="H71" s="30" t="s">
        <v>58</v>
      </c>
      <c r="I71" s="36">
        <v>44446</v>
      </c>
      <c r="J71" s="30">
        <v>5</v>
      </c>
      <c r="K71" s="30">
        <v>69</v>
      </c>
      <c r="L71" s="30">
        <v>69</v>
      </c>
      <c r="M71" s="21">
        <v>2726193</v>
      </c>
    </row>
    <row r="72" spans="1:13" x14ac:dyDescent="0.25">
      <c r="A72" s="26">
        <v>23</v>
      </c>
      <c r="B72" s="30" t="s">
        <v>975</v>
      </c>
      <c r="C72" s="26" t="s">
        <v>29</v>
      </c>
      <c r="D72" s="30" t="s">
        <v>30</v>
      </c>
      <c r="E72" s="30" t="s">
        <v>473</v>
      </c>
      <c r="F72" s="30" t="s">
        <v>29</v>
      </c>
      <c r="G72" s="30" t="s">
        <v>64</v>
      </c>
      <c r="H72" s="30" t="s">
        <v>499</v>
      </c>
      <c r="I72" s="36">
        <v>44446</v>
      </c>
      <c r="J72" s="30">
        <v>2</v>
      </c>
      <c r="K72" s="30">
        <v>38</v>
      </c>
      <c r="L72" s="30">
        <v>38</v>
      </c>
      <c r="M72" s="21">
        <v>816356</v>
      </c>
    </row>
    <row r="73" spans="1:13" x14ac:dyDescent="0.25">
      <c r="A73" s="26">
        <v>24</v>
      </c>
      <c r="B73" s="30" t="s">
        <v>976</v>
      </c>
      <c r="C73" s="26" t="s">
        <v>29</v>
      </c>
      <c r="D73" s="30" t="s">
        <v>815</v>
      </c>
      <c r="E73" s="30" t="s">
        <v>23</v>
      </c>
      <c r="F73" s="30" t="s">
        <v>29</v>
      </c>
      <c r="G73" s="30" t="s">
        <v>184</v>
      </c>
      <c r="H73" s="30" t="s">
        <v>219</v>
      </c>
      <c r="I73" s="36">
        <v>44446</v>
      </c>
      <c r="J73" s="30">
        <v>3</v>
      </c>
      <c r="K73" s="30">
        <v>16</v>
      </c>
      <c r="L73" s="30">
        <v>16</v>
      </c>
      <c r="M73" s="21">
        <v>341602</v>
      </c>
    </row>
    <row r="74" spans="1:13" x14ac:dyDescent="0.25">
      <c r="A74" s="26">
        <v>25</v>
      </c>
      <c r="B74" s="30" t="s">
        <v>977</v>
      </c>
      <c r="C74" s="26" t="s">
        <v>29</v>
      </c>
      <c r="D74" s="30" t="s">
        <v>30</v>
      </c>
      <c r="E74" s="30" t="s">
        <v>473</v>
      </c>
      <c r="F74" s="30" t="s">
        <v>29</v>
      </c>
      <c r="G74" s="30" t="s">
        <v>35</v>
      </c>
      <c r="H74" s="30" t="s">
        <v>963</v>
      </c>
      <c r="I74" s="36">
        <v>44446</v>
      </c>
      <c r="J74" s="30">
        <v>2</v>
      </c>
      <c r="K74" s="30">
        <v>37</v>
      </c>
      <c r="L74" s="30">
        <v>37</v>
      </c>
      <c r="M74" s="21">
        <v>622194</v>
      </c>
    </row>
    <row r="75" spans="1:13" x14ac:dyDescent="0.25">
      <c r="A75" s="26">
        <v>26</v>
      </c>
      <c r="B75" s="30" t="s">
        <v>978</v>
      </c>
      <c r="C75" s="26" t="s">
        <v>29</v>
      </c>
      <c r="D75" s="30" t="s">
        <v>30</v>
      </c>
      <c r="E75" s="30" t="s">
        <v>473</v>
      </c>
      <c r="F75" s="30" t="s">
        <v>29</v>
      </c>
      <c r="G75" s="30" t="s">
        <v>184</v>
      </c>
      <c r="H75" s="30" t="s">
        <v>219</v>
      </c>
      <c r="I75" s="36">
        <v>44446</v>
      </c>
      <c r="J75" s="30">
        <v>4</v>
      </c>
      <c r="K75" s="30">
        <v>56</v>
      </c>
      <c r="L75" s="30">
        <v>56</v>
      </c>
      <c r="M75" s="21">
        <v>1173082</v>
      </c>
    </row>
    <row r="76" spans="1:13" x14ac:dyDescent="0.25">
      <c r="A76" s="26">
        <v>27</v>
      </c>
      <c r="B76" s="30" t="s">
        <v>979</v>
      </c>
      <c r="C76" s="26" t="s">
        <v>29</v>
      </c>
      <c r="D76" s="30" t="s">
        <v>815</v>
      </c>
      <c r="E76" s="30" t="s">
        <v>23</v>
      </c>
      <c r="F76" s="30" t="s">
        <v>29</v>
      </c>
      <c r="G76" s="30" t="s">
        <v>210</v>
      </c>
      <c r="H76" s="30" t="s">
        <v>516</v>
      </c>
      <c r="I76" s="36">
        <v>44446</v>
      </c>
      <c r="J76" s="30">
        <v>2</v>
      </c>
      <c r="K76" s="30">
        <v>5</v>
      </c>
      <c r="L76" s="30">
        <v>10</v>
      </c>
      <c r="M76" s="21">
        <v>157220</v>
      </c>
    </row>
    <row r="77" spans="1:13" x14ac:dyDescent="0.25">
      <c r="A77" s="26">
        <v>28</v>
      </c>
      <c r="B77" s="30" t="s">
        <v>980</v>
      </c>
      <c r="C77" s="26" t="s">
        <v>29</v>
      </c>
      <c r="D77" s="30" t="s">
        <v>30</v>
      </c>
      <c r="E77" s="30" t="s">
        <v>473</v>
      </c>
      <c r="F77" s="30" t="s">
        <v>29</v>
      </c>
      <c r="G77" s="30" t="s">
        <v>171</v>
      </c>
      <c r="H77" s="30" t="s">
        <v>735</v>
      </c>
      <c r="I77" s="36">
        <v>44446</v>
      </c>
      <c r="J77" s="30">
        <v>2</v>
      </c>
      <c r="K77" s="30">
        <v>38</v>
      </c>
      <c r="L77" s="30">
        <v>38</v>
      </c>
      <c r="M77" s="21">
        <v>716036</v>
      </c>
    </row>
    <row r="78" spans="1:13" x14ac:dyDescent="0.25">
      <c r="A78" s="26">
        <v>29</v>
      </c>
      <c r="B78" s="30" t="s">
        <v>981</v>
      </c>
      <c r="C78" s="26" t="s">
        <v>29</v>
      </c>
      <c r="D78" s="30" t="s">
        <v>815</v>
      </c>
      <c r="E78" s="30" t="s">
        <v>23</v>
      </c>
      <c r="F78" s="30" t="s">
        <v>29</v>
      </c>
      <c r="G78" s="30" t="s">
        <v>210</v>
      </c>
      <c r="H78" s="30" t="s">
        <v>516</v>
      </c>
      <c r="I78" s="36">
        <v>44447</v>
      </c>
      <c r="J78" s="30">
        <v>1</v>
      </c>
      <c r="K78" s="30">
        <v>1</v>
      </c>
      <c r="L78" s="30">
        <v>10</v>
      </c>
      <c r="M78" s="21">
        <v>157220</v>
      </c>
    </row>
    <row r="79" spans="1:13" x14ac:dyDescent="0.25">
      <c r="A79" s="26">
        <v>30</v>
      </c>
      <c r="B79" s="30" t="s">
        <v>983</v>
      </c>
      <c r="C79" s="26" t="s">
        <v>29</v>
      </c>
      <c r="D79" s="30" t="s">
        <v>815</v>
      </c>
      <c r="E79" s="30" t="s">
        <v>23</v>
      </c>
      <c r="F79" s="30" t="s">
        <v>29</v>
      </c>
      <c r="G79" s="30" t="s">
        <v>60</v>
      </c>
      <c r="H79" s="30" t="s">
        <v>816</v>
      </c>
      <c r="I79" s="36">
        <v>44447</v>
      </c>
      <c r="J79" s="30">
        <v>3</v>
      </c>
      <c r="K79" s="30">
        <v>15</v>
      </c>
      <c r="L79" s="30">
        <v>26</v>
      </c>
      <c r="M79" s="21">
        <v>562372</v>
      </c>
    </row>
    <row r="80" spans="1:13" x14ac:dyDescent="0.25">
      <c r="A80" s="26">
        <v>31</v>
      </c>
      <c r="B80" s="30" t="s">
        <v>984</v>
      </c>
      <c r="C80" s="26" t="s">
        <v>29</v>
      </c>
      <c r="D80" s="30" t="s">
        <v>815</v>
      </c>
      <c r="E80" s="30" t="s">
        <v>23</v>
      </c>
      <c r="F80" s="30" t="s">
        <v>29</v>
      </c>
      <c r="G80" s="30" t="s">
        <v>50</v>
      </c>
      <c r="H80" s="30" t="s">
        <v>58</v>
      </c>
      <c r="I80" s="36">
        <v>44447</v>
      </c>
      <c r="J80" s="30">
        <v>4</v>
      </c>
      <c r="K80" s="30">
        <v>43</v>
      </c>
      <c r="L80" s="30">
        <v>43</v>
      </c>
      <c r="M80" s="21">
        <v>1703171</v>
      </c>
    </row>
    <row r="81" spans="1:13" x14ac:dyDescent="0.25">
      <c r="A81" s="26">
        <v>32</v>
      </c>
      <c r="B81" s="30" t="s">
        <v>986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69</v>
      </c>
      <c r="H81" s="30" t="s">
        <v>488</v>
      </c>
      <c r="I81" s="36">
        <v>44447</v>
      </c>
      <c r="J81" s="30">
        <v>2</v>
      </c>
      <c r="K81" s="30">
        <v>2</v>
      </c>
      <c r="L81" s="30">
        <v>10</v>
      </c>
      <c r="M81" s="21">
        <v>184720</v>
      </c>
    </row>
    <row r="82" spans="1:13" x14ac:dyDescent="0.25">
      <c r="A82" s="26">
        <v>33</v>
      </c>
      <c r="B82" s="30" t="s">
        <v>987</v>
      </c>
      <c r="C82" s="26" t="s">
        <v>29</v>
      </c>
      <c r="D82" s="30" t="s">
        <v>85</v>
      </c>
      <c r="E82" s="30" t="s">
        <v>23</v>
      </c>
      <c r="F82" s="30" t="s">
        <v>29</v>
      </c>
      <c r="G82" s="30" t="s">
        <v>115</v>
      </c>
      <c r="H82" s="30" t="s">
        <v>233</v>
      </c>
      <c r="I82" s="36">
        <v>44447</v>
      </c>
      <c r="J82" s="30">
        <v>14</v>
      </c>
      <c r="K82" s="30">
        <v>277</v>
      </c>
      <c r="L82" s="30">
        <v>290</v>
      </c>
      <c r="M82" s="21">
        <v>20571380</v>
      </c>
    </row>
    <row r="83" spans="1:13" x14ac:dyDescent="0.25">
      <c r="A83" s="26">
        <v>34</v>
      </c>
      <c r="B83" s="30" t="s">
        <v>988</v>
      </c>
      <c r="C83" s="26" t="s">
        <v>29</v>
      </c>
      <c r="D83" s="30" t="s">
        <v>85</v>
      </c>
      <c r="E83" s="30" t="s">
        <v>23</v>
      </c>
      <c r="F83" s="30" t="s">
        <v>29</v>
      </c>
      <c r="G83" s="30" t="s">
        <v>115</v>
      </c>
      <c r="H83" s="30" t="s">
        <v>233</v>
      </c>
      <c r="I83" s="36">
        <v>44447</v>
      </c>
      <c r="J83" s="30">
        <v>13</v>
      </c>
      <c r="K83" s="30">
        <v>258</v>
      </c>
      <c r="L83" s="30">
        <v>263</v>
      </c>
      <c r="M83" s="21">
        <v>18657161</v>
      </c>
    </row>
    <row r="84" spans="1:13" x14ac:dyDescent="0.25">
      <c r="A84" s="26">
        <v>35</v>
      </c>
      <c r="B84" s="30" t="s">
        <v>989</v>
      </c>
      <c r="C84" s="26" t="s">
        <v>29</v>
      </c>
      <c r="D84" s="30" t="s">
        <v>815</v>
      </c>
      <c r="E84" s="30" t="s">
        <v>23</v>
      </c>
      <c r="F84" s="30" t="s">
        <v>29</v>
      </c>
      <c r="G84" s="30" t="s">
        <v>24</v>
      </c>
      <c r="H84" s="30" t="s">
        <v>128</v>
      </c>
      <c r="I84" s="36">
        <v>44447</v>
      </c>
      <c r="J84" s="30">
        <v>6</v>
      </c>
      <c r="K84" s="30">
        <v>44</v>
      </c>
      <c r="L84" s="30">
        <v>62</v>
      </c>
      <c r="M84" s="21">
        <v>1847194</v>
      </c>
    </row>
    <row r="85" spans="1:13" x14ac:dyDescent="0.25">
      <c r="A85" s="26">
        <v>36</v>
      </c>
      <c r="B85" s="30" t="s">
        <v>990</v>
      </c>
      <c r="C85" s="26" t="s">
        <v>29</v>
      </c>
      <c r="D85" s="30" t="s">
        <v>815</v>
      </c>
      <c r="E85" s="30" t="s">
        <v>23</v>
      </c>
      <c r="F85" s="30" t="s">
        <v>29</v>
      </c>
      <c r="G85" s="30" t="s">
        <v>281</v>
      </c>
      <c r="H85" s="30" t="s">
        <v>1004</v>
      </c>
      <c r="I85" s="36">
        <v>44447</v>
      </c>
      <c r="J85" s="30">
        <v>2</v>
      </c>
      <c r="K85" s="30">
        <v>5</v>
      </c>
      <c r="L85" s="30">
        <v>10</v>
      </c>
      <c r="M85" s="21">
        <v>217720</v>
      </c>
    </row>
    <row r="86" spans="1:13" x14ac:dyDescent="0.25">
      <c r="A86" s="26">
        <v>37</v>
      </c>
      <c r="B86" s="30" t="s">
        <v>991</v>
      </c>
      <c r="C86" s="26" t="s">
        <v>29</v>
      </c>
      <c r="D86" s="30" t="s">
        <v>815</v>
      </c>
      <c r="E86" s="30" t="s">
        <v>23</v>
      </c>
      <c r="F86" s="30" t="s">
        <v>29</v>
      </c>
      <c r="G86" s="30" t="s">
        <v>184</v>
      </c>
      <c r="H86" s="30" t="s">
        <v>219</v>
      </c>
      <c r="I86" s="36">
        <v>44447</v>
      </c>
      <c r="J86" s="30">
        <v>7</v>
      </c>
      <c r="K86" s="30">
        <v>61</v>
      </c>
      <c r="L86" s="30">
        <v>61</v>
      </c>
      <c r="M86" s="21">
        <v>1270717</v>
      </c>
    </row>
    <row r="87" spans="1:13" x14ac:dyDescent="0.25">
      <c r="A87" s="26">
        <v>38</v>
      </c>
      <c r="B87" s="30" t="s">
        <v>992</v>
      </c>
      <c r="C87" s="26" t="s">
        <v>29</v>
      </c>
      <c r="D87" s="30" t="s">
        <v>815</v>
      </c>
      <c r="E87" s="30" t="s">
        <v>23</v>
      </c>
      <c r="F87" s="30" t="s">
        <v>29</v>
      </c>
      <c r="G87" s="30" t="s">
        <v>713</v>
      </c>
      <c r="H87" s="30" t="s">
        <v>714</v>
      </c>
      <c r="I87" s="36">
        <v>44447</v>
      </c>
      <c r="J87" s="30">
        <v>3</v>
      </c>
      <c r="K87" s="30">
        <v>1</v>
      </c>
      <c r="L87" s="30">
        <v>13</v>
      </c>
      <c r="M87" s="21">
        <v>279661</v>
      </c>
    </row>
    <row r="88" spans="1:13" x14ac:dyDescent="0.25">
      <c r="A88" s="26">
        <v>39</v>
      </c>
      <c r="B88" s="30" t="s">
        <v>993</v>
      </c>
      <c r="C88" s="26" t="s">
        <v>29</v>
      </c>
      <c r="D88" s="30" t="s">
        <v>815</v>
      </c>
      <c r="E88" s="30" t="s">
        <v>23</v>
      </c>
      <c r="F88" s="30" t="s">
        <v>29</v>
      </c>
      <c r="G88" s="30" t="s">
        <v>76</v>
      </c>
      <c r="H88" s="30" t="s">
        <v>819</v>
      </c>
      <c r="I88" s="36">
        <v>44448</v>
      </c>
      <c r="J88" s="30">
        <v>1</v>
      </c>
      <c r="K88" s="30">
        <v>41</v>
      </c>
      <c r="L88" s="30">
        <v>41</v>
      </c>
      <c r="M88" s="21">
        <v>1090042</v>
      </c>
    </row>
    <row r="89" spans="1:13" x14ac:dyDescent="0.25">
      <c r="A89" s="26">
        <v>40</v>
      </c>
      <c r="B89" s="30" t="s">
        <v>994</v>
      </c>
      <c r="C89" s="26" t="s">
        <v>29</v>
      </c>
      <c r="D89" s="30" t="s">
        <v>815</v>
      </c>
      <c r="E89" s="30" t="s">
        <v>23</v>
      </c>
      <c r="F89" s="30" t="s">
        <v>29</v>
      </c>
      <c r="G89" s="30" t="s">
        <v>184</v>
      </c>
      <c r="H89" s="30" t="s">
        <v>724</v>
      </c>
      <c r="I89" s="36">
        <v>44448</v>
      </c>
      <c r="J89" s="30">
        <v>5</v>
      </c>
      <c r="K89" s="30">
        <v>48</v>
      </c>
      <c r="L89" s="30">
        <v>48</v>
      </c>
      <c r="M89" s="21">
        <v>1002306</v>
      </c>
    </row>
    <row r="90" spans="1:13" x14ac:dyDescent="0.25">
      <c r="A90" s="26">
        <v>41</v>
      </c>
      <c r="B90" s="30" t="s">
        <v>995</v>
      </c>
      <c r="C90" s="26" t="s">
        <v>29</v>
      </c>
      <c r="D90" s="30" t="s">
        <v>221</v>
      </c>
      <c r="E90" s="30" t="s">
        <v>23</v>
      </c>
      <c r="F90" s="30" t="s">
        <v>29</v>
      </c>
      <c r="G90" s="30" t="s">
        <v>235</v>
      </c>
      <c r="H90" s="30" t="s">
        <v>236</v>
      </c>
      <c r="I90" s="36">
        <v>44448</v>
      </c>
      <c r="J90" s="30">
        <v>1</v>
      </c>
      <c r="K90" s="30">
        <v>23</v>
      </c>
      <c r="L90" s="30">
        <v>23</v>
      </c>
      <c r="M90" s="21">
        <v>1013176</v>
      </c>
    </row>
    <row r="91" spans="1:13" x14ac:dyDescent="0.25">
      <c r="A91" s="26">
        <v>42</v>
      </c>
      <c r="B91" s="30" t="s">
        <v>996</v>
      </c>
      <c r="C91" s="26" t="s">
        <v>29</v>
      </c>
      <c r="D91" s="30" t="s">
        <v>815</v>
      </c>
      <c r="E91" s="30" t="s">
        <v>23</v>
      </c>
      <c r="F91" s="30" t="s">
        <v>29</v>
      </c>
      <c r="G91" s="30" t="s">
        <v>171</v>
      </c>
      <c r="H91" s="30" t="s">
        <v>735</v>
      </c>
      <c r="I91" s="36">
        <v>44448</v>
      </c>
      <c r="J91" s="30">
        <v>5</v>
      </c>
      <c r="K91" s="30">
        <v>87</v>
      </c>
      <c r="L91" s="30">
        <v>87</v>
      </c>
      <c r="M91" s="21">
        <v>1616139</v>
      </c>
    </row>
    <row r="92" spans="1:13" x14ac:dyDescent="0.25">
      <c r="A92" s="26">
        <v>43</v>
      </c>
      <c r="B92" s="30" t="s">
        <v>997</v>
      </c>
      <c r="C92" s="26" t="s">
        <v>29</v>
      </c>
      <c r="D92" s="30" t="s">
        <v>30</v>
      </c>
      <c r="E92" s="30" t="s">
        <v>473</v>
      </c>
      <c r="F92" s="30" t="s">
        <v>29</v>
      </c>
      <c r="G92" s="30" t="s">
        <v>35</v>
      </c>
      <c r="H92" s="30" t="s">
        <v>277</v>
      </c>
      <c r="I92" s="36">
        <v>44448</v>
      </c>
      <c r="J92" s="30">
        <v>2</v>
      </c>
      <c r="K92" s="30">
        <v>40</v>
      </c>
      <c r="L92" s="30">
        <v>40</v>
      </c>
      <c r="M92" s="21">
        <v>665130</v>
      </c>
    </row>
    <row r="93" spans="1:13" x14ac:dyDescent="0.25">
      <c r="A93" s="26">
        <v>44</v>
      </c>
      <c r="B93" s="30" t="s">
        <v>998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210</v>
      </c>
      <c r="H93" s="30" t="s">
        <v>1008</v>
      </c>
      <c r="I93" s="36">
        <v>44448</v>
      </c>
      <c r="J93" s="30">
        <v>5</v>
      </c>
      <c r="K93" s="30">
        <v>60</v>
      </c>
      <c r="L93" s="30">
        <v>60</v>
      </c>
      <c r="M93" s="21">
        <v>887070</v>
      </c>
    </row>
    <row r="94" spans="1:13" x14ac:dyDescent="0.25">
      <c r="A94" s="26">
        <v>45</v>
      </c>
      <c r="B94" s="30" t="s">
        <v>999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60</v>
      </c>
      <c r="H94" s="30" t="s">
        <v>816</v>
      </c>
      <c r="I94" s="36">
        <v>44448</v>
      </c>
      <c r="J94" s="30">
        <v>7</v>
      </c>
      <c r="K94" s="30">
        <v>50</v>
      </c>
      <c r="L94" s="30">
        <v>71</v>
      </c>
      <c r="M94" s="21">
        <v>1516237</v>
      </c>
    </row>
    <row r="95" spans="1:13" x14ac:dyDescent="0.25">
      <c r="A95" s="26">
        <v>46</v>
      </c>
      <c r="B95" s="30" t="s">
        <v>1001</v>
      </c>
      <c r="C95" s="26" t="s">
        <v>29</v>
      </c>
      <c r="D95" s="30" t="s">
        <v>815</v>
      </c>
      <c r="E95" s="30" t="s">
        <v>23</v>
      </c>
      <c r="F95" s="30" t="s">
        <v>29</v>
      </c>
      <c r="G95" s="30" t="s">
        <v>72</v>
      </c>
      <c r="H95" s="30" t="s">
        <v>1009</v>
      </c>
      <c r="I95" s="36">
        <v>44448</v>
      </c>
      <c r="J95" s="30">
        <v>3</v>
      </c>
      <c r="K95" s="30">
        <v>33</v>
      </c>
      <c r="L95" s="30">
        <v>53</v>
      </c>
      <c r="M95" s="21">
        <v>1251291</v>
      </c>
    </row>
    <row r="96" spans="1:13" x14ac:dyDescent="0.25">
      <c r="A96" s="26">
        <v>47</v>
      </c>
      <c r="B96" s="30" t="s">
        <v>1002</v>
      </c>
      <c r="C96" s="26" t="s">
        <v>29</v>
      </c>
      <c r="D96" s="30" t="s">
        <v>815</v>
      </c>
      <c r="E96" s="30" t="s">
        <v>23</v>
      </c>
      <c r="F96" s="30" t="s">
        <v>29</v>
      </c>
      <c r="G96" s="30" t="s">
        <v>50</v>
      </c>
      <c r="H96" s="30" t="s">
        <v>58</v>
      </c>
      <c r="I96" s="36">
        <v>44448</v>
      </c>
      <c r="J96" s="30">
        <v>2</v>
      </c>
      <c r="K96" s="30">
        <v>9</v>
      </c>
      <c r="L96" s="30">
        <v>10</v>
      </c>
      <c r="M96" s="21">
        <v>406370</v>
      </c>
    </row>
    <row r="97" spans="1:13" x14ac:dyDescent="0.25">
      <c r="A97" s="26">
        <v>48</v>
      </c>
      <c r="B97" s="30" t="s">
        <v>1011</v>
      </c>
      <c r="C97" s="26" t="s">
        <v>29</v>
      </c>
      <c r="D97" s="30" t="s">
        <v>617</v>
      </c>
      <c r="E97" s="30" t="s">
        <v>23</v>
      </c>
      <c r="F97" s="30" t="s">
        <v>29</v>
      </c>
      <c r="G97" s="30" t="s">
        <v>618</v>
      </c>
      <c r="H97" s="30" t="s">
        <v>1028</v>
      </c>
      <c r="I97" s="36">
        <v>44449</v>
      </c>
      <c r="J97" s="30">
        <v>1</v>
      </c>
      <c r="K97" s="30">
        <v>20</v>
      </c>
      <c r="L97" s="30">
        <v>20</v>
      </c>
      <c r="M97" s="21">
        <v>233490</v>
      </c>
    </row>
    <row r="98" spans="1:13" x14ac:dyDescent="0.25">
      <c r="A98" s="26">
        <v>49</v>
      </c>
      <c r="B98" s="30" t="s">
        <v>1013</v>
      </c>
      <c r="C98" s="26" t="s">
        <v>29</v>
      </c>
      <c r="D98" s="30" t="s">
        <v>815</v>
      </c>
      <c r="E98" s="30" t="s">
        <v>23</v>
      </c>
      <c r="F98" s="30" t="s">
        <v>29</v>
      </c>
      <c r="G98" s="30" t="s">
        <v>64</v>
      </c>
      <c r="H98" s="30" t="s">
        <v>487</v>
      </c>
      <c r="I98" s="36">
        <v>44449</v>
      </c>
      <c r="J98" s="30">
        <v>3</v>
      </c>
      <c r="K98" s="30">
        <v>26</v>
      </c>
      <c r="L98" s="30">
        <v>26</v>
      </c>
      <c r="M98" s="21">
        <v>559512</v>
      </c>
    </row>
    <row r="99" spans="1:13" x14ac:dyDescent="0.25">
      <c r="A99" s="26">
        <v>50</v>
      </c>
      <c r="B99" s="30" t="s">
        <v>1014</v>
      </c>
      <c r="C99" s="26" t="s">
        <v>29</v>
      </c>
      <c r="D99" s="30" t="s">
        <v>815</v>
      </c>
      <c r="E99" s="30" t="s">
        <v>23</v>
      </c>
      <c r="F99" s="30" t="s">
        <v>29</v>
      </c>
      <c r="G99" s="30" t="s">
        <v>171</v>
      </c>
      <c r="H99" s="30" t="s">
        <v>258</v>
      </c>
      <c r="I99" s="36">
        <v>44449</v>
      </c>
      <c r="J99" s="30">
        <v>4</v>
      </c>
      <c r="K99" s="30">
        <v>14</v>
      </c>
      <c r="L99" s="30">
        <v>14</v>
      </c>
      <c r="M99" s="21">
        <v>269508</v>
      </c>
    </row>
    <row r="100" spans="1:13" x14ac:dyDescent="0.25">
      <c r="A100" s="26">
        <v>51</v>
      </c>
      <c r="B100" s="30" t="s">
        <v>1022</v>
      </c>
      <c r="C100" s="26" t="s">
        <v>29</v>
      </c>
      <c r="D100" s="30" t="s">
        <v>815</v>
      </c>
      <c r="E100" s="30" t="s">
        <v>23</v>
      </c>
      <c r="F100" s="30" t="s">
        <v>29</v>
      </c>
      <c r="G100" s="30" t="s">
        <v>104</v>
      </c>
      <c r="H100" s="30" t="s">
        <v>105</v>
      </c>
      <c r="I100" s="36">
        <v>44449</v>
      </c>
      <c r="J100" s="30">
        <v>1</v>
      </c>
      <c r="K100" s="30">
        <v>4</v>
      </c>
      <c r="L100" s="30">
        <v>14</v>
      </c>
      <c r="M100" s="21">
        <v>613418</v>
      </c>
    </row>
    <row r="101" spans="1:13" x14ac:dyDescent="0.25">
      <c r="A101" s="26">
        <v>52</v>
      </c>
      <c r="B101" s="30" t="s">
        <v>1023</v>
      </c>
      <c r="C101" s="26" t="s">
        <v>29</v>
      </c>
      <c r="D101" s="30" t="s">
        <v>815</v>
      </c>
      <c r="E101" s="30" t="s">
        <v>23</v>
      </c>
      <c r="F101" s="30" t="s">
        <v>29</v>
      </c>
      <c r="G101" s="30" t="s">
        <v>231</v>
      </c>
      <c r="H101" s="30" t="s">
        <v>80</v>
      </c>
      <c r="I101" s="36">
        <v>44449</v>
      </c>
      <c r="J101" s="30">
        <v>3</v>
      </c>
      <c r="K101" s="30">
        <v>32</v>
      </c>
      <c r="L101" s="30">
        <v>32</v>
      </c>
      <c r="M101" s="21">
        <v>1023954</v>
      </c>
    </row>
    <row r="102" spans="1:13" x14ac:dyDescent="0.25">
      <c r="A102" s="26">
        <v>53</v>
      </c>
      <c r="B102" s="30" t="s">
        <v>1024</v>
      </c>
      <c r="C102" s="26" t="s">
        <v>29</v>
      </c>
      <c r="D102" s="30" t="s">
        <v>815</v>
      </c>
      <c r="E102" s="30" t="s">
        <v>23</v>
      </c>
      <c r="F102" s="30" t="s">
        <v>29</v>
      </c>
      <c r="G102" s="30" t="s">
        <v>112</v>
      </c>
      <c r="H102" s="30" t="s">
        <v>1003</v>
      </c>
      <c r="I102" s="36">
        <v>44449</v>
      </c>
      <c r="J102" s="30">
        <v>3</v>
      </c>
      <c r="K102" s="30">
        <v>25</v>
      </c>
      <c r="L102" s="30">
        <v>25</v>
      </c>
      <c r="M102" s="21">
        <v>1283675</v>
      </c>
    </row>
    <row r="103" spans="1:13" x14ac:dyDescent="0.25">
      <c r="A103" s="26">
        <v>54</v>
      </c>
      <c r="B103" s="30" t="s">
        <v>1025</v>
      </c>
      <c r="C103" s="26" t="s">
        <v>29</v>
      </c>
      <c r="D103" s="30" t="s">
        <v>815</v>
      </c>
      <c r="E103" s="30" t="s">
        <v>23</v>
      </c>
      <c r="F103" s="30" t="s">
        <v>29</v>
      </c>
      <c r="G103" s="30" t="s">
        <v>112</v>
      </c>
      <c r="H103" s="30" t="s">
        <v>113</v>
      </c>
      <c r="I103" s="36">
        <v>44449</v>
      </c>
      <c r="J103" s="30">
        <v>1</v>
      </c>
      <c r="K103" s="30">
        <v>4</v>
      </c>
      <c r="L103" s="30">
        <v>10</v>
      </c>
      <c r="M103" s="21">
        <v>520220</v>
      </c>
    </row>
    <row r="104" spans="1:13" x14ac:dyDescent="0.25">
      <c r="A104" s="26">
        <v>55</v>
      </c>
      <c r="B104" s="30" t="s">
        <v>1026</v>
      </c>
      <c r="C104" s="26" t="s">
        <v>29</v>
      </c>
      <c r="D104" s="30" t="s">
        <v>30</v>
      </c>
      <c r="E104" s="30" t="s">
        <v>23</v>
      </c>
      <c r="F104" s="30" t="s">
        <v>29</v>
      </c>
      <c r="G104" s="30" t="s">
        <v>79</v>
      </c>
      <c r="H104" s="30" t="s">
        <v>782</v>
      </c>
      <c r="I104" s="36">
        <v>44449</v>
      </c>
      <c r="J104" s="30">
        <v>3</v>
      </c>
      <c r="K104" s="30">
        <v>52</v>
      </c>
      <c r="L104" s="30">
        <v>55</v>
      </c>
      <c r="M104" s="21">
        <v>1212835</v>
      </c>
    </row>
    <row r="105" spans="1:13" x14ac:dyDescent="0.25">
      <c r="A105" s="26">
        <v>56</v>
      </c>
      <c r="B105" s="30" t="s">
        <v>1027</v>
      </c>
      <c r="C105" s="26" t="s">
        <v>29</v>
      </c>
      <c r="D105" s="30" t="s">
        <v>815</v>
      </c>
      <c r="E105" s="30" t="s">
        <v>23</v>
      </c>
      <c r="F105" s="30" t="s">
        <v>29</v>
      </c>
      <c r="G105" s="30" t="s">
        <v>50</v>
      </c>
      <c r="H105" s="30" t="s">
        <v>58</v>
      </c>
      <c r="I105" s="36">
        <v>44450</v>
      </c>
      <c r="J105" s="30">
        <v>4</v>
      </c>
      <c r="K105" s="30">
        <v>22</v>
      </c>
      <c r="L105" s="30">
        <v>31</v>
      </c>
      <c r="M105" s="21">
        <v>1236122</v>
      </c>
    </row>
    <row r="106" spans="1:13" x14ac:dyDescent="0.25">
      <c r="A106" s="26">
        <v>57</v>
      </c>
      <c r="B106" s="30" t="s">
        <v>1034</v>
      </c>
      <c r="C106" s="26" t="s">
        <v>29</v>
      </c>
      <c r="D106" s="30" t="s">
        <v>815</v>
      </c>
      <c r="E106" s="30" t="s">
        <v>23</v>
      </c>
      <c r="F106" s="30" t="s">
        <v>29</v>
      </c>
      <c r="G106" s="30" t="s">
        <v>24</v>
      </c>
      <c r="H106" s="30" t="s">
        <v>93</v>
      </c>
      <c r="I106" s="36">
        <v>44450</v>
      </c>
      <c r="J106" s="30">
        <v>3</v>
      </c>
      <c r="K106" s="30">
        <v>13</v>
      </c>
      <c r="L106" s="30">
        <v>26</v>
      </c>
      <c r="M106" s="21">
        <v>781162</v>
      </c>
    </row>
    <row r="107" spans="1:13" x14ac:dyDescent="0.25">
      <c r="A107" s="26">
        <v>58</v>
      </c>
      <c r="B107" s="30" t="s">
        <v>1036</v>
      </c>
      <c r="C107" s="26" t="s">
        <v>29</v>
      </c>
      <c r="D107" s="30" t="s">
        <v>815</v>
      </c>
      <c r="E107" s="30" t="s">
        <v>23</v>
      </c>
      <c r="F107" s="30" t="s">
        <v>29</v>
      </c>
      <c r="G107" s="30" t="s">
        <v>50</v>
      </c>
      <c r="H107" s="30" t="s">
        <v>58</v>
      </c>
      <c r="I107" s="36">
        <v>44450</v>
      </c>
      <c r="J107" s="30">
        <v>2</v>
      </c>
      <c r="K107" s="30">
        <v>20</v>
      </c>
      <c r="L107" s="30">
        <v>20</v>
      </c>
      <c r="M107" s="21">
        <v>801490</v>
      </c>
    </row>
    <row r="108" spans="1:13" x14ac:dyDescent="0.25">
      <c r="A108" s="26">
        <v>59</v>
      </c>
      <c r="B108" s="30" t="s">
        <v>1037</v>
      </c>
      <c r="C108" s="26" t="s">
        <v>29</v>
      </c>
      <c r="D108" s="30" t="s">
        <v>815</v>
      </c>
      <c r="E108" s="30" t="s">
        <v>23</v>
      </c>
      <c r="F108" s="30" t="s">
        <v>29</v>
      </c>
      <c r="G108" s="30" t="s">
        <v>210</v>
      </c>
      <c r="H108" s="30" t="s">
        <v>1008</v>
      </c>
      <c r="I108" s="36">
        <v>44450</v>
      </c>
      <c r="J108" s="30">
        <v>2</v>
      </c>
      <c r="K108" s="30">
        <v>12</v>
      </c>
      <c r="L108" s="30">
        <v>14</v>
      </c>
      <c r="M108" s="21">
        <v>215608</v>
      </c>
    </row>
    <row r="109" spans="1:13" x14ac:dyDescent="0.25">
      <c r="A109" s="26">
        <v>60</v>
      </c>
      <c r="B109" s="30" t="s">
        <v>1038</v>
      </c>
      <c r="C109" s="26" t="s">
        <v>29</v>
      </c>
      <c r="D109" s="30" t="s">
        <v>30</v>
      </c>
      <c r="E109" s="30" t="s">
        <v>23</v>
      </c>
      <c r="F109" s="30" t="s">
        <v>29</v>
      </c>
      <c r="G109" s="30" t="s">
        <v>210</v>
      </c>
      <c r="H109" s="30" t="s">
        <v>1008</v>
      </c>
      <c r="I109" s="36">
        <v>44450</v>
      </c>
      <c r="J109" s="30">
        <v>7</v>
      </c>
      <c r="K109" s="30">
        <v>119</v>
      </c>
      <c r="L109" s="30">
        <v>119</v>
      </c>
      <c r="M109" s="21">
        <v>1760193</v>
      </c>
    </row>
    <row r="110" spans="1:13" x14ac:dyDescent="0.25">
      <c r="A110" s="26">
        <v>61</v>
      </c>
      <c r="B110" s="30" t="s">
        <v>1039</v>
      </c>
      <c r="C110" s="26" t="s">
        <v>29</v>
      </c>
      <c r="D110" s="30" t="s">
        <v>815</v>
      </c>
      <c r="E110" s="30" t="s">
        <v>23</v>
      </c>
      <c r="F110" s="30" t="s">
        <v>29</v>
      </c>
      <c r="G110" s="30" t="s">
        <v>263</v>
      </c>
      <c r="H110" s="30" t="s">
        <v>264</v>
      </c>
      <c r="I110" s="36">
        <v>44450</v>
      </c>
      <c r="J110" s="30">
        <v>1</v>
      </c>
      <c r="K110" s="30">
        <v>12</v>
      </c>
      <c r="L110" s="30">
        <v>12</v>
      </c>
      <c r="M110" s="21">
        <v>212814</v>
      </c>
    </row>
    <row r="111" spans="1:13" x14ac:dyDescent="0.25">
      <c r="A111" s="26">
        <v>62</v>
      </c>
      <c r="B111" s="30" t="s">
        <v>1040</v>
      </c>
      <c r="C111" s="26" t="s">
        <v>29</v>
      </c>
      <c r="D111" s="30" t="s">
        <v>30</v>
      </c>
      <c r="E111" s="30" t="s">
        <v>23</v>
      </c>
      <c r="F111" s="30" t="s">
        <v>29</v>
      </c>
      <c r="G111" s="30" t="s">
        <v>263</v>
      </c>
      <c r="H111" s="30" t="s">
        <v>264</v>
      </c>
      <c r="I111" s="36">
        <v>44450</v>
      </c>
      <c r="J111" s="30">
        <v>7</v>
      </c>
      <c r="K111" s="30">
        <v>121</v>
      </c>
      <c r="L111" s="30">
        <v>121</v>
      </c>
      <c r="M111" s="21">
        <v>2055787</v>
      </c>
    </row>
    <row r="112" spans="1:13" x14ac:dyDescent="0.25">
      <c r="A112" s="26">
        <v>63</v>
      </c>
      <c r="B112" s="30" t="s">
        <v>1041</v>
      </c>
      <c r="C112" s="26" t="s">
        <v>29</v>
      </c>
      <c r="D112" s="30" t="s">
        <v>815</v>
      </c>
      <c r="E112" s="30" t="s">
        <v>23</v>
      </c>
      <c r="F112" s="30" t="s">
        <v>29</v>
      </c>
      <c r="G112" s="30" t="s">
        <v>112</v>
      </c>
      <c r="H112" s="30" t="s">
        <v>1003</v>
      </c>
      <c r="I112" s="36">
        <v>44450</v>
      </c>
      <c r="J112" s="30">
        <v>2</v>
      </c>
      <c r="K112" s="30">
        <v>11</v>
      </c>
      <c r="L112" s="30">
        <v>11</v>
      </c>
      <c r="M112" s="21">
        <v>572932</v>
      </c>
    </row>
    <row r="113" spans="1:13" x14ac:dyDescent="0.25">
      <c r="A113" s="26">
        <v>64</v>
      </c>
      <c r="B113" s="30" t="s">
        <v>1044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184</v>
      </c>
      <c r="H113" s="30" t="s">
        <v>219</v>
      </c>
      <c r="I113" s="36">
        <v>44450</v>
      </c>
      <c r="J113" s="30">
        <v>9</v>
      </c>
      <c r="K113" s="30">
        <v>123</v>
      </c>
      <c r="L113" s="30">
        <v>123</v>
      </c>
      <c r="M113" s="21">
        <v>2550831</v>
      </c>
    </row>
    <row r="114" spans="1:13" x14ac:dyDescent="0.25">
      <c r="A114" s="26">
        <v>65</v>
      </c>
      <c r="B114" s="30" t="s">
        <v>1045</v>
      </c>
      <c r="C114" s="26" t="s">
        <v>29</v>
      </c>
      <c r="D114" s="30" t="s">
        <v>815</v>
      </c>
      <c r="E114" s="30" t="s">
        <v>23</v>
      </c>
      <c r="F114" s="30" t="s">
        <v>29</v>
      </c>
      <c r="G114" s="30" t="s">
        <v>184</v>
      </c>
      <c r="H114" s="30" t="s">
        <v>219</v>
      </c>
      <c r="I114" s="36">
        <v>44450</v>
      </c>
      <c r="J114" s="30">
        <v>9</v>
      </c>
      <c r="K114" s="30">
        <v>162</v>
      </c>
      <c r="L114" s="30">
        <v>162</v>
      </c>
      <c r="M114" s="21">
        <v>3356064</v>
      </c>
    </row>
    <row r="115" spans="1:13" x14ac:dyDescent="0.25">
      <c r="A115" s="26">
        <v>66</v>
      </c>
      <c r="B115" s="30" t="s">
        <v>1056</v>
      </c>
      <c r="C115" s="26" t="s">
        <v>29</v>
      </c>
      <c r="D115" s="30" t="s">
        <v>815</v>
      </c>
      <c r="E115" s="30" t="s">
        <v>23</v>
      </c>
      <c r="F115" s="30" t="s">
        <v>29</v>
      </c>
      <c r="G115" s="30" t="s">
        <v>210</v>
      </c>
      <c r="H115" s="30" t="s">
        <v>1008</v>
      </c>
      <c r="I115" s="36">
        <v>44453</v>
      </c>
      <c r="J115" s="30">
        <v>4</v>
      </c>
      <c r="K115" s="30">
        <v>50</v>
      </c>
      <c r="L115" s="30">
        <v>50</v>
      </c>
      <c r="M115" s="14">
        <v>741100</v>
      </c>
    </row>
    <row r="116" spans="1:13" x14ac:dyDescent="0.25">
      <c r="A116" s="26">
        <v>67</v>
      </c>
      <c r="B116" s="30" t="s">
        <v>1057</v>
      </c>
      <c r="C116" s="26" t="s">
        <v>29</v>
      </c>
      <c r="D116" s="30" t="s">
        <v>815</v>
      </c>
      <c r="E116" s="30" t="s">
        <v>23</v>
      </c>
      <c r="F116" s="30" t="s">
        <v>29</v>
      </c>
      <c r="G116" s="30" t="s">
        <v>76</v>
      </c>
      <c r="H116" s="30" t="s">
        <v>819</v>
      </c>
      <c r="I116" s="36">
        <v>44453</v>
      </c>
      <c r="J116" s="30">
        <v>3</v>
      </c>
      <c r="K116" s="30">
        <v>90</v>
      </c>
      <c r="L116" s="30">
        <v>90</v>
      </c>
      <c r="M116" s="21">
        <v>2379330</v>
      </c>
    </row>
    <row r="117" spans="1:13" x14ac:dyDescent="0.25">
      <c r="A117" s="26">
        <v>68</v>
      </c>
      <c r="B117" s="30" t="s">
        <v>1058</v>
      </c>
      <c r="C117" s="26" t="s">
        <v>29</v>
      </c>
      <c r="D117" s="30" t="s">
        <v>815</v>
      </c>
      <c r="E117" s="30" t="s">
        <v>23</v>
      </c>
      <c r="F117" s="30" t="s">
        <v>29</v>
      </c>
      <c r="G117" s="30" t="s">
        <v>50</v>
      </c>
      <c r="H117" s="30" t="s">
        <v>58</v>
      </c>
      <c r="I117" s="36">
        <v>44453</v>
      </c>
      <c r="J117" s="30">
        <v>3</v>
      </c>
      <c r="K117" s="30">
        <v>6</v>
      </c>
      <c r="L117" s="30">
        <v>21</v>
      </c>
      <c r="M117" s="21">
        <v>837537</v>
      </c>
    </row>
    <row r="118" spans="1:13" x14ac:dyDescent="0.25">
      <c r="A118" s="26">
        <v>69</v>
      </c>
      <c r="B118" s="30" t="s">
        <v>1059</v>
      </c>
      <c r="C118" s="26" t="s">
        <v>29</v>
      </c>
      <c r="D118" s="30" t="s">
        <v>30</v>
      </c>
      <c r="E118" s="30" t="s">
        <v>473</v>
      </c>
      <c r="F118" s="30" t="s">
        <v>29</v>
      </c>
      <c r="G118" s="30" t="s">
        <v>64</v>
      </c>
      <c r="H118" s="30" t="s">
        <v>1068</v>
      </c>
      <c r="I118" s="36">
        <v>44453</v>
      </c>
      <c r="J118" s="30">
        <v>4</v>
      </c>
      <c r="K118" s="30">
        <v>61</v>
      </c>
      <c r="L118" s="30">
        <v>61</v>
      </c>
      <c r="M118" s="21">
        <v>1303657</v>
      </c>
    </row>
    <row r="119" spans="1:13" x14ac:dyDescent="0.25">
      <c r="A119" s="26">
        <v>70</v>
      </c>
      <c r="B119" s="30" t="s">
        <v>1060</v>
      </c>
      <c r="C119" s="26" t="s">
        <v>29</v>
      </c>
      <c r="D119" s="30" t="s">
        <v>30</v>
      </c>
      <c r="E119" s="30" t="s">
        <v>473</v>
      </c>
      <c r="F119" s="30" t="s">
        <v>29</v>
      </c>
      <c r="G119" s="30" t="s">
        <v>171</v>
      </c>
      <c r="H119" s="30" t="s">
        <v>735</v>
      </c>
      <c r="I119" s="36">
        <v>44453</v>
      </c>
      <c r="J119" s="30">
        <v>5</v>
      </c>
      <c r="K119" s="30">
        <v>84</v>
      </c>
      <c r="L119" s="30">
        <v>84</v>
      </c>
      <c r="M119" s="21">
        <v>1569198</v>
      </c>
    </row>
    <row r="120" spans="1:13" x14ac:dyDescent="0.25">
      <c r="A120" s="26">
        <v>71</v>
      </c>
      <c r="B120" s="30" t="s">
        <v>1061</v>
      </c>
      <c r="C120" s="26" t="s">
        <v>29</v>
      </c>
      <c r="D120" s="30" t="s">
        <v>30</v>
      </c>
      <c r="E120" s="30" t="s">
        <v>473</v>
      </c>
      <c r="F120" s="30" t="s">
        <v>29</v>
      </c>
      <c r="G120" s="30" t="s">
        <v>184</v>
      </c>
      <c r="H120" s="30" t="s">
        <v>219</v>
      </c>
      <c r="I120" s="36">
        <v>44453</v>
      </c>
      <c r="J120" s="30">
        <v>5</v>
      </c>
      <c r="K120" s="30">
        <v>85</v>
      </c>
      <c r="L120" s="30">
        <v>85</v>
      </c>
      <c r="M120" s="21">
        <v>1774745</v>
      </c>
    </row>
    <row r="121" spans="1:13" x14ac:dyDescent="0.25">
      <c r="A121" s="26">
        <v>72</v>
      </c>
      <c r="B121" s="30" t="s">
        <v>1062</v>
      </c>
      <c r="C121" s="26" t="s">
        <v>29</v>
      </c>
      <c r="D121" s="30" t="s">
        <v>815</v>
      </c>
      <c r="E121" s="30" t="s">
        <v>23</v>
      </c>
      <c r="F121" s="30" t="s">
        <v>29</v>
      </c>
      <c r="G121" s="30" t="s">
        <v>72</v>
      </c>
      <c r="H121" s="30" t="s">
        <v>1009</v>
      </c>
      <c r="I121" s="36">
        <v>44453</v>
      </c>
      <c r="J121" s="30">
        <v>6</v>
      </c>
      <c r="K121" s="30">
        <v>62</v>
      </c>
      <c r="L121" s="30">
        <v>62</v>
      </c>
      <c r="M121" s="21">
        <v>1461864</v>
      </c>
    </row>
    <row r="122" spans="1:13" x14ac:dyDescent="0.25">
      <c r="A122" s="26">
        <v>73</v>
      </c>
      <c r="B122" s="30" t="s">
        <v>1063</v>
      </c>
      <c r="C122" s="26" t="s">
        <v>29</v>
      </c>
      <c r="D122" s="30" t="s">
        <v>815</v>
      </c>
      <c r="E122" s="30" t="s">
        <v>23</v>
      </c>
      <c r="F122" s="30" t="s">
        <v>29</v>
      </c>
      <c r="G122" s="30" t="s">
        <v>69</v>
      </c>
      <c r="H122" s="30" t="s">
        <v>70</v>
      </c>
      <c r="I122" s="36">
        <v>44453</v>
      </c>
      <c r="J122" s="30">
        <v>1</v>
      </c>
      <c r="K122" s="30">
        <v>7</v>
      </c>
      <c r="L122" s="30">
        <v>12</v>
      </c>
      <c r="M122" s="21">
        <v>219414</v>
      </c>
    </row>
    <row r="123" spans="1:13" x14ac:dyDescent="0.25">
      <c r="A123" s="26">
        <v>74</v>
      </c>
      <c r="B123" s="30" t="s">
        <v>1064</v>
      </c>
      <c r="C123" s="26" t="s">
        <v>29</v>
      </c>
      <c r="D123" s="30" t="s">
        <v>815</v>
      </c>
      <c r="E123" s="30" t="s">
        <v>23</v>
      </c>
      <c r="F123" s="30" t="s">
        <v>29</v>
      </c>
      <c r="G123" s="30" t="s">
        <v>281</v>
      </c>
      <c r="H123" s="30" t="s">
        <v>1004</v>
      </c>
      <c r="I123" s="36">
        <v>44453</v>
      </c>
      <c r="J123" s="30">
        <v>4</v>
      </c>
      <c r="K123" s="30">
        <v>35</v>
      </c>
      <c r="L123" s="30">
        <v>35</v>
      </c>
      <c r="M123" s="21">
        <v>733895</v>
      </c>
    </row>
    <row r="124" spans="1:13" x14ac:dyDescent="0.25">
      <c r="A124" s="26">
        <v>75</v>
      </c>
      <c r="B124" s="30" t="s">
        <v>1066</v>
      </c>
      <c r="C124" s="26" t="s">
        <v>29</v>
      </c>
      <c r="D124" s="30" t="s">
        <v>221</v>
      </c>
      <c r="E124" s="30" t="s">
        <v>23</v>
      </c>
      <c r="F124" s="30" t="s">
        <v>29</v>
      </c>
      <c r="G124" s="30" t="s">
        <v>494</v>
      </c>
      <c r="H124" s="30" t="s">
        <v>110</v>
      </c>
      <c r="I124" s="36">
        <v>44453</v>
      </c>
      <c r="J124" s="30">
        <v>1</v>
      </c>
      <c r="K124" s="30">
        <v>37</v>
      </c>
      <c r="L124" s="30">
        <v>37</v>
      </c>
      <c r="M124" s="21">
        <v>2419839</v>
      </c>
    </row>
    <row r="125" spans="1:13" x14ac:dyDescent="0.25">
      <c r="A125" s="26">
        <v>76</v>
      </c>
      <c r="B125" s="87" t="s">
        <v>1067</v>
      </c>
      <c r="C125" s="187" t="s">
        <v>29</v>
      </c>
      <c r="D125" s="87" t="s">
        <v>815</v>
      </c>
      <c r="E125" s="87" t="s">
        <v>23</v>
      </c>
      <c r="F125" s="87" t="s">
        <v>29</v>
      </c>
      <c r="G125" s="87" t="s">
        <v>231</v>
      </c>
      <c r="H125" s="87" t="s">
        <v>583</v>
      </c>
      <c r="I125" s="119">
        <v>44454</v>
      </c>
      <c r="J125" s="87">
        <v>2</v>
      </c>
      <c r="K125" s="87">
        <v>6</v>
      </c>
      <c r="L125" s="87">
        <v>10</v>
      </c>
      <c r="M125" s="21">
        <v>327720</v>
      </c>
    </row>
    <row r="126" spans="1:13" x14ac:dyDescent="0.25">
      <c r="A126" s="26">
        <v>77</v>
      </c>
      <c r="B126" s="30" t="s">
        <v>1067</v>
      </c>
      <c r="C126" s="187" t="s">
        <v>29</v>
      </c>
      <c r="D126" s="30" t="s">
        <v>815</v>
      </c>
      <c r="E126" s="30" t="s">
        <v>23</v>
      </c>
      <c r="F126" s="30" t="s">
        <v>29</v>
      </c>
      <c r="G126" s="30" t="s">
        <v>231</v>
      </c>
      <c r="H126" s="30" t="s">
        <v>583</v>
      </c>
      <c r="I126" s="36">
        <v>44454</v>
      </c>
      <c r="J126" s="30">
        <v>2</v>
      </c>
      <c r="K126" s="30">
        <v>6</v>
      </c>
      <c r="L126" s="30">
        <v>10</v>
      </c>
      <c r="M126" s="21">
        <v>327720</v>
      </c>
    </row>
    <row r="127" spans="1:13" x14ac:dyDescent="0.25">
      <c r="A127" s="26">
        <v>78</v>
      </c>
      <c r="B127" s="30" t="s">
        <v>1080</v>
      </c>
      <c r="C127" s="187" t="s">
        <v>29</v>
      </c>
      <c r="D127" s="30" t="s">
        <v>815</v>
      </c>
      <c r="E127" s="30" t="s">
        <v>23</v>
      </c>
      <c r="F127" s="30" t="s">
        <v>29</v>
      </c>
      <c r="G127" s="30" t="s">
        <v>281</v>
      </c>
      <c r="H127" s="30" t="s">
        <v>1004</v>
      </c>
      <c r="I127" s="36">
        <v>44454</v>
      </c>
      <c r="J127" s="30">
        <v>3</v>
      </c>
      <c r="K127" s="30">
        <v>17</v>
      </c>
      <c r="L127" s="30">
        <v>17</v>
      </c>
      <c r="M127" s="21">
        <v>362249</v>
      </c>
    </row>
    <row r="128" spans="1:13" x14ac:dyDescent="0.25">
      <c r="A128" s="26">
        <v>79</v>
      </c>
      <c r="B128" s="30" t="s">
        <v>1081</v>
      </c>
      <c r="C128" s="187" t="s">
        <v>29</v>
      </c>
      <c r="D128" s="30" t="s">
        <v>815</v>
      </c>
      <c r="E128" s="30" t="s">
        <v>23</v>
      </c>
      <c r="F128" s="30" t="s">
        <v>29</v>
      </c>
      <c r="G128" s="30" t="s">
        <v>713</v>
      </c>
      <c r="H128" s="30" t="s">
        <v>714</v>
      </c>
      <c r="I128" s="36">
        <v>44454</v>
      </c>
      <c r="J128" s="30">
        <v>2</v>
      </c>
      <c r="K128" s="30">
        <v>3</v>
      </c>
      <c r="L128" s="30">
        <v>10</v>
      </c>
      <c r="M128" s="21">
        <v>217720</v>
      </c>
    </row>
    <row r="129" spans="1:13" x14ac:dyDescent="0.25">
      <c r="A129" s="26">
        <v>80</v>
      </c>
      <c r="B129" s="30" t="s">
        <v>1082</v>
      </c>
      <c r="C129" s="187" t="s">
        <v>29</v>
      </c>
      <c r="D129" s="30" t="s">
        <v>815</v>
      </c>
      <c r="E129" s="30" t="s">
        <v>23</v>
      </c>
      <c r="F129" s="30" t="s">
        <v>29</v>
      </c>
      <c r="G129" s="30" t="s">
        <v>24</v>
      </c>
      <c r="H129" s="30" t="s">
        <v>128</v>
      </c>
      <c r="I129" s="36">
        <v>44454</v>
      </c>
      <c r="J129" s="30">
        <v>6</v>
      </c>
      <c r="K129" s="30">
        <v>60</v>
      </c>
      <c r="L129" s="30">
        <v>60</v>
      </c>
      <c r="M129" s="21">
        <v>1787970</v>
      </c>
    </row>
    <row r="130" spans="1:13" x14ac:dyDescent="0.25">
      <c r="A130" s="26">
        <v>81</v>
      </c>
      <c r="B130" s="30" t="s">
        <v>1083</v>
      </c>
      <c r="C130" s="187" t="s">
        <v>29</v>
      </c>
      <c r="D130" s="30" t="s">
        <v>815</v>
      </c>
      <c r="E130" s="30" t="s">
        <v>23</v>
      </c>
      <c r="F130" s="30" t="s">
        <v>29</v>
      </c>
      <c r="G130" s="30" t="s">
        <v>112</v>
      </c>
      <c r="H130" s="30" t="s">
        <v>1003</v>
      </c>
      <c r="I130" s="36">
        <v>44454</v>
      </c>
      <c r="J130" s="30">
        <v>2</v>
      </c>
      <c r="K130" s="30">
        <v>18</v>
      </c>
      <c r="L130" s="30">
        <v>18</v>
      </c>
      <c r="M130" s="21">
        <v>930366</v>
      </c>
    </row>
    <row r="131" spans="1:13" x14ac:dyDescent="0.25">
      <c r="A131" s="26">
        <v>82</v>
      </c>
      <c r="B131" s="30" t="s">
        <v>1084</v>
      </c>
      <c r="C131" s="187" t="s">
        <v>29</v>
      </c>
      <c r="D131" s="30" t="s">
        <v>815</v>
      </c>
      <c r="E131" s="30" t="s">
        <v>23</v>
      </c>
      <c r="F131" s="30" t="s">
        <v>29</v>
      </c>
      <c r="G131" s="30" t="s">
        <v>76</v>
      </c>
      <c r="H131" s="30" t="s">
        <v>819</v>
      </c>
      <c r="I131" s="36">
        <v>44454</v>
      </c>
      <c r="J131" s="30">
        <v>4</v>
      </c>
      <c r="K131" s="30">
        <v>71</v>
      </c>
      <c r="L131" s="30">
        <v>71</v>
      </c>
      <c r="M131" s="21">
        <v>1879402</v>
      </c>
    </row>
    <row r="132" spans="1:13" x14ac:dyDescent="0.25">
      <c r="A132" s="26">
        <v>83</v>
      </c>
      <c r="B132" s="30" t="s">
        <v>1085</v>
      </c>
      <c r="C132" s="187" t="s">
        <v>29</v>
      </c>
      <c r="D132" s="30" t="s">
        <v>815</v>
      </c>
      <c r="E132" s="30" t="s">
        <v>23</v>
      </c>
      <c r="F132" s="30" t="s">
        <v>29</v>
      </c>
      <c r="G132" s="30" t="s">
        <v>50</v>
      </c>
      <c r="H132" s="30" t="s">
        <v>58</v>
      </c>
      <c r="I132" s="36">
        <v>44454</v>
      </c>
      <c r="J132" s="30">
        <v>5</v>
      </c>
      <c r="K132" s="30">
        <v>56</v>
      </c>
      <c r="L132" s="30">
        <v>60</v>
      </c>
      <c r="M132" s="21">
        <v>2372070</v>
      </c>
    </row>
    <row r="133" spans="1:13" x14ac:dyDescent="0.25">
      <c r="A133" s="26">
        <v>84</v>
      </c>
      <c r="B133" s="30" t="s">
        <v>1086</v>
      </c>
      <c r="C133" s="187" t="s">
        <v>29</v>
      </c>
      <c r="D133" s="30" t="s">
        <v>815</v>
      </c>
      <c r="E133" s="30" t="s">
        <v>23</v>
      </c>
      <c r="F133" s="30" t="s">
        <v>29</v>
      </c>
      <c r="G133" s="30" t="s">
        <v>60</v>
      </c>
      <c r="H133" s="30" t="s">
        <v>816</v>
      </c>
      <c r="I133" s="36">
        <v>44454</v>
      </c>
      <c r="J133" s="30">
        <v>2</v>
      </c>
      <c r="K133" s="30">
        <v>26</v>
      </c>
      <c r="L133" s="30">
        <v>26</v>
      </c>
      <c r="M133" s="21">
        <v>562372</v>
      </c>
    </row>
    <row r="134" spans="1:13" x14ac:dyDescent="0.25">
      <c r="A134" s="26">
        <v>85</v>
      </c>
      <c r="B134" s="30" t="s">
        <v>1087</v>
      </c>
      <c r="C134" s="187" t="s">
        <v>29</v>
      </c>
      <c r="D134" s="30" t="s">
        <v>815</v>
      </c>
      <c r="E134" s="30" t="s">
        <v>23</v>
      </c>
      <c r="F134" s="30" t="s">
        <v>29</v>
      </c>
      <c r="G134" s="30" t="s">
        <v>184</v>
      </c>
      <c r="H134" s="30" t="s">
        <v>219</v>
      </c>
      <c r="I134" s="36">
        <v>44454</v>
      </c>
      <c r="J134" s="30">
        <v>13</v>
      </c>
      <c r="K134" s="30">
        <v>107</v>
      </c>
      <c r="L134" s="30">
        <v>107</v>
      </c>
      <c r="M134" s="21">
        <v>2220479</v>
      </c>
    </row>
    <row r="135" spans="1:13" x14ac:dyDescent="0.25">
      <c r="A135" s="26">
        <v>86</v>
      </c>
      <c r="B135" s="30" t="s">
        <v>1088</v>
      </c>
      <c r="C135" s="187" t="s">
        <v>29</v>
      </c>
      <c r="D135" s="30" t="s">
        <v>815</v>
      </c>
      <c r="E135" s="30" t="s">
        <v>23</v>
      </c>
      <c r="F135" s="30" t="s">
        <v>29</v>
      </c>
      <c r="G135" s="30" t="s">
        <v>210</v>
      </c>
      <c r="H135" s="30" t="s">
        <v>211</v>
      </c>
      <c r="I135" s="36">
        <v>44454</v>
      </c>
      <c r="J135" s="30">
        <v>1</v>
      </c>
      <c r="K135" s="30">
        <v>36</v>
      </c>
      <c r="L135" s="30">
        <v>36</v>
      </c>
      <c r="M135" s="21">
        <v>536742</v>
      </c>
    </row>
    <row r="136" spans="1:13" x14ac:dyDescent="0.25">
      <c r="A136" s="26">
        <v>87</v>
      </c>
      <c r="B136" s="30" t="s">
        <v>1089</v>
      </c>
      <c r="C136" s="187" t="s">
        <v>29</v>
      </c>
      <c r="D136" s="30" t="s">
        <v>491</v>
      </c>
      <c r="E136" s="30" t="s">
        <v>23</v>
      </c>
      <c r="F136" s="30" t="s">
        <v>29</v>
      </c>
      <c r="G136" s="30" t="s">
        <v>112</v>
      </c>
      <c r="H136" s="30" t="s">
        <v>113</v>
      </c>
      <c r="I136" s="36">
        <v>44454</v>
      </c>
      <c r="J136" s="30">
        <v>1</v>
      </c>
      <c r="K136" s="30">
        <v>3</v>
      </c>
      <c r="L136" s="30">
        <v>10</v>
      </c>
      <c r="M136" s="21">
        <v>512870</v>
      </c>
    </row>
    <row r="137" spans="1:13" x14ac:dyDescent="0.25">
      <c r="A137" s="26">
        <v>88</v>
      </c>
      <c r="B137" s="30" t="s">
        <v>1090</v>
      </c>
      <c r="C137" s="187" t="s">
        <v>29</v>
      </c>
      <c r="D137" s="30" t="s">
        <v>491</v>
      </c>
      <c r="E137" s="30" t="s">
        <v>23</v>
      </c>
      <c r="F137" s="30" t="s">
        <v>29</v>
      </c>
      <c r="G137" s="30" t="s">
        <v>166</v>
      </c>
      <c r="H137" s="30" t="s">
        <v>1103</v>
      </c>
      <c r="I137" s="36">
        <v>44454</v>
      </c>
      <c r="J137" s="30">
        <v>10</v>
      </c>
      <c r="K137" s="30">
        <v>166</v>
      </c>
      <c r="L137" s="30">
        <v>166</v>
      </c>
      <c r="M137" s="21">
        <v>2376252</v>
      </c>
    </row>
    <row r="138" spans="1:13" x14ac:dyDescent="0.25">
      <c r="A138" s="26">
        <v>89</v>
      </c>
      <c r="B138" s="30" t="s">
        <v>1091</v>
      </c>
      <c r="C138" s="187" t="s">
        <v>29</v>
      </c>
      <c r="D138" s="30" t="s">
        <v>491</v>
      </c>
      <c r="E138" s="30" t="s">
        <v>23</v>
      </c>
      <c r="F138" s="30" t="s">
        <v>29</v>
      </c>
      <c r="G138" s="30" t="s">
        <v>241</v>
      </c>
      <c r="H138" s="30" t="s">
        <v>1104</v>
      </c>
      <c r="I138" s="36">
        <v>44454</v>
      </c>
      <c r="J138" s="30">
        <v>1</v>
      </c>
      <c r="K138" s="30">
        <v>12</v>
      </c>
      <c r="L138" s="30">
        <v>12</v>
      </c>
      <c r="M138" s="21">
        <v>428394</v>
      </c>
    </row>
    <row r="139" spans="1:13" x14ac:dyDescent="0.25">
      <c r="A139" s="26">
        <v>90</v>
      </c>
      <c r="B139" s="30" t="s">
        <v>1092</v>
      </c>
      <c r="C139" s="187" t="s">
        <v>29</v>
      </c>
      <c r="D139" s="30" t="s">
        <v>30</v>
      </c>
      <c r="E139" s="30" t="s">
        <v>23</v>
      </c>
      <c r="F139" s="30" t="s">
        <v>29</v>
      </c>
      <c r="G139" s="30" t="s">
        <v>35</v>
      </c>
      <c r="H139" s="30" t="s">
        <v>290</v>
      </c>
      <c r="I139" s="36">
        <v>44454</v>
      </c>
      <c r="J139" s="30">
        <v>3</v>
      </c>
      <c r="K139" s="30">
        <v>76</v>
      </c>
      <c r="L139" s="30">
        <v>76</v>
      </c>
      <c r="M139" s="21">
        <v>1253622</v>
      </c>
    </row>
    <row r="140" spans="1:13" x14ac:dyDescent="0.25">
      <c r="A140" s="26">
        <v>91</v>
      </c>
      <c r="B140" s="30" t="s">
        <v>1093</v>
      </c>
      <c r="C140" s="187" t="s">
        <v>29</v>
      </c>
      <c r="D140" s="30" t="s">
        <v>574</v>
      </c>
      <c r="E140" s="30" t="s">
        <v>23</v>
      </c>
      <c r="F140" s="30" t="s">
        <v>29</v>
      </c>
      <c r="G140" s="30" t="s">
        <v>50</v>
      </c>
      <c r="H140" s="30" t="s">
        <v>58</v>
      </c>
      <c r="I140" s="36">
        <v>44454</v>
      </c>
      <c r="J140" s="30">
        <v>3</v>
      </c>
      <c r="K140" s="30">
        <v>46</v>
      </c>
      <c r="L140" s="30">
        <v>46</v>
      </c>
      <c r="M140" s="21">
        <v>1844212</v>
      </c>
    </row>
    <row r="141" spans="1:13" x14ac:dyDescent="0.25">
      <c r="A141" s="26">
        <v>92</v>
      </c>
      <c r="B141" s="30" t="s">
        <v>1094</v>
      </c>
      <c r="C141" s="187" t="s">
        <v>29</v>
      </c>
      <c r="D141" s="30" t="s">
        <v>815</v>
      </c>
      <c r="E141" s="30" t="s">
        <v>23</v>
      </c>
      <c r="F141" s="30" t="s">
        <v>29</v>
      </c>
      <c r="G141" s="30" t="s">
        <v>713</v>
      </c>
      <c r="H141" s="30" t="s">
        <v>714</v>
      </c>
      <c r="I141" s="36">
        <v>44455</v>
      </c>
      <c r="J141" s="30">
        <v>2</v>
      </c>
      <c r="K141" s="30">
        <v>10</v>
      </c>
      <c r="L141" s="30">
        <v>10</v>
      </c>
      <c r="M141" s="21">
        <v>217720</v>
      </c>
    </row>
    <row r="142" spans="1:13" x14ac:dyDescent="0.25">
      <c r="A142" s="26">
        <v>93</v>
      </c>
      <c r="B142" s="30" t="s">
        <v>1095</v>
      </c>
      <c r="C142" s="187" t="s">
        <v>29</v>
      </c>
      <c r="D142" s="30" t="s">
        <v>815</v>
      </c>
      <c r="E142" s="30" t="s">
        <v>23</v>
      </c>
      <c r="F142" s="30" t="s">
        <v>29</v>
      </c>
      <c r="G142" s="30" t="s">
        <v>184</v>
      </c>
      <c r="H142" s="30" t="s">
        <v>724</v>
      </c>
      <c r="I142" s="36">
        <v>44455</v>
      </c>
      <c r="J142" s="30">
        <v>11</v>
      </c>
      <c r="K142" s="30">
        <v>187</v>
      </c>
      <c r="L142" s="30">
        <v>187</v>
      </c>
      <c r="M142" s="21">
        <v>3872239</v>
      </c>
    </row>
    <row r="143" spans="1:13" x14ac:dyDescent="0.25">
      <c r="A143" s="26">
        <v>94</v>
      </c>
      <c r="B143" s="30" t="s">
        <v>1096</v>
      </c>
      <c r="C143" s="187" t="s">
        <v>29</v>
      </c>
      <c r="D143" s="30" t="s">
        <v>815</v>
      </c>
      <c r="E143" s="30" t="s">
        <v>23</v>
      </c>
      <c r="F143" s="30" t="s">
        <v>29</v>
      </c>
      <c r="G143" s="30" t="s">
        <v>112</v>
      </c>
      <c r="H143" s="30" t="s">
        <v>1003</v>
      </c>
      <c r="I143" s="36">
        <v>44455</v>
      </c>
      <c r="J143" s="30">
        <v>2</v>
      </c>
      <c r="K143" s="30">
        <v>22</v>
      </c>
      <c r="L143" s="30">
        <v>22</v>
      </c>
      <c r="M143" s="21">
        <v>1134614</v>
      </c>
    </row>
    <row r="144" spans="1:13" x14ac:dyDescent="0.25">
      <c r="A144" s="26">
        <v>95</v>
      </c>
      <c r="B144" s="30" t="s">
        <v>1097</v>
      </c>
      <c r="C144" s="187" t="s">
        <v>29</v>
      </c>
      <c r="D144" s="30" t="s">
        <v>815</v>
      </c>
      <c r="E144" s="30" t="s">
        <v>23</v>
      </c>
      <c r="F144" s="30" t="s">
        <v>29</v>
      </c>
      <c r="G144" s="30" t="s">
        <v>60</v>
      </c>
      <c r="H144" s="30" t="s">
        <v>816</v>
      </c>
      <c r="I144" s="36">
        <v>44455</v>
      </c>
      <c r="J144" s="30">
        <v>1</v>
      </c>
      <c r="K144" s="30">
        <v>10</v>
      </c>
      <c r="L144" s="30">
        <v>10</v>
      </c>
      <c r="M144" s="21">
        <v>223220</v>
      </c>
    </row>
    <row r="145" spans="1:13" x14ac:dyDescent="0.25">
      <c r="A145" s="26">
        <v>96</v>
      </c>
      <c r="B145" s="30" t="s">
        <v>1098</v>
      </c>
      <c r="C145" s="187" t="s">
        <v>29</v>
      </c>
      <c r="D145" s="30" t="s">
        <v>815</v>
      </c>
      <c r="E145" s="30" t="s">
        <v>23</v>
      </c>
      <c r="F145" s="30" t="s">
        <v>29</v>
      </c>
      <c r="G145" s="30" t="s">
        <v>72</v>
      </c>
      <c r="H145" s="30" t="s">
        <v>1105</v>
      </c>
      <c r="I145" s="36">
        <v>44455</v>
      </c>
      <c r="J145" s="30">
        <v>9</v>
      </c>
      <c r="K145" s="30">
        <v>111</v>
      </c>
      <c r="L145" s="30">
        <v>111</v>
      </c>
      <c r="M145" s="21">
        <v>2608317</v>
      </c>
    </row>
    <row r="146" spans="1:13" x14ac:dyDescent="0.25">
      <c r="A146" s="26">
        <v>97</v>
      </c>
      <c r="B146" s="30" t="s">
        <v>1099</v>
      </c>
      <c r="C146" s="187" t="s">
        <v>29</v>
      </c>
      <c r="D146" s="30" t="s">
        <v>815</v>
      </c>
      <c r="E146" s="30" t="s">
        <v>23</v>
      </c>
      <c r="F146" s="30" t="s">
        <v>29</v>
      </c>
      <c r="G146" s="30" t="s">
        <v>69</v>
      </c>
      <c r="H146" s="30" t="s">
        <v>488</v>
      </c>
      <c r="I146" s="36">
        <v>44455</v>
      </c>
      <c r="J146" s="30">
        <v>2</v>
      </c>
      <c r="K146" s="30">
        <v>26</v>
      </c>
      <c r="L146" s="30">
        <v>26</v>
      </c>
      <c r="M146" s="21">
        <v>462272</v>
      </c>
    </row>
    <row r="147" spans="1:13" x14ac:dyDescent="0.25">
      <c r="A147" s="26">
        <v>98</v>
      </c>
      <c r="B147" s="30" t="s">
        <v>1100</v>
      </c>
      <c r="C147" s="187" t="s">
        <v>29</v>
      </c>
      <c r="D147" s="30" t="s">
        <v>815</v>
      </c>
      <c r="E147" s="30" t="s">
        <v>23</v>
      </c>
      <c r="F147" s="30" t="s">
        <v>29</v>
      </c>
      <c r="G147" s="30" t="s">
        <v>210</v>
      </c>
      <c r="H147" s="30" t="s">
        <v>211</v>
      </c>
      <c r="I147" s="36">
        <v>44455</v>
      </c>
      <c r="J147" s="30">
        <v>3</v>
      </c>
      <c r="K147" s="30">
        <v>23</v>
      </c>
      <c r="L147" s="30">
        <v>23</v>
      </c>
      <c r="M147" s="21">
        <v>346981</v>
      </c>
    </row>
    <row r="148" spans="1:13" x14ac:dyDescent="0.25">
      <c r="A148" s="26">
        <v>99</v>
      </c>
      <c r="B148" s="30" t="s">
        <v>1101</v>
      </c>
      <c r="C148" s="187" t="s">
        <v>29</v>
      </c>
      <c r="D148" s="30" t="s">
        <v>1106</v>
      </c>
      <c r="E148" s="30" t="s">
        <v>23</v>
      </c>
      <c r="F148" s="30" t="s">
        <v>29</v>
      </c>
      <c r="G148" s="30" t="s">
        <v>69</v>
      </c>
      <c r="H148" s="30" t="s">
        <v>70</v>
      </c>
      <c r="I148" s="36">
        <v>44455</v>
      </c>
      <c r="J148" s="30">
        <v>6</v>
      </c>
      <c r="K148" s="30">
        <v>90</v>
      </c>
      <c r="L148" s="30">
        <v>90</v>
      </c>
      <c r="M148" s="21">
        <v>1491480</v>
      </c>
    </row>
    <row r="149" spans="1:13" x14ac:dyDescent="0.25">
      <c r="A149" s="26">
        <v>100</v>
      </c>
      <c r="B149" s="30" t="s">
        <v>1102</v>
      </c>
      <c r="C149" s="26" t="s">
        <v>29</v>
      </c>
      <c r="D149" s="30" t="s">
        <v>491</v>
      </c>
      <c r="E149" s="30" t="s">
        <v>23</v>
      </c>
      <c r="F149" s="30" t="s">
        <v>29</v>
      </c>
      <c r="G149" s="30" t="s">
        <v>24</v>
      </c>
      <c r="H149" s="30" t="s">
        <v>502</v>
      </c>
      <c r="I149" s="36">
        <v>44455</v>
      </c>
      <c r="J149" s="30">
        <v>1</v>
      </c>
      <c r="K149" s="30">
        <v>18</v>
      </c>
      <c r="L149" s="30">
        <v>18</v>
      </c>
      <c r="M149" s="21">
        <v>528066</v>
      </c>
    </row>
    <row r="150" spans="1:13" x14ac:dyDescent="0.25">
      <c r="A150" s="242" t="s">
        <v>772</v>
      </c>
      <c r="B150" s="243"/>
      <c r="C150" s="243"/>
      <c r="D150" s="243"/>
      <c r="E150" s="243"/>
      <c r="F150" s="243"/>
      <c r="G150" s="243"/>
      <c r="H150" s="243"/>
      <c r="I150" s="243"/>
      <c r="J150" s="243"/>
      <c r="K150" s="243"/>
      <c r="L150" s="244"/>
      <c r="M150" s="143">
        <f>SUM(M50:M149)</f>
        <v>159589227</v>
      </c>
    </row>
    <row r="151" spans="1:13" x14ac:dyDescent="0.25">
      <c r="A151" s="178"/>
      <c r="B151" s="178"/>
      <c r="C151" s="178"/>
      <c r="D151" s="178"/>
      <c r="E151" s="178"/>
      <c r="F151" s="178"/>
      <c r="G151" s="178"/>
      <c r="H151" s="178"/>
      <c r="I151" s="178"/>
      <c r="J151" s="178"/>
      <c r="K151" s="178"/>
      <c r="L151" s="178"/>
      <c r="M151" s="179"/>
    </row>
    <row r="152" spans="1:13" x14ac:dyDescent="0.25">
      <c r="A152" s="178"/>
      <c r="B152" s="178"/>
      <c r="C152" s="178"/>
      <c r="D152" s="178"/>
      <c r="E152" s="178"/>
      <c r="F152" s="178"/>
      <c r="G152" s="178"/>
      <c r="H152" s="178"/>
      <c r="I152" s="178"/>
      <c r="J152" s="178"/>
      <c r="K152" s="178"/>
      <c r="L152" s="178"/>
      <c r="M152" s="179"/>
    </row>
    <row r="153" spans="1:13" x14ac:dyDescent="0.25">
      <c r="A153" s="145" t="s">
        <v>843</v>
      </c>
      <c r="E153" s="144">
        <f>M4+M46</f>
        <v>56089182.200000003</v>
      </c>
    </row>
    <row r="154" spans="1:13" ht="16.5" x14ac:dyDescent="0.35">
      <c r="A154" s="145" t="s">
        <v>844</v>
      </c>
      <c r="E154" s="180">
        <f>M150</f>
        <v>159589227</v>
      </c>
    </row>
    <row r="155" spans="1:13" x14ac:dyDescent="0.25">
      <c r="A155" s="145" t="s">
        <v>772</v>
      </c>
      <c r="E155" s="144">
        <f>SUM(E153:E154)</f>
        <v>215678409.19999999</v>
      </c>
    </row>
  </sheetData>
  <mergeCells count="6">
    <mergeCell ref="A150:L150"/>
    <mergeCell ref="A48:M48"/>
    <mergeCell ref="A46:L46"/>
    <mergeCell ref="A1:M1"/>
    <mergeCell ref="A7:M7"/>
    <mergeCell ref="A4:L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sqref="A1:M8"/>
    </sheetView>
  </sheetViews>
  <sheetFormatPr defaultRowHeight="15" x14ac:dyDescent="0.25"/>
  <cols>
    <col min="1" max="1" width="4.28515625" style="79" bestFit="1" customWidth="1"/>
    <col min="2" max="2" width="12.7109375" style="79" bestFit="1" customWidth="1"/>
    <col min="3" max="3" width="19" style="79" bestFit="1" customWidth="1"/>
    <col min="4" max="4" width="9" style="79" bestFit="1" customWidth="1"/>
    <col min="5" max="5" width="8.140625" style="79" bestFit="1" customWidth="1"/>
    <col min="6" max="7" width="5.42578125" style="79" bestFit="1" customWidth="1"/>
    <col min="8" max="8" width="8" style="79" bestFit="1" customWidth="1"/>
    <col min="9" max="9" width="10" style="79" bestFit="1" customWidth="1"/>
    <col min="10" max="10" width="4.28515625" style="79" bestFit="1" customWidth="1"/>
    <col min="11" max="12" width="8" style="79" bestFit="1" customWidth="1"/>
    <col min="13" max="13" width="12.85546875" style="79" bestFit="1" customWidth="1"/>
    <col min="14" max="16384" width="9.140625" style="79"/>
  </cols>
  <sheetData>
    <row r="1" spans="1:13" ht="27" x14ac:dyDescent="0.35">
      <c r="A1" s="245" t="s">
        <v>1077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</row>
    <row r="2" spans="1:13" ht="28.5" x14ac:dyDescent="0.25">
      <c r="A2" s="136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137" t="s">
        <v>8</v>
      </c>
      <c r="J2" s="40" t="s">
        <v>9</v>
      </c>
      <c r="K2" s="40" t="s">
        <v>10</v>
      </c>
      <c r="L2" s="40" t="s">
        <v>11</v>
      </c>
      <c r="M2" s="40" t="s">
        <v>16</v>
      </c>
    </row>
    <row r="3" spans="1:13" x14ac:dyDescent="0.25">
      <c r="A3" s="30">
        <v>1</v>
      </c>
      <c r="B3" s="30"/>
      <c r="C3" s="30" t="s">
        <v>896</v>
      </c>
      <c r="D3" s="30"/>
      <c r="E3" s="30"/>
      <c r="F3" s="30"/>
      <c r="G3" s="30"/>
      <c r="H3" s="30"/>
      <c r="I3" s="30"/>
      <c r="J3" s="30"/>
      <c r="K3" s="21">
        <v>69</v>
      </c>
      <c r="L3" s="21">
        <v>69</v>
      </c>
      <c r="M3" s="21">
        <v>1557628</v>
      </c>
    </row>
    <row r="4" spans="1:13" x14ac:dyDescent="0.25">
      <c r="A4" s="30">
        <v>2</v>
      </c>
      <c r="B4" s="30"/>
      <c r="C4" s="30" t="s">
        <v>769</v>
      </c>
      <c r="D4" s="30"/>
      <c r="E4" s="30"/>
      <c r="F4" s="30"/>
      <c r="G4" s="30"/>
      <c r="H4" s="30"/>
      <c r="I4" s="30"/>
      <c r="J4" s="30"/>
      <c r="K4" s="21">
        <v>108</v>
      </c>
      <c r="L4" s="21">
        <v>108</v>
      </c>
      <c r="M4" s="21">
        <v>1825036</v>
      </c>
    </row>
    <row r="5" spans="1:13" x14ac:dyDescent="0.25">
      <c r="A5" s="30">
        <v>3</v>
      </c>
      <c r="B5" s="30" t="s">
        <v>1011</v>
      </c>
      <c r="C5" s="26" t="s">
        <v>29</v>
      </c>
      <c r="D5" s="30" t="s">
        <v>617</v>
      </c>
      <c r="E5" s="30" t="s">
        <v>23</v>
      </c>
      <c r="F5" s="30" t="s">
        <v>29</v>
      </c>
      <c r="G5" s="30" t="s">
        <v>618</v>
      </c>
      <c r="H5" s="30" t="s">
        <v>1028</v>
      </c>
      <c r="I5" s="36">
        <v>44449</v>
      </c>
      <c r="J5" s="30">
        <v>1</v>
      </c>
      <c r="K5" s="21">
        <v>20</v>
      </c>
      <c r="L5" s="21">
        <v>20</v>
      </c>
      <c r="M5" s="21">
        <v>233490</v>
      </c>
    </row>
    <row r="6" spans="1:13" x14ac:dyDescent="0.25">
      <c r="A6" s="30">
        <v>4</v>
      </c>
      <c r="B6" s="30" t="s">
        <v>742</v>
      </c>
      <c r="C6" s="26" t="s">
        <v>29</v>
      </c>
      <c r="D6" s="30" t="s">
        <v>744</v>
      </c>
      <c r="E6" s="30" t="s">
        <v>23</v>
      </c>
      <c r="F6" s="30" t="s">
        <v>29</v>
      </c>
      <c r="G6" s="30" t="s">
        <v>45</v>
      </c>
      <c r="H6" s="30" t="s">
        <v>238</v>
      </c>
      <c r="I6" s="111">
        <v>44419</v>
      </c>
      <c r="J6" s="30">
        <v>1</v>
      </c>
      <c r="K6" s="21">
        <v>13</v>
      </c>
      <c r="L6" s="21">
        <v>14</v>
      </c>
      <c r="M6" s="21">
        <v>622518</v>
      </c>
    </row>
    <row r="7" spans="1:13" x14ac:dyDescent="0.25">
      <c r="A7" s="30">
        <v>5</v>
      </c>
      <c r="B7" s="69" t="s">
        <v>1078</v>
      </c>
      <c r="C7" s="8" t="s">
        <v>859</v>
      </c>
      <c r="D7" s="69" t="s">
        <v>617</v>
      </c>
      <c r="E7" s="30" t="s">
        <v>23</v>
      </c>
      <c r="F7" s="69" t="s">
        <v>29</v>
      </c>
      <c r="G7" s="69" t="s">
        <v>40</v>
      </c>
      <c r="H7" s="69" t="s">
        <v>1079</v>
      </c>
      <c r="I7" s="111">
        <v>44449</v>
      </c>
      <c r="J7" s="69">
        <v>1</v>
      </c>
      <c r="K7" s="188">
        <v>20</v>
      </c>
      <c r="L7" s="188">
        <v>20</v>
      </c>
      <c r="M7" s="21">
        <v>244460</v>
      </c>
    </row>
    <row r="8" spans="1:13" x14ac:dyDescent="0.25">
      <c r="A8" s="246" t="s">
        <v>772</v>
      </c>
      <c r="B8" s="246"/>
      <c r="C8" s="246"/>
      <c r="D8" s="246"/>
      <c r="E8" s="246"/>
      <c r="F8" s="246"/>
      <c r="G8" s="246"/>
      <c r="H8" s="246"/>
      <c r="I8" s="246"/>
      <c r="J8" s="246"/>
      <c r="K8" s="246"/>
      <c r="L8" s="246"/>
      <c r="M8" s="143">
        <f>SUM(M3:M7)</f>
        <v>4483132</v>
      </c>
    </row>
  </sheetData>
  <mergeCells count="2">
    <mergeCell ref="A1:M1"/>
    <mergeCell ref="A8:L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A17" workbookViewId="0">
      <pane xSplit="9" topLeftCell="O1" activePane="topRight" state="frozen"/>
      <selection activeCell="U4" sqref="U4"/>
      <selection pane="topRight" activeCell="S28" sqref="S28"/>
    </sheetView>
  </sheetViews>
  <sheetFormatPr defaultRowHeight="15" x14ac:dyDescent="0.25"/>
  <cols>
    <col min="2" max="2" width="14" bestFit="1" customWidth="1"/>
    <col min="4" max="4" width="22.5703125" bestFit="1" customWidth="1"/>
    <col min="5" max="5" width="16.7109375" bestFit="1" customWidth="1"/>
    <col min="9" max="9" width="9.5703125" bestFit="1" customWidth="1"/>
    <col min="12" max="13" width="13.28515625" bestFit="1" customWidth="1"/>
    <col min="17" max="17" width="12.5703125" bestFit="1" customWidth="1"/>
    <col min="18" max="18" width="12.85546875" style="49" bestFit="1" customWidth="1"/>
    <col min="19" max="19" width="13" bestFit="1" customWidth="1"/>
    <col min="20" max="20" width="11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0" t="s">
        <v>17</v>
      </c>
      <c r="S1" s="2" t="s">
        <v>18</v>
      </c>
      <c r="T1" s="2" t="s">
        <v>19</v>
      </c>
    </row>
    <row r="2" spans="1:20" x14ac:dyDescent="0.25">
      <c r="A2" s="6">
        <v>1</v>
      </c>
      <c r="B2" s="7" t="s">
        <v>127</v>
      </c>
      <c r="C2" s="8" t="s">
        <v>29</v>
      </c>
      <c r="D2" s="18" t="s">
        <v>53</v>
      </c>
      <c r="E2" s="9" t="s">
        <v>23</v>
      </c>
      <c r="F2" s="8" t="s">
        <v>29</v>
      </c>
      <c r="G2" s="8" t="s">
        <v>50</v>
      </c>
      <c r="H2" s="9" t="s">
        <v>128</v>
      </c>
      <c r="I2" s="34">
        <v>44229</v>
      </c>
      <c r="J2" s="11">
        <v>1</v>
      </c>
      <c r="K2" s="12">
        <v>14</v>
      </c>
      <c r="L2" s="13">
        <v>16</v>
      </c>
      <c r="M2" s="14">
        <f>((L2*31000)+(L2*31000)*10%)+8250+((0*150))</f>
        <v>553850</v>
      </c>
      <c r="N2" s="14">
        <f>L2*1210</f>
        <v>19360</v>
      </c>
      <c r="O2" s="14">
        <f>(L2*1850)+3000</f>
        <v>32600</v>
      </c>
      <c r="P2" s="14">
        <f>L2*500</f>
        <v>8000</v>
      </c>
      <c r="Q2" s="14">
        <f>SUM(M2:P2)</f>
        <v>613810</v>
      </c>
      <c r="R2" s="21">
        <v>6744300</v>
      </c>
      <c r="S2" s="32" t="s">
        <v>291</v>
      </c>
      <c r="T2" s="30" t="s">
        <v>126</v>
      </c>
    </row>
    <row r="3" spans="1:20" x14ac:dyDescent="0.25">
      <c r="A3" s="6">
        <v>2</v>
      </c>
      <c r="B3" s="7" t="s">
        <v>129</v>
      </c>
      <c r="C3" s="8" t="s">
        <v>29</v>
      </c>
      <c r="D3" s="18" t="s">
        <v>130</v>
      </c>
      <c r="E3" s="9" t="s">
        <v>23</v>
      </c>
      <c r="F3" s="8" t="s">
        <v>29</v>
      </c>
      <c r="G3" s="8" t="s">
        <v>112</v>
      </c>
      <c r="H3" s="9" t="s">
        <v>87</v>
      </c>
      <c r="I3" s="34">
        <v>44230</v>
      </c>
      <c r="J3" s="11">
        <v>3</v>
      </c>
      <c r="K3" s="12">
        <v>12</v>
      </c>
      <c r="L3" s="13">
        <v>18</v>
      </c>
      <c r="M3" s="14">
        <f>((L3*40800)+(L3*40800)*10%)+8250+(K3*150)</f>
        <v>817890</v>
      </c>
      <c r="N3" s="14">
        <f>L3*1210</f>
        <v>21780</v>
      </c>
      <c r="O3" s="14">
        <f>(L3*1850)+3000</f>
        <v>36300</v>
      </c>
      <c r="P3" s="14">
        <f>L3*1100</f>
        <v>19800</v>
      </c>
      <c r="Q3" s="14">
        <f>SUM(M3:P3)</f>
        <v>895770</v>
      </c>
      <c r="R3" s="21">
        <v>1494522</v>
      </c>
      <c r="S3" s="32" t="s">
        <v>307</v>
      </c>
      <c r="T3" s="30" t="s">
        <v>27</v>
      </c>
    </row>
    <row r="4" spans="1:20" x14ac:dyDescent="0.25">
      <c r="A4" s="6">
        <v>3</v>
      </c>
      <c r="B4" s="22" t="s">
        <v>124</v>
      </c>
      <c r="C4" s="8" t="s">
        <v>21</v>
      </c>
      <c r="D4" s="7" t="s">
        <v>125</v>
      </c>
      <c r="E4" s="9" t="s">
        <v>23</v>
      </c>
      <c r="F4" s="8" t="s">
        <v>21</v>
      </c>
      <c r="G4" s="8" t="s">
        <v>24</v>
      </c>
      <c r="H4" s="9" t="s">
        <v>25</v>
      </c>
      <c r="I4" s="29">
        <v>44227</v>
      </c>
      <c r="J4" s="30">
        <v>2</v>
      </c>
      <c r="K4" s="30">
        <v>16</v>
      </c>
      <c r="L4" s="30">
        <v>26</v>
      </c>
      <c r="M4" s="14">
        <f>((L4*32550)+(L4*32550)*10%)+8250+(K4*150)</f>
        <v>941580</v>
      </c>
      <c r="N4" s="14">
        <f>L4*869</f>
        <v>22594</v>
      </c>
      <c r="O4" s="14">
        <f>(L4*1153.8)+20000</f>
        <v>49998.8</v>
      </c>
      <c r="P4" s="14">
        <f>L4*1100</f>
        <v>28600</v>
      </c>
      <c r="Q4" s="14">
        <f>SUM(M4:P4)</f>
        <v>1042772.8</v>
      </c>
      <c r="R4" s="198">
        <v>23734250</v>
      </c>
      <c r="S4" s="201" t="s">
        <v>131</v>
      </c>
      <c r="T4" s="204" t="s">
        <v>126</v>
      </c>
    </row>
    <row r="5" spans="1:20" x14ac:dyDescent="0.25">
      <c r="A5" s="6">
        <v>4</v>
      </c>
      <c r="B5" s="7" t="s">
        <v>132</v>
      </c>
      <c r="C5" s="8" t="s">
        <v>29</v>
      </c>
      <c r="D5" s="18" t="s">
        <v>133</v>
      </c>
      <c r="E5" s="9" t="s">
        <v>23</v>
      </c>
      <c r="F5" s="8" t="s">
        <v>29</v>
      </c>
      <c r="G5" s="8" t="s">
        <v>50</v>
      </c>
      <c r="H5" s="9" t="s">
        <v>58</v>
      </c>
      <c r="I5" s="34">
        <v>44230</v>
      </c>
      <c r="J5" s="11">
        <v>8</v>
      </c>
      <c r="K5" s="12">
        <v>210</v>
      </c>
      <c r="L5" s="13">
        <v>210</v>
      </c>
      <c r="M5" s="14">
        <f>((L5*31000)+(L5*31000)*10%)+8250+((0*150))</f>
        <v>7169250</v>
      </c>
      <c r="N5" s="14">
        <f t="shared" ref="N5:N12" si="0">L5*1210</f>
        <v>254100</v>
      </c>
      <c r="O5" s="14">
        <f>(L5*1850)+3000</f>
        <v>391500</v>
      </c>
      <c r="P5" s="14">
        <f t="shared" ref="P5:P10" si="1">L5*1100</f>
        <v>231000</v>
      </c>
      <c r="Q5" s="14">
        <f t="shared" ref="Q5:Q21" si="2">SUM(M5:P5)</f>
        <v>8045850</v>
      </c>
      <c r="R5" s="199"/>
      <c r="S5" s="202"/>
      <c r="T5" s="205"/>
    </row>
    <row r="6" spans="1:20" x14ac:dyDescent="0.25">
      <c r="A6" s="6">
        <v>5</v>
      </c>
      <c r="B6" s="7" t="s">
        <v>134</v>
      </c>
      <c r="C6" s="8" t="s">
        <v>29</v>
      </c>
      <c r="D6" s="18" t="s">
        <v>133</v>
      </c>
      <c r="E6" s="9" t="s">
        <v>23</v>
      </c>
      <c r="F6" s="8" t="s">
        <v>29</v>
      </c>
      <c r="G6" s="8" t="s">
        <v>50</v>
      </c>
      <c r="H6" s="9" t="s">
        <v>135</v>
      </c>
      <c r="I6" s="34">
        <v>44231</v>
      </c>
      <c r="J6" s="11">
        <v>2</v>
      </c>
      <c r="K6" s="12">
        <v>71</v>
      </c>
      <c r="L6" s="13">
        <v>71</v>
      </c>
      <c r="M6" s="14">
        <f>((L6*31000)+(L6*31000)*10%)+8250+((0*150))</f>
        <v>2429350</v>
      </c>
      <c r="N6" s="14">
        <f t="shared" si="0"/>
        <v>85910</v>
      </c>
      <c r="O6" s="14">
        <f>(L6*1850)+3000</f>
        <v>134350</v>
      </c>
      <c r="P6" s="14">
        <f t="shared" si="1"/>
        <v>78100</v>
      </c>
      <c r="Q6" s="14">
        <f t="shared" si="2"/>
        <v>2727710</v>
      </c>
      <c r="R6" s="199"/>
      <c r="S6" s="202"/>
      <c r="T6" s="205"/>
    </row>
    <row r="7" spans="1:20" x14ac:dyDescent="0.25">
      <c r="A7" s="6">
        <v>6</v>
      </c>
      <c r="B7" s="7" t="s">
        <v>136</v>
      </c>
      <c r="C7" s="8" t="s">
        <v>29</v>
      </c>
      <c r="D7" s="18" t="s">
        <v>133</v>
      </c>
      <c r="E7" s="9" t="s">
        <v>137</v>
      </c>
      <c r="F7" s="8" t="s">
        <v>29</v>
      </c>
      <c r="G7" s="8" t="s">
        <v>50</v>
      </c>
      <c r="H7" s="9" t="s">
        <v>138</v>
      </c>
      <c r="I7" s="34">
        <v>44231</v>
      </c>
      <c r="J7" s="11">
        <v>1</v>
      </c>
      <c r="K7" s="12">
        <v>66</v>
      </c>
      <c r="L7" s="13">
        <v>66</v>
      </c>
      <c r="M7" s="14">
        <f>((L7*46500)+(L7*46500)*10%)+8250+((0*150))</f>
        <v>3384150</v>
      </c>
      <c r="N7" s="14">
        <f t="shared" si="0"/>
        <v>79860</v>
      </c>
      <c r="O7" s="14">
        <f>(L7*1850)+3000</f>
        <v>125100</v>
      </c>
      <c r="P7" s="14">
        <f t="shared" si="1"/>
        <v>72600</v>
      </c>
      <c r="Q7" s="14">
        <f t="shared" si="2"/>
        <v>3661710</v>
      </c>
      <c r="R7" s="199"/>
      <c r="S7" s="202"/>
      <c r="T7" s="205"/>
    </row>
    <row r="8" spans="1:20" x14ac:dyDescent="0.25">
      <c r="A8" s="6">
        <v>7</v>
      </c>
      <c r="B8" s="7" t="s">
        <v>139</v>
      </c>
      <c r="C8" s="8" t="s">
        <v>29</v>
      </c>
      <c r="D8" s="18" t="s">
        <v>133</v>
      </c>
      <c r="E8" s="9" t="s">
        <v>137</v>
      </c>
      <c r="F8" s="8" t="s">
        <v>29</v>
      </c>
      <c r="G8" s="8" t="s">
        <v>50</v>
      </c>
      <c r="H8" s="9" t="s">
        <v>138</v>
      </c>
      <c r="I8" s="34">
        <v>44231</v>
      </c>
      <c r="J8" s="11">
        <v>1</v>
      </c>
      <c r="K8" s="12">
        <v>69</v>
      </c>
      <c r="L8" s="13">
        <v>69</v>
      </c>
      <c r="M8" s="14">
        <f>((L8*46500)+(L8*46500)*10%)+8250+((0*150))</f>
        <v>3537600</v>
      </c>
      <c r="N8" s="14">
        <f t="shared" si="0"/>
        <v>83490</v>
      </c>
      <c r="O8" s="14">
        <f>(L8*1850)+3000</f>
        <v>130650</v>
      </c>
      <c r="P8" s="14">
        <f t="shared" si="1"/>
        <v>75900</v>
      </c>
      <c r="Q8" s="14">
        <f t="shared" si="2"/>
        <v>3827640</v>
      </c>
      <c r="R8" s="200"/>
      <c r="S8" s="203"/>
      <c r="T8" s="206"/>
    </row>
    <row r="9" spans="1:20" x14ac:dyDescent="0.25">
      <c r="A9" s="6">
        <v>8</v>
      </c>
      <c r="B9" s="7" t="s">
        <v>140</v>
      </c>
      <c r="C9" s="8" t="s">
        <v>29</v>
      </c>
      <c r="D9" s="18" t="s">
        <v>141</v>
      </c>
      <c r="E9" s="9" t="s">
        <v>23</v>
      </c>
      <c r="F9" s="8" t="s">
        <v>29</v>
      </c>
      <c r="G9" s="8" t="s">
        <v>142</v>
      </c>
      <c r="H9" s="9" t="s">
        <v>143</v>
      </c>
      <c r="I9" s="34">
        <v>44231</v>
      </c>
      <c r="J9" s="11">
        <v>1</v>
      </c>
      <c r="K9" s="12">
        <v>6</v>
      </c>
      <c r="L9" s="13">
        <v>10</v>
      </c>
      <c r="M9" s="14">
        <f>((L9*6600)+(L9*6600)*10%)+8250+((K9*150))</f>
        <v>81750</v>
      </c>
      <c r="N9" s="14">
        <v>0</v>
      </c>
      <c r="O9" s="14">
        <f>(L9*1850)+3000</f>
        <v>21500</v>
      </c>
      <c r="P9" s="14">
        <f t="shared" si="1"/>
        <v>11000</v>
      </c>
      <c r="Q9" s="14">
        <f t="shared" si="2"/>
        <v>114250</v>
      </c>
      <c r="R9" s="21">
        <v>115000</v>
      </c>
      <c r="S9" s="32" t="s">
        <v>144</v>
      </c>
      <c r="T9" s="30" t="s">
        <v>126</v>
      </c>
    </row>
    <row r="10" spans="1:20" x14ac:dyDescent="0.25">
      <c r="A10" s="6">
        <v>9</v>
      </c>
      <c r="B10" s="52" t="s">
        <v>145</v>
      </c>
      <c r="C10" s="8" t="s">
        <v>29</v>
      </c>
      <c r="D10" s="18" t="s">
        <v>85</v>
      </c>
      <c r="E10" s="9" t="s">
        <v>23</v>
      </c>
      <c r="F10" s="8" t="s">
        <v>29</v>
      </c>
      <c r="G10" s="8" t="s">
        <v>79</v>
      </c>
      <c r="H10" s="9" t="s">
        <v>80</v>
      </c>
      <c r="I10" s="34">
        <v>44231</v>
      </c>
      <c r="J10" s="11">
        <v>2</v>
      </c>
      <c r="K10" s="12">
        <v>32</v>
      </c>
      <c r="L10" s="13">
        <v>34</v>
      </c>
      <c r="M10" s="14">
        <f>((L10*15000)+(L10*15000)*10%)+8250+((0*150))</f>
        <v>569250</v>
      </c>
      <c r="N10" s="14">
        <f t="shared" si="0"/>
        <v>41140</v>
      </c>
      <c r="O10" s="14">
        <f>(L10*1850.2)+3000</f>
        <v>65906.8</v>
      </c>
      <c r="P10" s="14">
        <f t="shared" si="1"/>
        <v>37400</v>
      </c>
      <c r="Q10" s="14">
        <f t="shared" si="2"/>
        <v>713696.8</v>
      </c>
      <c r="R10" s="21">
        <v>17933209</v>
      </c>
      <c r="S10" s="32" t="s">
        <v>402</v>
      </c>
      <c r="T10" s="30" t="s">
        <v>27</v>
      </c>
    </row>
    <row r="11" spans="1:20" x14ac:dyDescent="0.25">
      <c r="A11" s="6">
        <v>10</v>
      </c>
      <c r="B11" s="7" t="s">
        <v>146</v>
      </c>
      <c r="C11" s="8" t="s">
        <v>29</v>
      </c>
      <c r="D11" s="18" t="s">
        <v>53</v>
      </c>
      <c r="E11" s="9" t="s">
        <v>23</v>
      </c>
      <c r="F11" s="8" t="s">
        <v>29</v>
      </c>
      <c r="G11" s="8" t="s">
        <v>50</v>
      </c>
      <c r="H11" s="9" t="s">
        <v>58</v>
      </c>
      <c r="I11" s="34">
        <v>44232</v>
      </c>
      <c r="J11" s="11">
        <v>2</v>
      </c>
      <c r="K11" s="12">
        <v>39</v>
      </c>
      <c r="L11" s="13">
        <v>49</v>
      </c>
      <c r="M11" s="14">
        <f>((L11*31000)+(L11*31000)*10%)+8250+((0*150))</f>
        <v>1679150</v>
      </c>
      <c r="N11" s="14">
        <f t="shared" si="0"/>
        <v>59290</v>
      </c>
      <c r="O11" s="14">
        <f>(L11*1850)+3000</f>
        <v>93650</v>
      </c>
      <c r="P11" s="14">
        <f>L11*500</f>
        <v>24500</v>
      </c>
      <c r="Q11" s="14">
        <f t="shared" si="2"/>
        <v>1856590</v>
      </c>
      <c r="R11" s="21">
        <v>6744300</v>
      </c>
      <c r="S11" s="32" t="s">
        <v>291</v>
      </c>
      <c r="T11" s="30" t="s">
        <v>126</v>
      </c>
    </row>
    <row r="12" spans="1:20" x14ac:dyDescent="0.25">
      <c r="A12" s="6">
        <v>11</v>
      </c>
      <c r="B12" s="7" t="s">
        <v>147</v>
      </c>
      <c r="C12" s="8" t="s">
        <v>29</v>
      </c>
      <c r="D12" s="18" t="s">
        <v>30</v>
      </c>
      <c r="E12" s="9" t="s">
        <v>23</v>
      </c>
      <c r="F12" s="8" t="s">
        <v>29</v>
      </c>
      <c r="G12" s="8" t="s">
        <v>35</v>
      </c>
      <c r="H12" s="9" t="s">
        <v>148</v>
      </c>
      <c r="I12" s="34">
        <v>44236</v>
      </c>
      <c r="J12" s="11">
        <v>11</v>
      </c>
      <c r="K12" s="12">
        <v>194</v>
      </c>
      <c r="L12" s="13">
        <v>194</v>
      </c>
      <c r="M12" s="14">
        <f>((L12*9200)+(L12*9200)*10%)+8250+((0*150))</f>
        <v>1971530</v>
      </c>
      <c r="N12" s="14">
        <f t="shared" si="0"/>
        <v>234740</v>
      </c>
      <c r="O12" s="14">
        <f>(L12*1850)+3000</f>
        <v>361900</v>
      </c>
      <c r="P12" s="14">
        <f>L12*1100</f>
        <v>213400</v>
      </c>
      <c r="Q12" s="14">
        <f t="shared" si="2"/>
        <v>2781570</v>
      </c>
      <c r="R12" s="21">
        <v>4431100</v>
      </c>
      <c r="S12" s="32" t="s">
        <v>315</v>
      </c>
      <c r="T12" s="30" t="s">
        <v>27</v>
      </c>
    </row>
    <row r="13" spans="1:20" x14ac:dyDescent="0.25">
      <c r="A13" s="6">
        <v>12</v>
      </c>
      <c r="B13" s="7" t="s">
        <v>149</v>
      </c>
      <c r="C13" s="8" t="s">
        <v>21</v>
      </c>
      <c r="D13" s="9" t="s">
        <v>97</v>
      </c>
      <c r="E13" s="9" t="s">
        <v>23</v>
      </c>
      <c r="F13" s="8" t="s">
        <v>21</v>
      </c>
      <c r="G13" s="8" t="s">
        <v>50</v>
      </c>
      <c r="H13" s="9" t="s">
        <v>25</v>
      </c>
      <c r="I13" s="35">
        <v>44237</v>
      </c>
      <c r="J13" s="11">
        <v>2</v>
      </c>
      <c r="K13" s="12">
        <v>11</v>
      </c>
      <c r="L13" s="12">
        <v>11</v>
      </c>
      <c r="M13" s="14">
        <f>((L13*30600)+(L13*30600)*10%)+8250+((0*150))</f>
        <v>378510</v>
      </c>
      <c r="N13" s="14">
        <f>L13*869</f>
        <v>9559</v>
      </c>
      <c r="O13" s="14">
        <f>(L13*1153)+20000</f>
        <v>32683</v>
      </c>
      <c r="P13" s="14">
        <f>L13*1100</f>
        <v>12100</v>
      </c>
      <c r="Q13" s="14">
        <f t="shared" si="2"/>
        <v>432852</v>
      </c>
      <c r="R13" s="21">
        <v>432850</v>
      </c>
      <c r="S13" s="32" t="s">
        <v>150</v>
      </c>
      <c r="T13" s="30" t="s">
        <v>126</v>
      </c>
    </row>
    <row r="14" spans="1:20" x14ac:dyDescent="0.25">
      <c r="A14" s="6">
        <v>13</v>
      </c>
      <c r="B14" s="7" t="s">
        <v>151</v>
      </c>
      <c r="C14" s="8" t="s">
        <v>29</v>
      </c>
      <c r="D14" s="9" t="s">
        <v>152</v>
      </c>
      <c r="E14" s="9" t="s">
        <v>23</v>
      </c>
      <c r="F14" s="8" t="s">
        <v>21</v>
      </c>
      <c r="G14" s="8" t="s">
        <v>153</v>
      </c>
      <c r="H14" s="9" t="s">
        <v>154</v>
      </c>
      <c r="I14" s="35">
        <v>44237</v>
      </c>
      <c r="J14" s="11">
        <v>15</v>
      </c>
      <c r="K14" s="12">
        <v>294</v>
      </c>
      <c r="L14" s="12">
        <v>294</v>
      </c>
      <c r="M14" s="14">
        <f>((L14*34000)+(L14*34000)*10%)+8250+((0*150))</f>
        <v>11003850</v>
      </c>
      <c r="N14" s="14">
        <f>L14*1210</f>
        <v>355740</v>
      </c>
      <c r="O14" s="14">
        <f>(L14*1850)+3000</f>
        <v>546900</v>
      </c>
      <c r="P14" s="14">
        <f>L14*1100</f>
        <v>323400</v>
      </c>
      <c r="Q14" s="14">
        <f t="shared" si="2"/>
        <v>12229890</v>
      </c>
      <c r="R14" s="21">
        <v>12241650</v>
      </c>
      <c r="S14" s="32" t="s">
        <v>155</v>
      </c>
      <c r="T14" s="30" t="s">
        <v>126</v>
      </c>
    </row>
    <row r="15" spans="1:20" x14ac:dyDescent="0.25">
      <c r="A15" s="6">
        <v>14</v>
      </c>
      <c r="B15" s="7" t="s">
        <v>156</v>
      </c>
      <c r="C15" s="8" t="s">
        <v>29</v>
      </c>
      <c r="D15" s="9" t="s">
        <v>30</v>
      </c>
      <c r="E15" s="9" t="s">
        <v>23</v>
      </c>
      <c r="F15" s="8" t="s">
        <v>29</v>
      </c>
      <c r="G15" s="8" t="s">
        <v>35</v>
      </c>
      <c r="H15" s="9" t="s">
        <v>157</v>
      </c>
      <c r="I15" s="35">
        <v>44237</v>
      </c>
      <c r="J15" s="11">
        <v>1</v>
      </c>
      <c r="K15" s="12">
        <v>9</v>
      </c>
      <c r="L15" s="12">
        <v>12</v>
      </c>
      <c r="M15" s="14">
        <f>((L15*9200)+(L15*9200)*10%)+8250+((0*150))</f>
        <v>129690</v>
      </c>
      <c r="N15" s="14">
        <f>L15*1210</f>
        <v>14520</v>
      </c>
      <c r="O15" s="14">
        <f>(L15*1850)+3000</f>
        <v>25200</v>
      </c>
      <c r="P15" s="14">
        <f>L15*1100</f>
        <v>13200</v>
      </c>
      <c r="Q15" s="14">
        <f t="shared" si="2"/>
        <v>182610</v>
      </c>
      <c r="R15" s="21">
        <v>4431100</v>
      </c>
      <c r="S15" s="32" t="s">
        <v>315</v>
      </c>
      <c r="T15" s="30" t="s">
        <v>27</v>
      </c>
    </row>
    <row r="16" spans="1:20" x14ac:dyDescent="0.25">
      <c r="A16" s="6">
        <v>15</v>
      </c>
      <c r="B16" s="7" t="s">
        <v>158</v>
      </c>
      <c r="C16" s="8" t="s">
        <v>29</v>
      </c>
      <c r="D16" s="9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35">
        <v>44238</v>
      </c>
      <c r="J16" s="11">
        <v>1</v>
      </c>
      <c r="K16" s="12">
        <v>25</v>
      </c>
      <c r="L16" s="12">
        <v>25</v>
      </c>
      <c r="M16" s="14">
        <f>((L16*31000)+(L16*31000)*10%)+8250+((0*150))</f>
        <v>860750</v>
      </c>
      <c r="N16" s="14">
        <f>L16*1210</f>
        <v>30250</v>
      </c>
      <c r="O16" s="14">
        <f>(L16*1850)+3000</f>
        <v>49250</v>
      </c>
      <c r="P16" s="14">
        <f>L16*500</f>
        <v>12500</v>
      </c>
      <c r="Q16" s="14">
        <f t="shared" si="2"/>
        <v>952750</v>
      </c>
      <c r="R16" s="21">
        <v>6744300</v>
      </c>
      <c r="S16" s="32" t="s">
        <v>291</v>
      </c>
      <c r="T16" s="30" t="s">
        <v>126</v>
      </c>
    </row>
    <row r="17" spans="1:20" x14ac:dyDescent="0.25">
      <c r="A17" s="6">
        <v>16</v>
      </c>
      <c r="B17" s="7" t="s">
        <v>159</v>
      </c>
      <c r="C17" s="8" t="s">
        <v>21</v>
      </c>
      <c r="D17" s="9" t="s">
        <v>160</v>
      </c>
      <c r="E17" s="9" t="s">
        <v>23</v>
      </c>
      <c r="F17" s="8" t="s">
        <v>21</v>
      </c>
      <c r="G17" s="8" t="s">
        <v>50</v>
      </c>
      <c r="H17" s="9" t="s">
        <v>25</v>
      </c>
      <c r="I17" s="35">
        <v>44238</v>
      </c>
      <c r="J17" s="11">
        <v>1</v>
      </c>
      <c r="K17" s="12">
        <v>2</v>
      </c>
      <c r="L17" s="12">
        <v>10</v>
      </c>
      <c r="M17" s="14">
        <f>((L17*30600)+(L17*30600)*10%)+8250+((0*150))</f>
        <v>344850</v>
      </c>
      <c r="N17" s="14">
        <v>0</v>
      </c>
      <c r="O17" s="14">
        <v>0</v>
      </c>
      <c r="P17" s="14">
        <f t="shared" ref="P17:P22" si="3">L17*1100</f>
        <v>11000</v>
      </c>
      <c r="Q17" s="14">
        <f t="shared" si="2"/>
        <v>355850</v>
      </c>
      <c r="R17" s="21">
        <v>355850</v>
      </c>
      <c r="S17" s="32" t="s">
        <v>161</v>
      </c>
      <c r="T17" s="30" t="s">
        <v>27</v>
      </c>
    </row>
    <row r="18" spans="1:20" x14ac:dyDescent="0.25">
      <c r="A18" s="6">
        <v>17</v>
      </c>
      <c r="B18" s="7" t="s">
        <v>162</v>
      </c>
      <c r="C18" s="8" t="s">
        <v>21</v>
      </c>
      <c r="D18" s="9" t="s">
        <v>163</v>
      </c>
      <c r="E18" s="9" t="s">
        <v>23</v>
      </c>
      <c r="F18" s="8" t="s">
        <v>21</v>
      </c>
      <c r="G18" s="8" t="s">
        <v>50</v>
      </c>
      <c r="H18" s="9" t="s">
        <v>25</v>
      </c>
      <c r="I18" s="35">
        <v>44239</v>
      </c>
      <c r="J18" s="11">
        <v>1</v>
      </c>
      <c r="K18" s="12">
        <v>1</v>
      </c>
      <c r="L18" s="12">
        <v>10</v>
      </c>
      <c r="M18" s="14">
        <f>((L18*30600)+(L18*30600)*10%)+8250+((0*150))</f>
        <v>344850</v>
      </c>
      <c r="N18" s="14">
        <v>0</v>
      </c>
      <c r="O18" s="14">
        <v>0</v>
      </c>
      <c r="P18" s="14">
        <f t="shared" si="3"/>
        <v>11000</v>
      </c>
      <c r="Q18" s="14">
        <f t="shared" si="2"/>
        <v>355850</v>
      </c>
      <c r="R18" s="21">
        <v>355850</v>
      </c>
      <c r="S18" s="32" t="s">
        <v>56</v>
      </c>
      <c r="T18" s="30" t="s">
        <v>27</v>
      </c>
    </row>
    <row r="19" spans="1:20" x14ac:dyDescent="0.25">
      <c r="A19" s="6">
        <v>18</v>
      </c>
      <c r="B19" s="7" t="s">
        <v>164</v>
      </c>
      <c r="C19" s="8" t="s">
        <v>21</v>
      </c>
      <c r="D19" s="9" t="s">
        <v>165</v>
      </c>
      <c r="E19" s="9" t="s">
        <v>23</v>
      </c>
      <c r="F19" s="8" t="s">
        <v>21</v>
      </c>
      <c r="G19" s="8" t="s">
        <v>166</v>
      </c>
      <c r="H19" s="9" t="s">
        <v>167</v>
      </c>
      <c r="I19" s="35">
        <v>44242</v>
      </c>
      <c r="J19" s="11">
        <v>1</v>
      </c>
      <c r="K19" s="12">
        <v>2</v>
      </c>
      <c r="L19" s="12">
        <v>10</v>
      </c>
      <c r="M19" s="14">
        <f>((L19*5500)+(L19*5500)*10%)+8250+((0*150))</f>
        <v>68750</v>
      </c>
      <c r="N19" s="14">
        <v>0</v>
      </c>
      <c r="O19" s="14">
        <v>0</v>
      </c>
      <c r="P19" s="14">
        <f t="shared" si="3"/>
        <v>11000</v>
      </c>
      <c r="Q19" s="14">
        <f t="shared" si="2"/>
        <v>79750</v>
      </c>
      <c r="R19" s="21">
        <v>79750</v>
      </c>
      <c r="S19" s="32" t="s">
        <v>168</v>
      </c>
      <c r="T19" s="30" t="s">
        <v>27</v>
      </c>
    </row>
    <row r="20" spans="1:20" x14ac:dyDescent="0.25">
      <c r="A20" s="6">
        <v>19</v>
      </c>
      <c r="B20" s="7" t="s">
        <v>169</v>
      </c>
      <c r="C20" s="8" t="s">
        <v>21</v>
      </c>
      <c r="D20" s="9" t="s">
        <v>170</v>
      </c>
      <c r="E20" s="9" t="s">
        <v>23</v>
      </c>
      <c r="F20" s="8" t="s">
        <v>21</v>
      </c>
      <c r="G20" s="8" t="s">
        <v>171</v>
      </c>
      <c r="H20" s="9" t="s">
        <v>172</v>
      </c>
      <c r="I20" s="35">
        <v>44244</v>
      </c>
      <c r="J20" s="11">
        <v>1</v>
      </c>
      <c r="K20" s="12">
        <v>6</v>
      </c>
      <c r="L20" s="12">
        <v>10</v>
      </c>
      <c r="M20" s="14">
        <f>((L20*6500)+(L20*6500)*10%)+8250+((0*150))</f>
        <v>79750</v>
      </c>
      <c r="N20" s="14">
        <v>0</v>
      </c>
      <c r="O20" s="14">
        <v>0</v>
      </c>
      <c r="P20" s="14">
        <f t="shared" si="3"/>
        <v>11000</v>
      </c>
      <c r="Q20" s="14">
        <f t="shared" si="2"/>
        <v>90750</v>
      </c>
      <c r="R20" s="31">
        <v>90750</v>
      </c>
      <c r="S20" s="32" t="s">
        <v>173</v>
      </c>
      <c r="T20" s="30" t="s">
        <v>27</v>
      </c>
    </row>
    <row r="21" spans="1:20" x14ac:dyDescent="0.25">
      <c r="A21" s="6">
        <v>20</v>
      </c>
      <c r="B21" s="52" t="s">
        <v>174</v>
      </c>
      <c r="C21" s="8" t="s">
        <v>29</v>
      </c>
      <c r="D21" s="9" t="s">
        <v>85</v>
      </c>
      <c r="E21" s="9" t="s">
        <v>23</v>
      </c>
      <c r="F21" s="8" t="s">
        <v>29</v>
      </c>
      <c r="G21" s="8" t="s">
        <v>112</v>
      </c>
      <c r="H21" s="9" t="s">
        <v>113</v>
      </c>
      <c r="I21" s="35">
        <v>44244</v>
      </c>
      <c r="J21" s="11">
        <v>3</v>
      </c>
      <c r="K21" s="12">
        <v>38</v>
      </c>
      <c r="L21" s="12">
        <v>38</v>
      </c>
      <c r="M21" s="14">
        <f>((L21*40800)+(L21*40800)*10%)+8250+((0*150))</f>
        <v>1713690</v>
      </c>
      <c r="N21" s="14">
        <f t="shared" ref="N21:N32" si="4">L21*1210</f>
        <v>45980</v>
      </c>
      <c r="O21" s="14">
        <f>(L21*1850.2)+3000</f>
        <v>73307.600000000006</v>
      </c>
      <c r="P21" s="14">
        <f t="shared" si="3"/>
        <v>41800</v>
      </c>
      <c r="Q21" s="14">
        <f t="shared" si="2"/>
        <v>1874777.6</v>
      </c>
      <c r="R21" s="21">
        <v>17933209</v>
      </c>
      <c r="S21" s="32" t="s">
        <v>402</v>
      </c>
      <c r="T21" s="30" t="s">
        <v>27</v>
      </c>
    </row>
    <row r="22" spans="1:20" x14ac:dyDescent="0.25">
      <c r="A22" s="6">
        <v>21</v>
      </c>
      <c r="B22" s="52" t="s">
        <v>176</v>
      </c>
      <c r="C22" s="8" t="s">
        <v>29</v>
      </c>
      <c r="D22" s="9" t="s">
        <v>85</v>
      </c>
      <c r="E22" s="9" t="s">
        <v>23</v>
      </c>
      <c r="F22" s="8" t="s">
        <v>29</v>
      </c>
      <c r="G22" s="8" t="s">
        <v>112</v>
      </c>
      <c r="H22" s="9" t="s">
        <v>177</v>
      </c>
      <c r="I22" s="35">
        <v>44244</v>
      </c>
      <c r="J22" s="11">
        <v>10</v>
      </c>
      <c r="K22" s="12">
        <v>193</v>
      </c>
      <c r="L22" s="12">
        <v>193</v>
      </c>
      <c r="M22" s="14">
        <f>((L22*40800)+(L22*40800)*10%)+8250+((0*150))</f>
        <v>8670090</v>
      </c>
      <c r="N22" s="14">
        <f t="shared" si="4"/>
        <v>233530</v>
      </c>
      <c r="O22" s="14">
        <f>(L22*1850.2)+3000</f>
        <v>360088.60000000003</v>
      </c>
      <c r="P22" s="14">
        <f t="shared" si="3"/>
        <v>212300</v>
      </c>
      <c r="Q22" s="14">
        <f t="shared" ref="Q22:Q32" si="5">SUM(M22:P22)</f>
        <v>9476008.5999999996</v>
      </c>
      <c r="R22" s="21">
        <v>17933209</v>
      </c>
      <c r="S22" s="32" t="s">
        <v>402</v>
      </c>
      <c r="T22" s="30" t="s">
        <v>27</v>
      </c>
    </row>
    <row r="23" spans="1:20" x14ac:dyDescent="0.25">
      <c r="A23" s="6">
        <v>22</v>
      </c>
      <c r="B23" s="7" t="s">
        <v>178</v>
      </c>
      <c r="C23" s="8" t="s">
        <v>29</v>
      </c>
      <c r="D23" s="9" t="s">
        <v>30</v>
      </c>
      <c r="E23" s="9" t="s">
        <v>23</v>
      </c>
      <c r="F23" s="8" t="s">
        <v>29</v>
      </c>
      <c r="G23" s="8" t="s">
        <v>35</v>
      </c>
      <c r="H23" s="9" t="s">
        <v>157</v>
      </c>
      <c r="I23" s="35">
        <v>44245</v>
      </c>
      <c r="J23" s="11">
        <v>1</v>
      </c>
      <c r="K23" s="12">
        <v>11</v>
      </c>
      <c r="L23" s="12">
        <v>11</v>
      </c>
      <c r="M23" s="14">
        <f>((L23*9200)+(L23*9200)*10%)+8250+((0*150))</f>
        <v>119570</v>
      </c>
      <c r="N23" s="14">
        <f t="shared" si="4"/>
        <v>13310</v>
      </c>
      <c r="O23" s="14">
        <f>(L23*1850.2)+3000</f>
        <v>23352.2</v>
      </c>
      <c r="P23" s="14">
        <f>L23*2100</f>
        <v>23100</v>
      </c>
      <c r="Q23" s="14">
        <f t="shared" si="5"/>
        <v>179332.2</v>
      </c>
      <c r="R23" s="21">
        <v>9660500</v>
      </c>
      <c r="S23" s="30" t="s">
        <v>403</v>
      </c>
      <c r="T23" s="30" t="s">
        <v>94</v>
      </c>
    </row>
    <row r="24" spans="1:20" x14ac:dyDescent="0.25">
      <c r="A24" s="6">
        <v>23</v>
      </c>
      <c r="B24" s="7" t="s">
        <v>179</v>
      </c>
      <c r="C24" s="8" t="s">
        <v>29</v>
      </c>
      <c r="D24" s="9" t="s">
        <v>180</v>
      </c>
      <c r="E24" s="9" t="s">
        <v>23</v>
      </c>
      <c r="F24" s="8" t="s">
        <v>29</v>
      </c>
      <c r="G24" s="8" t="s">
        <v>64</v>
      </c>
      <c r="H24" s="9" t="s">
        <v>181</v>
      </c>
      <c r="I24" s="35">
        <v>44245</v>
      </c>
      <c r="J24" s="11">
        <v>1</v>
      </c>
      <c r="K24" s="12">
        <v>1</v>
      </c>
      <c r="L24" s="12">
        <v>10</v>
      </c>
      <c r="M24" s="14">
        <f>((L24*14400)+(L24*14400)*10%)+8250+((0*150))</f>
        <v>166650</v>
      </c>
      <c r="N24" s="14">
        <f t="shared" si="4"/>
        <v>12100</v>
      </c>
      <c r="O24" s="14">
        <f t="shared" ref="O24:O29" si="6">(L24*1850)+3000</f>
        <v>21500</v>
      </c>
      <c r="P24" s="14">
        <f>L24*1100</f>
        <v>11000</v>
      </c>
      <c r="Q24" s="14">
        <f t="shared" si="5"/>
        <v>211250</v>
      </c>
      <c r="R24" s="21">
        <v>211252</v>
      </c>
      <c r="S24" s="32" t="s">
        <v>361</v>
      </c>
      <c r="T24" s="30" t="s">
        <v>27</v>
      </c>
    </row>
    <row r="25" spans="1:20" x14ac:dyDescent="0.25">
      <c r="A25" s="6">
        <v>24</v>
      </c>
      <c r="B25" s="52" t="s">
        <v>182</v>
      </c>
      <c r="C25" s="8" t="s">
        <v>29</v>
      </c>
      <c r="D25" s="9" t="s">
        <v>85</v>
      </c>
      <c r="E25" s="9" t="s">
        <v>23</v>
      </c>
      <c r="F25" s="8" t="s">
        <v>29</v>
      </c>
      <c r="G25" s="8" t="s">
        <v>64</v>
      </c>
      <c r="H25" s="9" t="s">
        <v>138</v>
      </c>
      <c r="I25" s="35">
        <v>44246</v>
      </c>
      <c r="J25" s="11">
        <v>3</v>
      </c>
      <c r="K25" s="12">
        <v>88</v>
      </c>
      <c r="L25" s="12">
        <v>88</v>
      </c>
      <c r="M25" s="14">
        <f>((L25*22000)+((L25*22000)*10%))+((0*150))+8250</f>
        <v>2137850</v>
      </c>
      <c r="N25" s="14">
        <f t="shared" si="4"/>
        <v>106480</v>
      </c>
      <c r="O25" s="14">
        <f>(L25*1850.2)+3000</f>
        <v>165817.60000000001</v>
      </c>
      <c r="P25" s="14">
        <f t="shared" ref="P25:P32" si="7">L25*1100</f>
        <v>96800</v>
      </c>
      <c r="Q25" s="14">
        <f t="shared" si="5"/>
        <v>2506947.6</v>
      </c>
      <c r="R25" s="21">
        <v>17933209</v>
      </c>
      <c r="S25" s="32" t="s">
        <v>402</v>
      </c>
      <c r="T25" s="30" t="s">
        <v>27</v>
      </c>
    </row>
    <row r="26" spans="1:20" x14ac:dyDescent="0.25">
      <c r="A26" s="6">
        <v>25</v>
      </c>
      <c r="B26" s="7" t="s">
        <v>183</v>
      </c>
      <c r="C26" s="8" t="s">
        <v>29</v>
      </c>
      <c r="D26" s="9" t="s">
        <v>100</v>
      </c>
      <c r="E26" s="9" t="s">
        <v>23</v>
      </c>
      <c r="F26" s="8" t="s">
        <v>29</v>
      </c>
      <c r="G26" s="8" t="s">
        <v>184</v>
      </c>
      <c r="H26" s="9" t="s">
        <v>185</v>
      </c>
      <c r="I26" s="35">
        <v>44246</v>
      </c>
      <c r="J26" s="11">
        <v>6</v>
      </c>
      <c r="K26" s="12">
        <v>233</v>
      </c>
      <c r="L26" s="12">
        <v>233</v>
      </c>
      <c r="M26" s="14">
        <f>((L26*13500)+(L26*13500)*10%)+8250+((0*150))</f>
        <v>3468300</v>
      </c>
      <c r="N26" s="14">
        <f t="shared" si="4"/>
        <v>281930</v>
      </c>
      <c r="O26" s="14">
        <f t="shared" si="6"/>
        <v>434050</v>
      </c>
      <c r="P26" s="14">
        <f t="shared" si="7"/>
        <v>256300</v>
      </c>
      <c r="Q26" s="14">
        <f t="shared" si="5"/>
        <v>4440580</v>
      </c>
      <c r="R26" s="54">
        <v>204544493</v>
      </c>
      <c r="S26" s="32" t="s">
        <v>309</v>
      </c>
      <c r="T26" s="30" t="s">
        <v>27</v>
      </c>
    </row>
    <row r="27" spans="1:20" x14ac:dyDescent="0.25">
      <c r="A27" s="6">
        <v>26</v>
      </c>
      <c r="B27" s="7" t="s">
        <v>186</v>
      </c>
      <c r="C27" s="8" t="s">
        <v>21</v>
      </c>
      <c r="D27" s="9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35">
        <v>44246</v>
      </c>
      <c r="J27" s="11">
        <v>2</v>
      </c>
      <c r="K27" s="12">
        <v>11</v>
      </c>
      <c r="L27" s="12">
        <v>11</v>
      </c>
      <c r="M27" s="14">
        <f>((L27*30600)+(L27*30600)*10%)+8250+((0*150))</f>
        <v>378510</v>
      </c>
      <c r="N27" s="14">
        <f>L27*869</f>
        <v>9559</v>
      </c>
      <c r="O27" s="14">
        <f>(L27*1153)+20000</f>
        <v>32683</v>
      </c>
      <c r="P27" s="14">
        <f t="shared" si="7"/>
        <v>12100</v>
      </c>
      <c r="Q27" s="14">
        <f t="shared" si="5"/>
        <v>432852</v>
      </c>
      <c r="R27" s="21">
        <v>432580</v>
      </c>
      <c r="S27" s="32" t="s">
        <v>304</v>
      </c>
      <c r="T27" s="30" t="s">
        <v>126</v>
      </c>
    </row>
    <row r="28" spans="1:20" x14ac:dyDescent="0.25">
      <c r="A28" s="6">
        <v>27</v>
      </c>
      <c r="B28" s="7" t="s">
        <v>187</v>
      </c>
      <c r="C28" s="8" t="s">
        <v>21</v>
      </c>
      <c r="D28" s="9" t="s">
        <v>188</v>
      </c>
      <c r="E28" s="9" t="s">
        <v>23</v>
      </c>
      <c r="F28" s="8" t="s">
        <v>21</v>
      </c>
      <c r="G28" s="8" t="s">
        <v>171</v>
      </c>
      <c r="H28" s="9" t="s">
        <v>189</v>
      </c>
      <c r="I28" s="35">
        <v>44246</v>
      </c>
      <c r="J28" s="11">
        <v>1</v>
      </c>
      <c r="K28" s="12">
        <v>10</v>
      </c>
      <c r="L28" s="12">
        <v>10</v>
      </c>
      <c r="M28" s="14">
        <f>((L28*6500)+(L28*6500)*10%)+8250+((0*150))</f>
        <v>79750</v>
      </c>
      <c r="N28" s="14">
        <f>L28*869</f>
        <v>8690</v>
      </c>
      <c r="O28" s="14">
        <f>(L28*1153.2)+20000</f>
        <v>31532</v>
      </c>
      <c r="P28" s="14">
        <f t="shared" si="7"/>
        <v>11000</v>
      </c>
      <c r="Q28" s="14">
        <f t="shared" si="5"/>
        <v>130972</v>
      </c>
      <c r="R28" s="21">
        <v>130972</v>
      </c>
      <c r="S28" s="32" t="s">
        <v>361</v>
      </c>
      <c r="T28" s="30" t="s">
        <v>27</v>
      </c>
    </row>
    <row r="29" spans="1:20" x14ac:dyDescent="0.25">
      <c r="A29" s="6">
        <v>28</v>
      </c>
      <c r="B29" s="7" t="s">
        <v>190</v>
      </c>
      <c r="C29" s="8" t="s">
        <v>29</v>
      </c>
      <c r="D29" s="9" t="s">
        <v>100</v>
      </c>
      <c r="E29" s="9" t="s">
        <v>23</v>
      </c>
      <c r="F29" s="8" t="s">
        <v>29</v>
      </c>
      <c r="G29" s="8" t="s">
        <v>76</v>
      </c>
      <c r="H29" s="9" t="s">
        <v>77</v>
      </c>
      <c r="I29" s="35">
        <v>44247</v>
      </c>
      <c r="J29" s="11">
        <v>10</v>
      </c>
      <c r="K29" s="12">
        <v>180</v>
      </c>
      <c r="L29" s="12">
        <v>216</v>
      </c>
      <c r="M29" s="14">
        <f>((L29*18000)+(L29*18000)*10%)+8250+((L29*150))</f>
        <v>4317450</v>
      </c>
      <c r="N29" s="14">
        <f t="shared" si="4"/>
        <v>261360</v>
      </c>
      <c r="O29" s="14">
        <f t="shared" si="6"/>
        <v>402600</v>
      </c>
      <c r="P29" s="14">
        <f t="shared" si="7"/>
        <v>237600</v>
      </c>
      <c r="Q29" s="14">
        <f t="shared" si="5"/>
        <v>5219010</v>
      </c>
      <c r="R29" s="54">
        <v>204544493</v>
      </c>
      <c r="S29" s="32" t="s">
        <v>309</v>
      </c>
      <c r="T29" s="30" t="s">
        <v>27</v>
      </c>
    </row>
    <row r="30" spans="1:20" x14ac:dyDescent="0.25">
      <c r="A30" s="6">
        <v>29</v>
      </c>
      <c r="B30" s="51" t="s">
        <v>191</v>
      </c>
      <c r="C30" s="26" t="s">
        <v>29</v>
      </c>
      <c r="D30" s="30" t="s">
        <v>85</v>
      </c>
      <c r="E30" s="30" t="s">
        <v>23</v>
      </c>
      <c r="F30" s="26" t="s">
        <v>29</v>
      </c>
      <c r="G30" s="26" t="s">
        <v>72</v>
      </c>
      <c r="H30" s="30" t="s">
        <v>192</v>
      </c>
      <c r="I30" s="35">
        <v>44247</v>
      </c>
      <c r="J30" s="30">
        <v>6</v>
      </c>
      <c r="K30" s="30">
        <v>86</v>
      </c>
      <c r="L30" s="30">
        <v>95</v>
      </c>
      <c r="M30" s="14">
        <f>((L30*16500)+(L30*16500)*10%)+8250+((0*150))</f>
        <v>1732500</v>
      </c>
      <c r="N30" s="14">
        <f t="shared" si="4"/>
        <v>114950</v>
      </c>
      <c r="O30" s="14">
        <f>(L30*1850.2)+3000</f>
        <v>178769</v>
      </c>
      <c r="P30" s="14">
        <f t="shared" si="7"/>
        <v>104500</v>
      </c>
      <c r="Q30" s="14">
        <f t="shared" si="5"/>
        <v>2130719</v>
      </c>
      <c r="R30" s="21">
        <v>17933209</v>
      </c>
      <c r="S30" s="32" t="s">
        <v>402</v>
      </c>
      <c r="T30" s="30" t="s">
        <v>27</v>
      </c>
    </row>
    <row r="31" spans="1:20" x14ac:dyDescent="0.25">
      <c r="A31" s="6">
        <v>30</v>
      </c>
      <c r="B31" s="51" t="s">
        <v>193</v>
      </c>
      <c r="C31" s="26" t="s">
        <v>29</v>
      </c>
      <c r="D31" s="30" t="s">
        <v>85</v>
      </c>
      <c r="E31" s="30" t="s">
        <v>23</v>
      </c>
      <c r="F31" s="26" t="s">
        <v>29</v>
      </c>
      <c r="G31" s="26" t="s">
        <v>24</v>
      </c>
      <c r="H31" s="30" t="s">
        <v>58</v>
      </c>
      <c r="I31" s="35">
        <v>44247</v>
      </c>
      <c r="J31" s="30">
        <v>2</v>
      </c>
      <c r="K31" s="30">
        <v>33</v>
      </c>
      <c r="L31" s="30">
        <v>33</v>
      </c>
      <c r="M31" s="14">
        <f>((L31*22000)+(L31*22000)*10%)+8250+((L31*150))</f>
        <v>811800</v>
      </c>
      <c r="N31" s="14">
        <f t="shared" si="4"/>
        <v>39930</v>
      </c>
      <c r="O31" s="14">
        <f>(L31*1850.2)+3000</f>
        <v>64056.6</v>
      </c>
      <c r="P31" s="14">
        <f t="shared" si="7"/>
        <v>36300</v>
      </c>
      <c r="Q31" s="14">
        <f t="shared" si="5"/>
        <v>952086.6</v>
      </c>
      <c r="R31" s="21">
        <v>17933209</v>
      </c>
      <c r="S31" s="32" t="s">
        <v>402</v>
      </c>
      <c r="T31" s="30" t="s">
        <v>27</v>
      </c>
    </row>
    <row r="32" spans="1:20" x14ac:dyDescent="0.25">
      <c r="A32" s="6">
        <v>31</v>
      </c>
      <c r="B32" s="51" t="s">
        <v>194</v>
      </c>
      <c r="C32" s="26" t="s">
        <v>29</v>
      </c>
      <c r="D32" s="30" t="s">
        <v>85</v>
      </c>
      <c r="E32" s="30" t="s">
        <v>23</v>
      </c>
      <c r="F32" s="26" t="s">
        <v>29</v>
      </c>
      <c r="G32" s="26" t="s">
        <v>72</v>
      </c>
      <c r="H32" s="30" t="s">
        <v>73</v>
      </c>
      <c r="I32" s="35">
        <v>44247</v>
      </c>
      <c r="J32" s="30">
        <v>1</v>
      </c>
      <c r="K32" s="30">
        <v>12</v>
      </c>
      <c r="L32" s="30">
        <v>12</v>
      </c>
      <c r="M32" s="14">
        <f>((L32*16500)+(L32*16500)*10%)+8250+((0*150))</f>
        <v>226050</v>
      </c>
      <c r="N32" s="14">
        <f t="shared" si="4"/>
        <v>14520</v>
      </c>
      <c r="O32" s="14">
        <f>(L32*1850.2)+3000</f>
        <v>25202.400000000001</v>
      </c>
      <c r="P32" s="14">
        <f t="shared" si="7"/>
        <v>13200</v>
      </c>
      <c r="Q32" s="14">
        <f t="shared" si="5"/>
        <v>278972.40000000002</v>
      </c>
      <c r="R32" s="21">
        <v>17933209</v>
      </c>
      <c r="S32" s="32" t="s">
        <v>402</v>
      </c>
      <c r="T32" s="30" t="s">
        <v>27</v>
      </c>
    </row>
    <row r="33" spans="1:20" x14ac:dyDescent="0.25">
      <c r="A33" s="6">
        <v>32</v>
      </c>
      <c r="B33" s="30" t="s">
        <v>195</v>
      </c>
      <c r="C33" s="26" t="s">
        <v>21</v>
      </c>
      <c r="D33" s="30" t="s">
        <v>196</v>
      </c>
      <c r="E33" s="30" t="s">
        <v>23</v>
      </c>
      <c r="F33" s="26" t="s">
        <v>21</v>
      </c>
      <c r="G33" s="26" t="s">
        <v>79</v>
      </c>
      <c r="H33" s="30" t="s">
        <v>197</v>
      </c>
      <c r="I33" s="35">
        <v>44249</v>
      </c>
      <c r="J33" s="30">
        <v>3</v>
      </c>
      <c r="K33" s="30">
        <v>94</v>
      </c>
      <c r="L33" s="30">
        <v>94</v>
      </c>
      <c r="M33" s="14">
        <f>((L33*15878))+8250+((0*150))</f>
        <v>1500782</v>
      </c>
      <c r="N33" s="14">
        <f>L33*869</f>
        <v>81686</v>
      </c>
      <c r="O33" s="14">
        <f>(L33*1153.2)+20000</f>
        <v>128400.8</v>
      </c>
      <c r="P33" s="14">
        <f>L33*1100</f>
        <v>103400</v>
      </c>
      <c r="Q33" s="14">
        <f t="shared" ref="Q33:Q40" si="8">SUM(M33:P33)</f>
        <v>1814268.8</v>
      </c>
      <c r="R33" s="21">
        <v>1814269</v>
      </c>
      <c r="S33" s="32" t="s">
        <v>305</v>
      </c>
      <c r="T33" s="30" t="s">
        <v>126</v>
      </c>
    </row>
    <row r="34" spans="1:20" x14ac:dyDescent="0.25">
      <c r="A34" s="6">
        <v>33</v>
      </c>
      <c r="B34" s="30" t="s">
        <v>198</v>
      </c>
      <c r="C34" s="26" t="s">
        <v>21</v>
      </c>
      <c r="D34" s="30" t="s">
        <v>199</v>
      </c>
      <c r="E34" s="30" t="s">
        <v>23</v>
      </c>
      <c r="F34" s="26" t="s">
        <v>21</v>
      </c>
      <c r="G34" s="26" t="s">
        <v>79</v>
      </c>
      <c r="H34" s="30" t="s">
        <v>200</v>
      </c>
      <c r="I34" s="35">
        <v>44250</v>
      </c>
      <c r="J34" s="30">
        <v>1</v>
      </c>
      <c r="K34" s="30">
        <v>18</v>
      </c>
      <c r="L34" s="30">
        <v>18</v>
      </c>
      <c r="M34" s="14">
        <f>((L34*12500)+(L34*12500)*10%)+8250+((0*150))</f>
        <v>255750</v>
      </c>
      <c r="N34" s="14">
        <f>L34*869</f>
        <v>15642</v>
      </c>
      <c r="O34" s="14">
        <f>(L34*1153)+20000</f>
        <v>40754</v>
      </c>
      <c r="P34" s="14">
        <f t="shared" ref="P34:P39" si="9">L34*1100</f>
        <v>19800</v>
      </c>
      <c r="Q34" s="14">
        <f t="shared" si="8"/>
        <v>331946</v>
      </c>
      <c r="R34" s="31">
        <v>331946</v>
      </c>
      <c r="S34" s="32" t="s">
        <v>201</v>
      </c>
      <c r="T34" s="30" t="s">
        <v>126</v>
      </c>
    </row>
    <row r="35" spans="1:20" x14ac:dyDescent="0.25">
      <c r="A35" s="6">
        <v>34</v>
      </c>
      <c r="B35" s="51" t="s">
        <v>202</v>
      </c>
      <c r="C35" s="26" t="s">
        <v>29</v>
      </c>
      <c r="D35" s="30" t="s">
        <v>85</v>
      </c>
      <c r="E35" s="30" t="s">
        <v>23</v>
      </c>
      <c r="F35" s="26" t="s">
        <v>29</v>
      </c>
      <c r="G35" s="26" t="s">
        <v>203</v>
      </c>
      <c r="H35" s="30" t="s">
        <v>204</v>
      </c>
      <c r="I35" s="35">
        <v>44250</v>
      </c>
      <c r="J35" s="30">
        <v>3</v>
      </c>
      <c r="K35" s="30">
        <v>40</v>
      </c>
      <c r="L35" s="30">
        <v>40</v>
      </c>
      <c r="M35" s="14">
        <f>((L35*25100)+(L35*25100)*10%)+8250+((0*150))</f>
        <v>1112650</v>
      </c>
      <c r="N35" s="14">
        <f>L35*1210</f>
        <v>48400</v>
      </c>
      <c r="O35" s="14">
        <f>(L35*1850.2)+3000</f>
        <v>77008</v>
      </c>
      <c r="P35" s="14">
        <f t="shared" si="9"/>
        <v>44000</v>
      </c>
      <c r="Q35" s="14">
        <f t="shared" si="8"/>
        <v>1282058</v>
      </c>
      <c r="R35" s="21">
        <v>10118115</v>
      </c>
      <c r="S35" s="32" t="s">
        <v>303</v>
      </c>
      <c r="T35" s="30" t="s">
        <v>126</v>
      </c>
    </row>
    <row r="36" spans="1:20" x14ac:dyDescent="0.25">
      <c r="A36" s="6">
        <v>35</v>
      </c>
      <c r="B36" s="51" t="s">
        <v>205</v>
      </c>
      <c r="C36" s="26" t="s">
        <v>29</v>
      </c>
      <c r="D36" s="30" t="s">
        <v>85</v>
      </c>
      <c r="E36" s="30" t="s">
        <v>23</v>
      </c>
      <c r="F36" s="26" t="s">
        <v>29</v>
      </c>
      <c r="G36" s="26" t="s">
        <v>24</v>
      </c>
      <c r="H36" s="30" t="s">
        <v>206</v>
      </c>
      <c r="I36" s="35">
        <v>44250</v>
      </c>
      <c r="J36" s="30">
        <v>1</v>
      </c>
      <c r="K36" s="30">
        <v>18</v>
      </c>
      <c r="L36" s="30">
        <v>18</v>
      </c>
      <c r="M36" s="14">
        <f>((L36*22000)+(L36*22000)*10%)+8250+((L36*150))</f>
        <v>446550</v>
      </c>
      <c r="N36" s="14">
        <f>L36*1210</f>
        <v>21780</v>
      </c>
      <c r="O36" s="14">
        <f>(L36*1850.2)+3000</f>
        <v>36303.599999999999</v>
      </c>
      <c r="P36" s="14">
        <f t="shared" si="9"/>
        <v>19800</v>
      </c>
      <c r="Q36" s="14">
        <f t="shared" si="8"/>
        <v>524433.6</v>
      </c>
      <c r="R36" s="21">
        <v>10118115</v>
      </c>
      <c r="S36" s="32" t="s">
        <v>303</v>
      </c>
      <c r="T36" s="30" t="s">
        <v>126</v>
      </c>
    </row>
    <row r="37" spans="1:20" x14ac:dyDescent="0.25">
      <c r="A37" s="6">
        <v>36</v>
      </c>
      <c r="B37" s="51" t="s">
        <v>207</v>
      </c>
      <c r="C37" s="26" t="s">
        <v>29</v>
      </c>
      <c r="D37" s="30" t="s">
        <v>85</v>
      </c>
      <c r="E37" s="30" t="s">
        <v>23</v>
      </c>
      <c r="F37" s="26" t="s">
        <v>29</v>
      </c>
      <c r="G37" s="26" t="s">
        <v>79</v>
      </c>
      <c r="H37" s="30" t="s">
        <v>208</v>
      </c>
      <c r="I37" s="35">
        <v>44250</v>
      </c>
      <c r="J37" s="30">
        <v>2</v>
      </c>
      <c r="K37" s="30">
        <v>54</v>
      </c>
      <c r="L37" s="30">
        <v>54</v>
      </c>
      <c r="M37" s="14">
        <f>((L37*15000)+(L37*15000)*10%)+8250+((0*150))</f>
        <v>899250</v>
      </c>
      <c r="N37" s="14">
        <f>L37*1210</f>
        <v>65340</v>
      </c>
      <c r="O37" s="14">
        <f>(L37*1850.2)+3000</f>
        <v>102910.8</v>
      </c>
      <c r="P37" s="14">
        <f t="shared" si="9"/>
        <v>59400</v>
      </c>
      <c r="Q37" s="14">
        <f t="shared" si="8"/>
        <v>1126900.8</v>
      </c>
      <c r="R37" s="21">
        <v>10118115</v>
      </c>
      <c r="S37" s="32" t="s">
        <v>303</v>
      </c>
      <c r="T37" s="30" t="s">
        <v>126</v>
      </c>
    </row>
    <row r="38" spans="1:20" x14ac:dyDescent="0.25">
      <c r="A38" s="6">
        <v>37</v>
      </c>
      <c r="B38" s="30" t="s">
        <v>209</v>
      </c>
      <c r="C38" s="26" t="s">
        <v>29</v>
      </c>
      <c r="D38" s="30" t="s">
        <v>30</v>
      </c>
      <c r="E38" s="30" t="s">
        <v>23</v>
      </c>
      <c r="F38" s="26" t="s">
        <v>29</v>
      </c>
      <c r="G38" s="26" t="s">
        <v>210</v>
      </c>
      <c r="H38" s="30" t="s">
        <v>211</v>
      </c>
      <c r="I38" s="35">
        <v>44250</v>
      </c>
      <c r="J38" s="30">
        <v>1</v>
      </c>
      <c r="K38" s="30">
        <v>6</v>
      </c>
      <c r="L38" s="30">
        <v>10</v>
      </c>
      <c r="M38" s="14">
        <f>((L38*8000)+(L38*8000)*10%)+8250+((0*150))</f>
        <v>96250</v>
      </c>
      <c r="N38" s="14">
        <f>L38*1210</f>
        <v>12100</v>
      </c>
      <c r="O38" s="14">
        <f>(L38*1850.2)+3000</f>
        <v>21502</v>
      </c>
      <c r="P38" s="14">
        <f>L38*2100</f>
        <v>21000</v>
      </c>
      <c r="Q38" s="14">
        <f t="shared" si="8"/>
        <v>150852</v>
      </c>
      <c r="R38" s="21">
        <v>9660500</v>
      </c>
      <c r="S38" s="30" t="s">
        <v>403</v>
      </c>
      <c r="T38" s="30" t="s">
        <v>94</v>
      </c>
    </row>
    <row r="39" spans="1:20" x14ac:dyDescent="0.25">
      <c r="A39" s="6">
        <v>38</v>
      </c>
      <c r="B39" s="30" t="s">
        <v>212</v>
      </c>
      <c r="C39" s="26" t="s">
        <v>21</v>
      </c>
      <c r="D39" s="30" t="s">
        <v>213</v>
      </c>
      <c r="E39" s="30" t="s">
        <v>23</v>
      </c>
      <c r="F39" s="26" t="s">
        <v>21</v>
      </c>
      <c r="G39" s="26" t="s">
        <v>40</v>
      </c>
      <c r="H39" s="30" t="s">
        <v>214</v>
      </c>
      <c r="I39" s="35">
        <v>44250</v>
      </c>
      <c r="J39" s="30">
        <v>1</v>
      </c>
      <c r="K39" s="30">
        <v>10</v>
      </c>
      <c r="L39" s="30">
        <v>10</v>
      </c>
      <c r="M39" s="14">
        <f>((L39*5000)+(L39*5000)*10%)+8250+((L39*150))</f>
        <v>64750</v>
      </c>
      <c r="N39" s="14">
        <f>L39*869</f>
        <v>8690</v>
      </c>
      <c r="O39" s="14">
        <f>(L39*1153.2)+20000</f>
        <v>31532</v>
      </c>
      <c r="P39" s="14">
        <f t="shared" si="9"/>
        <v>11000</v>
      </c>
      <c r="Q39" s="14">
        <f t="shared" si="8"/>
        <v>115972</v>
      </c>
      <c r="R39" s="207">
        <v>622391</v>
      </c>
      <c r="S39" s="209" t="s">
        <v>215</v>
      </c>
      <c r="T39" s="211" t="s">
        <v>126</v>
      </c>
    </row>
    <row r="40" spans="1:20" x14ac:dyDescent="0.25">
      <c r="A40" s="6">
        <v>39</v>
      </c>
      <c r="B40" s="30" t="s">
        <v>216</v>
      </c>
      <c r="C40" s="26" t="s">
        <v>21</v>
      </c>
      <c r="D40" s="30" t="s">
        <v>217</v>
      </c>
      <c r="E40" s="30" t="s">
        <v>23</v>
      </c>
      <c r="F40" s="26" t="s">
        <v>21</v>
      </c>
      <c r="G40" s="26" t="s">
        <v>50</v>
      </c>
      <c r="H40" s="30" t="s">
        <v>25</v>
      </c>
      <c r="I40" s="35">
        <v>44251</v>
      </c>
      <c r="J40" s="30">
        <v>1</v>
      </c>
      <c r="K40" s="30">
        <v>13</v>
      </c>
      <c r="L40" s="30">
        <v>13</v>
      </c>
      <c r="M40" s="14">
        <f>((L40*30600)+(L40*30600)*10%)+8250+((0*150))</f>
        <v>445830</v>
      </c>
      <c r="N40" s="14">
        <f>L40*869</f>
        <v>11297</v>
      </c>
      <c r="O40" s="14">
        <f>(L40*1153.2)+20000</f>
        <v>34991.599999999999</v>
      </c>
      <c r="P40" s="14">
        <f>L40*1100</f>
        <v>14300</v>
      </c>
      <c r="Q40" s="14">
        <f t="shared" si="8"/>
        <v>506418.6</v>
      </c>
      <c r="R40" s="208"/>
      <c r="S40" s="210"/>
      <c r="T40" s="212"/>
    </row>
    <row r="41" spans="1:20" x14ac:dyDescent="0.25">
      <c r="A41" s="6">
        <v>40</v>
      </c>
      <c r="B41" s="51" t="s">
        <v>218</v>
      </c>
      <c r="C41" s="26" t="s">
        <v>29</v>
      </c>
      <c r="D41" s="30" t="s">
        <v>85</v>
      </c>
      <c r="E41" s="30" t="s">
        <v>23</v>
      </c>
      <c r="F41" s="26" t="s">
        <v>29</v>
      </c>
      <c r="G41" s="26" t="s">
        <v>184</v>
      </c>
      <c r="H41" s="30" t="s">
        <v>219</v>
      </c>
      <c r="I41" s="35">
        <v>44251</v>
      </c>
      <c r="J41" s="30">
        <v>2</v>
      </c>
      <c r="K41" s="30">
        <v>24</v>
      </c>
      <c r="L41" s="30">
        <v>24</v>
      </c>
      <c r="M41" s="14">
        <f>((L41*13500)+(L41*13500)*10%)+8250+((0*150))</f>
        <v>364650</v>
      </c>
      <c r="N41" s="14">
        <f>L41*1210</f>
        <v>29040</v>
      </c>
      <c r="O41" s="14">
        <f>(L41*1850.2)+3000</f>
        <v>47404.800000000003</v>
      </c>
      <c r="P41" s="14">
        <f t="shared" ref="P41:P67" si="10">L41*1100</f>
        <v>26400</v>
      </c>
      <c r="Q41" s="14">
        <f t="shared" ref="Q41:Q68" si="11">SUM(M41:P41)</f>
        <v>467494.8</v>
      </c>
      <c r="R41" s="21">
        <v>10118115</v>
      </c>
      <c r="S41" s="32" t="s">
        <v>303</v>
      </c>
      <c r="T41" s="30" t="s">
        <v>126</v>
      </c>
    </row>
    <row r="42" spans="1:20" x14ac:dyDescent="0.25">
      <c r="A42" s="6">
        <v>41</v>
      </c>
      <c r="B42" s="30" t="s">
        <v>220</v>
      </c>
      <c r="C42" s="26" t="s">
        <v>29</v>
      </c>
      <c r="D42" s="30" t="s">
        <v>221</v>
      </c>
      <c r="E42" s="30" t="s">
        <v>23</v>
      </c>
      <c r="F42" s="26" t="s">
        <v>29</v>
      </c>
      <c r="G42" s="26" t="s">
        <v>79</v>
      </c>
      <c r="H42" s="30" t="s">
        <v>222</v>
      </c>
      <c r="I42" s="35">
        <v>44251</v>
      </c>
      <c r="J42" s="30">
        <v>7</v>
      </c>
      <c r="K42" s="30">
        <v>201</v>
      </c>
      <c r="L42" s="30">
        <v>229</v>
      </c>
      <c r="M42" s="14">
        <f>((L42*15000)+(L42*15000)*10%)+8250+((0*150))</f>
        <v>3786750</v>
      </c>
      <c r="N42" s="14">
        <f>L42*1210</f>
        <v>277090</v>
      </c>
      <c r="O42" s="14">
        <f>(L42*1850.2)+3000</f>
        <v>426695.8</v>
      </c>
      <c r="P42" s="14">
        <f t="shared" si="10"/>
        <v>251900</v>
      </c>
      <c r="Q42" s="14">
        <f t="shared" si="11"/>
        <v>4742435.8</v>
      </c>
      <c r="R42" s="21">
        <v>4742436</v>
      </c>
      <c r="S42" s="32" t="s">
        <v>415</v>
      </c>
      <c r="T42" s="30" t="s">
        <v>27</v>
      </c>
    </row>
    <row r="43" spans="1:20" x14ac:dyDescent="0.25">
      <c r="A43" s="6">
        <v>42</v>
      </c>
      <c r="B43" s="51" t="s">
        <v>223</v>
      </c>
      <c r="C43" s="26" t="s">
        <v>21</v>
      </c>
      <c r="D43" s="30" t="s">
        <v>85</v>
      </c>
      <c r="E43" s="30" t="s">
        <v>23</v>
      </c>
      <c r="F43" s="26" t="s">
        <v>21</v>
      </c>
      <c r="G43" s="26" t="s">
        <v>50</v>
      </c>
      <c r="H43" s="30" t="s">
        <v>25</v>
      </c>
      <c r="I43" s="35">
        <v>44251</v>
      </c>
      <c r="J43" s="30">
        <v>3</v>
      </c>
      <c r="K43" s="30">
        <v>34</v>
      </c>
      <c r="L43" s="30">
        <v>48</v>
      </c>
      <c r="M43" s="14">
        <f>((L43*30600)+(L43*30600)*10%)+8250+((0*150))</f>
        <v>1623930</v>
      </c>
      <c r="N43" s="14">
        <f>L43*869</f>
        <v>41712</v>
      </c>
      <c r="O43" s="14">
        <f>(L43*1153.2)+20000</f>
        <v>75353.600000000006</v>
      </c>
      <c r="P43" s="14">
        <f t="shared" si="10"/>
        <v>52800</v>
      </c>
      <c r="Q43" s="14">
        <f t="shared" si="11"/>
        <v>1793795.6</v>
      </c>
      <c r="R43" s="21">
        <v>10118115</v>
      </c>
      <c r="S43" s="32" t="s">
        <v>303</v>
      </c>
      <c r="T43" s="30" t="s">
        <v>126</v>
      </c>
    </row>
    <row r="44" spans="1:20" x14ac:dyDescent="0.25">
      <c r="A44" s="6">
        <v>43</v>
      </c>
      <c r="B44" s="30" t="s">
        <v>224</v>
      </c>
      <c r="C44" s="26" t="s">
        <v>21</v>
      </c>
      <c r="D44" s="22" t="s">
        <v>225</v>
      </c>
      <c r="E44" s="22" t="s">
        <v>23</v>
      </c>
      <c r="F44" s="8" t="s">
        <v>21</v>
      </c>
      <c r="G44" s="8" t="s">
        <v>79</v>
      </c>
      <c r="H44" s="22" t="s">
        <v>197</v>
      </c>
      <c r="I44" s="36">
        <v>44251</v>
      </c>
      <c r="J44" s="22">
        <v>1</v>
      </c>
      <c r="K44" s="22">
        <v>10</v>
      </c>
      <c r="L44" s="22">
        <v>10</v>
      </c>
      <c r="M44" s="14">
        <f>((L44*12500)+(L44*12500)*10%)+8250+((0*150))</f>
        <v>145750</v>
      </c>
      <c r="N44" s="14">
        <f>L44*869</f>
        <v>8690</v>
      </c>
      <c r="O44" s="14">
        <f>(L44*1153.2)+20000</f>
        <v>31532</v>
      </c>
      <c r="P44" s="14">
        <f t="shared" si="10"/>
        <v>11000</v>
      </c>
      <c r="Q44" s="14">
        <f t="shared" si="11"/>
        <v>196972</v>
      </c>
      <c r="R44" s="21">
        <v>196972</v>
      </c>
      <c r="S44" s="32" t="s">
        <v>226</v>
      </c>
      <c r="T44" s="30" t="s">
        <v>126</v>
      </c>
    </row>
    <row r="45" spans="1:20" x14ac:dyDescent="0.25">
      <c r="A45" s="6">
        <v>44</v>
      </c>
      <c r="B45" s="30" t="s">
        <v>227</v>
      </c>
      <c r="C45" s="26" t="s">
        <v>21</v>
      </c>
      <c r="D45" s="22" t="s">
        <v>228</v>
      </c>
      <c r="E45" s="22" t="s">
        <v>23</v>
      </c>
      <c r="F45" s="8" t="s">
        <v>21</v>
      </c>
      <c r="G45" s="8" t="s">
        <v>79</v>
      </c>
      <c r="H45" s="22" t="s">
        <v>197</v>
      </c>
      <c r="I45" s="36">
        <v>44251</v>
      </c>
      <c r="J45" s="22">
        <v>1</v>
      </c>
      <c r="K45" s="22">
        <v>10</v>
      </c>
      <c r="L45" s="22">
        <v>10</v>
      </c>
      <c r="M45" s="14">
        <f>((L45*12500)+(L45*12500)*10%)+8250+((0*150))</f>
        <v>145750</v>
      </c>
      <c r="N45" s="14">
        <f>L45*869</f>
        <v>8690</v>
      </c>
      <c r="O45" s="14">
        <f>(L45*1153.2)+20000</f>
        <v>31532</v>
      </c>
      <c r="P45" s="14">
        <f t="shared" si="10"/>
        <v>11000</v>
      </c>
      <c r="Q45" s="14">
        <f t="shared" si="11"/>
        <v>196972</v>
      </c>
      <c r="R45" s="31">
        <v>196972</v>
      </c>
      <c r="S45" s="32" t="s">
        <v>201</v>
      </c>
      <c r="T45" s="30" t="s">
        <v>126</v>
      </c>
    </row>
    <row r="46" spans="1:20" x14ac:dyDescent="0.25">
      <c r="A46" s="6">
        <v>45</v>
      </c>
      <c r="B46" s="37" t="s">
        <v>229</v>
      </c>
      <c r="C46" s="26" t="s">
        <v>29</v>
      </c>
      <c r="D46" s="30" t="s">
        <v>100</v>
      </c>
      <c r="E46" s="30" t="s">
        <v>49</v>
      </c>
      <c r="F46" s="26" t="s">
        <v>29</v>
      </c>
      <c r="G46" s="26" t="s">
        <v>104</v>
      </c>
      <c r="H46" s="30" t="s">
        <v>105</v>
      </c>
      <c r="I46" s="36">
        <v>44252</v>
      </c>
      <c r="J46" s="30">
        <v>1</v>
      </c>
      <c r="K46" s="30">
        <v>18</v>
      </c>
      <c r="L46" s="30">
        <v>18</v>
      </c>
      <c r="M46" s="14">
        <f>((L46*34000)+(L46*34000)*10%)+8250+((L46*150))</f>
        <v>684150</v>
      </c>
      <c r="N46" s="14">
        <f t="shared" ref="N46:N53" si="12">L46*1210</f>
        <v>21780</v>
      </c>
      <c r="O46" s="14">
        <f t="shared" ref="O46:O56" si="13">(L46*1850.2)+3000</f>
        <v>36303.599999999999</v>
      </c>
      <c r="P46" s="14">
        <f t="shared" si="10"/>
        <v>19800</v>
      </c>
      <c r="Q46" s="14">
        <f t="shared" si="11"/>
        <v>762033.6</v>
      </c>
      <c r="R46" s="54">
        <v>204544493</v>
      </c>
      <c r="S46" s="32" t="s">
        <v>309</v>
      </c>
      <c r="T46" s="30" t="s">
        <v>27</v>
      </c>
    </row>
    <row r="47" spans="1:20" x14ac:dyDescent="0.25">
      <c r="A47" s="6">
        <v>46</v>
      </c>
      <c r="B47" s="37" t="s">
        <v>230</v>
      </c>
      <c r="C47" s="26" t="s">
        <v>29</v>
      </c>
      <c r="D47" s="30" t="s">
        <v>100</v>
      </c>
      <c r="E47" s="30" t="s">
        <v>49</v>
      </c>
      <c r="F47" s="26" t="s">
        <v>29</v>
      </c>
      <c r="G47" s="26" t="s">
        <v>231</v>
      </c>
      <c r="H47" s="30" t="s">
        <v>80</v>
      </c>
      <c r="I47" s="36">
        <v>44252</v>
      </c>
      <c r="J47" s="30">
        <v>1</v>
      </c>
      <c r="K47" s="30">
        <v>18</v>
      </c>
      <c r="L47" s="30">
        <v>18</v>
      </c>
      <c r="M47" s="14">
        <f>((L47*23500)+(L47*23500)*10%)+8250+((0*150))</f>
        <v>473550</v>
      </c>
      <c r="N47" s="14">
        <f t="shared" si="12"/>
        <v>21780</v>
      </c>
      <c r="O47" s="14">
        <f t="shared" si="13"/>
        <v>36303.599999999999</v>
      </c>
      <c r="P47" s="14">
        <f t="shared" si="10"/>
        <v>19800</v>
      </c>
      <c r="Q47" s="14">
        <f t="shared" si="11"/>
        <v>551433.6</v>
      </c>
      <c r="R47" s="54">
        <v>204544493</v>
      </c>
      <c r="S47" s="32" t="s">
        <v>309</v>
      </c>
      <c r="T47" s="30" t="s">
        <v>27</v>
      </c>
    </row>
    <row r="48" spans="1:20" x14ac:dyDescent="0.25">
      <c r="A48" s="6">
        <v>47</v>
      </c>
      <c r="B48" s="37" t="s">
        <v>232</v>
      </c>
      <c r="C48" s="26" t="s">
        <v>29</v>
      </c>
      <c r="D48" s="30" t="s">
        <v>100</v>
      </c>
      <c r="E48" s="30" t="s">
        <v>49</v>
      </c>
      <c r="F48" s="26" t="s">
        <v>29</v>
      </c>
      <c r="G48" s="26" t="s">
        <v>115</v>
      </c>
      <c r="H48" s="30" t="s">
        <v>233</v>
      </c>
      <c r="I48" s="36">
        <v>44252</v>
      </c>
      <c r="J48" s="30">
        <v>1</v>
      </c>
      <c r="K48" s="30">
        <v>18</v>
      </c>
      <c r="L48" s="30">
        <v>18</v>
      </c>
      <c r="M48" s="14">
        <f>((L48*59000)+(L48*59000)*10%)+8250+((0*150))</f>
        <v>1176450</v>
      </c>
      <c r="N48" s="14">
        <f t="shared" si="12"/>
        <v>21780</v>
      </c>
      <c r="O48" s="14">
        <f t="shared" si="13"/>
        <v>36303.599999999999</v>
      </c>
      <c r="P48" s="14">
        <f t="shared" si="10"/>
        <v>19800</v>
      </c>
      <c r="Q48" s="14">
        <f t="shared" si="11"/>
        <v>1254333.6000000001</v>
      </c>
      <c r="R48" s="54">
        <v>204544493</v>
      </c>
      <c r="S48" s="32" t="s">
        <v>309</v>
      </c>
      <c r="T48" s="30" t="s">
        <v>27</v>
      </c>
    </row>
    <row r="49" spans="1:20" x14ac:dyDescent="0.25">
      <c r="A49" s="6">
        <v>48</v>
      </c>
      <c r="B49" s="37" t="s">
        <v>234</v>
      </c>
      <c r="C49" s="26" t="s">
        <v>29</v>
      </c>
      <c r="D49" s="30" t="s">
        <v>100</v>
      </c>
      <c r="E49" s="30" t="s">
        <v>49</v>
      </c>
      <c r="F49" s="26" t="s">
        <v>29</v>
      </c>
      <c r="G49" s="26" t="s">
        <v>235</v>
      </c>
      <c r="H49" s="30" t="s">
        <v>236</v>
      </c>
      <c r="I49" s="36">
        <v>44252</v>
      </c>
      <c r="J49" s="30">
        <v>1</v>
      </c>
      <c r="K49" s="30">
        <v>18</v>
      </c>
      <c r="L49" s="30">
        <v>18</v>
      </c>
      <c r="M49" s="14">
        <f>((L49*35000)+(L49*35000)*10%)+8250+((L49*150))</f>
        <v>703950</v>
      </c>
      <c r="N49" s="14">
        <f t="shared" si="12"/>
        <v>21780</v>
      </c>
      <c r="O49" s="14">
        <f t="shared" si="13"/>
        <v>36303.599999999999</v>
      </c>
      <c r="P49" s="14">
        <f t="shared" si="10"/>
        <v>19800</v>
      </c>
      <c r="Q49" s="14">
        <f t="shared" si="11"/>
        <v>781833.6</v>
      </c>
      <c r="R49" s="54">
        <v>204544493</v>
      </c>
      <c r="S49" s="32" t="s">
        <v>309</v>
      </c>
      <c r="T49" s="30" t="s">
        <v>27</v>
      </c>
    </row>
    <row r="50" spans="1:20" x14ac:dyDescent="0.25">
      <c r="A50" s="6">
        <v>49</v>
      </c>
      <c r="B50" s="37" t="s">
        <v>237</v>
      </c>
      <c r="C50" s="26" t="s">
        <v>29</v>
      </c>
      <c r="D50" s="30" t="s">
        <v>100</v>
      </c>
      <c r="E50" s="30" t="s">
        <v>49</v>
      </c>
      <c r="F50" s="26" t="s">
        <v>29</v>
      </c>
      <c r="G50" s="26" t="s">
        <v>45</v>
      </c>
      <c r="H50" s="30" t="s">
        <v>238</v>
      </c>
      <c r="I50" s="36">
        <v>44252</v>
      </c>
      <c r="J50" s="30">
        <v>1</v>
      </c>
      <c r="K50" s="30">
        <v>18</v>
      </c>
      <c r="L50" s="30">
        <v>18</v>
      </c>
      <c r="M50" s="14">
        <f>((L50*35000)+(L50*35000)*10%)+8250+((L50*150))</f>
        <v>703950</v>
      </c>
      <c r="N50" s="14">
        <f t="shared" si="12"/>
        <v>21780</v>
      </c>
      <c r="O50" s="14">
        <f t="shared" si="13"/>
        <v>36303.599999999999</v>
      </c>
      <c r="P50" s="14">
        <f t="shared" si="10"/>
        <v>19800</v>
      </c>
      <c r="Q50" s="14">
        <f t="shared" si="11"/>
        <v>781833.6</v>
      </c>
      <c r="R50" s="54">
        <v>204544493</v>
      </c>
      <c r="S50" s="32" t="s">
        <v>309</v>
      </c>
      <c r="T50" s="30" t="s">
        <v>27</v>
      </c>
    </row>
    <row r="51" spans="1:20" x14ac:dyDescent="0.25">
      <c r="A51" s="6">
        <v>50</v>
      </c>
      <c r="B51" s="37" t="s">
        <v>239</v>
      </c>
      <c r="C51" s="26" t="s">
        <v>29</v>
      </c>
      <c r="D51" s="30" t="s">
        <v>100</v>
      </c>
      <c r="E51" s="30" t="s">
        <v>49</v>
      </c>
      <c r="F51" s="26" t="s">
        <v>29</v>
      </c>
      <c r="G51" s="26" t="s">
        <v>79</v>
      </c>
      <c r="H51" s="30" t="s">
        <v>80</v>
      </c>
      <c r="I51" s="36">
        <v>44252</v>
      </c>
      <c r="J51" s="30">
        <v>1</v>
      </c>
      <c r="K51" s="30">
        <v>18</v>
      </c>
      <c r="L51" s="30">
        <v>18</v>
      </c>
      <c r="M51" s="14">
        <f>((L51*15000)+(L51*15000)*10%)+8250+((0*150))</f>
        <v>305250</v>
      </c>
      <c r="N51" s="14">
        <f t="shared" si="12"/>
        <v>21780</v>
      </c>
      <c r="O51" s="14">
        <f t="shared" si="13"/>
        <v>36303.599999999999</v>
      </c>
      <c r="P51" s="14">
        <f t="shared" si="10"/>
        <v>19800</v>
      </c>
      <c r="Q51" s="14">
        <f t="shared" si="11"/>
        <v>383133.6</v>
      </c>
      <c r="R51" s="54">
        <v>204544493</v>
      </c>
      <c r="S51" s="32" t="s">
        <v>309</v>
      </c>
      <c r="T51" s="30" t="s">
        <v>27</v>
      </c>
    </row>
    <row r="52" spans="1:20" x14ac:dyDescent="0.25">
      <c r="A52" s="6">
        <v>51</v>
      </c>
      <c r="B52" s="37" t="s">
        <v>240</v>
      </c>
      <c r="C52" s="26" t="s">
        <v>29</v>
      </c>
      <c r="D52" s="30" t="s">
        <v>100</v>
      </c>
      <c r="E52" s="30" t="s">
        <v>49</v>
      </c>
      <c r="F52" s="26" t="s">
        <v>29</v>
      </c>
      <c r="G52" s="26" t="s">
        <v>241</v>
      </c>
      <c r="H52" s="30" t="s">
        <v>242</v>
      </c>
      <c r="I52" s="36">
        <v>44252</v>
      </c>
      <c r="J52" s="30">
        <v>2</v>
      </c>
      <c r="K52" s="30">
        <v>36</v>
      </c>
      <c r="L52" s="30">
        <v>36</v>
      </c>
      <c r="M52" s="14">
        <f>((L52*27500)+(L52*27500)*10%)+8250+((L52*150))</f>
        <v>1102650</v>
      </c>
      <c r="N52" s="14">
        <f t="shared" si="12"/>
        <v>43560</v>
      </c>
      <c r="O52" s="14">
        <f t="shared" si="13"/>
        <v>69607.199999999997</v>
      </c>
      <c r="P52" s="14">
        <f t="shared" si="10"/>
        <v>39600</v>
      </c>
      <c r="Q52" s="14">
        <f t="shared" si="11"/>
        <v>1255417.2</v>
      </c>
      <c r="R52" s="54">
        <v>204544493</v>
      </c>
      <c r="S52" s="32" t="s">
        <v>309</v>
      </c>
      <c r="T52" s="30" t="s">
        <v>27</v>
      </c>
    </row>
    <row r="53" spans="1:20" x14ac:dyDescent="0.25">
      <c r="A53" s="6">
        <v>52</v>
      </c>
      <c r="B53" s="37" t="s">
        <v>243</v>
      </c>
      <c r="C53" s="26" t="s">
        <v>29</v>
      </c>
      <c r="D53" s="30" t="s">
        <v>100</v>
      </c>
      <c r="E53" s="30" t="s">
        <v>49</v>
      </c>
      <c r="F53" s="26" t="s">
        <v>29</v>
      </c>
      <c r="G53" s="26" t="s">
        <v>60</v>
      </c>
      <c r="H53" s="30" t="s">
        <v>244</v>
      </c>
      <c r="I53" s="36">
        <v>44252</v>
      </c>
      <c r="J53" s="30">
        <v>1</v>
      </c>
      <c r="K53" s="30">
        <v>18</v>
      </c>
      <c r="L53" s="30">
        <v>18</v>
      </c>
      <c r="M53" s="14">
        <f>((L53*14200)+(L53*14200)*10%)+8250+((0*150))</f>
        <v>289410</v>
      </c>
      <c r="N53" s="14">
        <f t="shared" si="12"/>
        <v>21780</v>
      </c>
      <c r="O53" s="14">
        <f t="shared" si="13"/>
        <v>36303.599999999999</v>
      </c>
      <c r="P53" s="14">
        <f t="shared" si="10"/>
        <v>19800</v>
      </c>
      <c r="Q53" s="14">
        <f t="shared" si="11"/>
        <v>367293.6</v>
      </c>
      <c r="R53" s="15">
        <v>204544493</v>
      </c>
      <c r="S53" s="32" t="s">
        <v>309</v>
      </c>
      <c r="T53" s="30" t="s">
        <v>27</v>
      </c>
    </row>
    <row r="54" spans="1:20" x14ac:dyDescent="0.25">
      <c r="A54" s="6">
        <v>53</v>
      </c>
      <c r="B54" s="30" t="s">
        <v>245</v>
      </c>
      <c r="C54" s="26" t="s">
        <v>29</v>
      </c>
      <c r="D54" s="30" t="s">
        <v>30</v>
      </c>
      <c r="E54" s="30" t="s">
        <v>49</v>
      </c>
      <c r="F54" s="26" t="s">
        <v>29</v>
      </c>
      <c r="G54" s="26" t="s">
        <v>171</v>
      </c>
      <c r="H54" s="30" t="s">
        <v>246</v>
      </c>
      <c r="I54" s="36">
        <v>44252</v>
      </c>
      <c r="J54" s="30">
        <v>2</v>
      </c>
      <c r="K54" s="30">
        <v>32</v>
      </c>
      <c r="L54" s="30">
        <v>34</v>
      </c>
      <c r="M54" s="14">
        <f>((L54*11000)+(L54*11000)*10%)+8250+((0*150))</f>
        <v>419650</v>
      </c>
      <c r="N54" s="14">
        <f>L54*1210</f>
        <v>41140</v>
      </c>
      <c r="O54" s="14">
        <f t="shared" si="13"/>
        <v>65906.8</v>
      </c>
      <c r="P54" s="14">
        <f t="shared" si="10"/>
        <v>37400</v>
      </c>
      <c r="Q54" s="14">
        <f t="shared" si="11"/>
        <v>564096.80000000005</v>
      </c>
      <c r="R54" s="21">
        <v>15127000</v>
      </c>
      <c r="S54" s="32" t="s">
        <v>407</v>
      </c>
      <c r="T54" s="30" t="s">
        <v>27</v>
      </c>
    </row>
    <row r="55" spans="1:20" x14ac:dyDescent="0.25">
      <c r="A55" s="6">
        <v>54</v>
      </c>
      <c r="B55" s="30" t="s">
        <v>247</v>
      </c>
      <c r="C55" s="26" t="s">
        <v>29</v>
      </c>
      <c r="D55" s="30" t="s">
        <v>248</v>
      </c>
      <c r="E55" s="30" t="s">
        <v>249</v>
      </c>
      <c r="F55" s="26" t="s">
        <v>29</v>
      </c>
      <c r="G55" s="26" t="s">
        <v>112</v>
      </c>
      <c r="H55" s="30" t="s">
        <v>113</v>
      </c>
      <c r="I55" s="36">
        <v>44253</v>
      </c>
      <c r="J55" s="30">
        <v>1</v>
      </c>
      <c r="K55" s="30">
        <v>73</v>
      </c>
      <c r="L55" s="30">
        <v>144</v>
      </c>
      <c r="M55" s="14">
        <f>((L55*67320)+(L55*67320)*10%)+8250+((K55*150))</f>
        <v>10682688</v>
      </c>
      <c r="N55" s="14">
        <f>K55*1210</f>
        <v>88330</v>
      </c>
      <c r="O55" s="14">
        <f t="shared" si="13"/>
        <v>269428.8</v>
      </c>
      <c r="P55" s="14">
        <f t="shared" si="10"/>
        <v>158400</v>
      </c>
      <c r="Q55" s="14">
        <f t="shared" si="11"/>
        <v>11198846.800000001</v>
      </c>
      <c r="R55" s="21">
        <v>39603888</v>
      </c>
      <c r="S55" s="32" t="s">
        <v>437</v>
      </c>
      <c r="T55" s="30" t="s">
        <v>27</v>
      </c>
    </row>
    <row r="56" spans="1:20" x14ac:dyDescent="0.25">
      <c r="A56" s="6">
        <v>55</v>
      </c>
      <c r="B56" s="30" t="s">
        <v>250</v>
      </c>
      <c r="C56" s="26" t="s">
        <v>29</v>
      </c>
      <c r="D56" s="30" t="s">
        <v>248</v>
      </c>
      <c r="E56" s="30" t="s">
        <v>249</v>
      </c>
      <c r="F56" s="26" t="s">
        <v>29</v>
      </c>
      <c r="G56" s="26" t="s">
        <v>112</v>
      </c>
      <c r="H56" s="30" t="s">
        <v>113</v>
      </c>
      <c r="I56" s="36">
        <v>44253</v>
      </c>
      <c r="J56" s="30">
        <v>1</v>
      </c>
      <c r="K56" s="30">
        <v>70</v>
      </c>
      <c r="L56" s="30">
        <v>118</v>
      </c>
      <c r="M56" s="14">
        <f>((L56*67320)+(L56*67320)*10%)+8250+((K56*150))</f>
        <v>8756886</v>
      </c>
      <c r="N56" s="14">
        <f>K56*1210</f>
        <v>84700</v>
      </c>
      <c r="O56" s="14">
        <f t="shared" si="13"/>
        <v>221323.6</v>
      </c>
      <c r="P56" s="14">
        <f t="shared" si="10"/>
        <v>129800</v>
      </c>
      <c r="Q56" s="14">
        <f t="shared" si="11"/>
        <v>9192709.5999999996</v>
      </c>
      <c r="R56" s="21">
        <v>39603888</v>
      </c>
      <c r="S56" s="32" t="s">
        <v>437</v>
      </c>
      <c r="T56" s="30" t="s">
        <v>27</v>
      </c>
    </row>
    <row r="57" spans="1:20" x14ac:dyDescent="0.25">
      <c r="A57" s="6">
        <v>56</v>
      </c>
      <c r="B57" s="30" t="s">
        <v>251</v>
      </c>
      <c r="C57" s="26" t="s">
        <v>21</v>
      </c>
      <c r="D57" s="22" t="s">
        <v>252</v>
      </c>
      <c r="E57" s="22" t="s">
        <v>23</v>
      </c>
      <c r="F57" s="8" t="s">
        <v>21</v>
      </c>
      <c r="G57" s="8" t="s">
        <v>50</v>
      </c>
      <c r="H57" s="22" t="s">
        <v>25</v>
      </c>
      <c r="I57" s="36">
        <v>44253</v>
      </c>
      <c r="J57" s="22">
        <v>1</v>
      </c>
      <c r="K57" s="22">
        <v>10</v>
      </c>
      <c r="L57" s="22">
        <v>10</v>
      </c>
      <c r="M57" s="14">
        <f>((L57*30600)+(L57*30600)*10%)+8250+((0*150))</f>
        <v>344850</v>
      </c>
      <c r="N57" s="14">
        <f>L57*869</f>
        <v>8690</v>
      </c>
      <c r="O57" s="14">
        <f>(L57*1153.2)+20000</f>
        <v>31532</v>
      </c>
      <c r="P57" s="14">
        <f t="shared" si="10"/>
        <v>11000</v>
      </c>
      <c r="Q57" s="14">
        <f t="shared" si="11"/>
        <v>396072</v>
      </c>
      <c r="R57" s="31">
        <v>396072</v>
      </c>
      <c r="S57" s="32" t="s">
        <v>201</v>
      </c>
      <c r="T57" s="30" t="s">
        <v>126</v>
      </c>
    </row>
    <row r="58" spans="1:20" x14ac:dyDescent="0.25">
      <c r="A58" s="6">
        <v>57</v>
      </c>
      <c r="B58" s="30" t="s">
        <v>253</v>
      </c>
      <c r="C58" s="26" t="s">
        <v>29</v>
      </c>
      <c r="D58" s="38" t="s">
        <v>254</v>
      </c>
      <c r="E58" s="30" t="s">
        <v>49</v>
      </c>
      <c r="F58" s="26" t="s">
        <v>29</v>
      </c>
      <c r="G58" s="26" t="s">
        <v>24</v>
      </c>
      <c r="H58" s="30" t="s">
        <v>128</v>
      </c>
      <c r="I58" s="36">
        <v>44253</v>
      </c>
      <c r="J58" s="30">
        <v>1</v>
      </c>
      <c r="K58" s="30">
        <v>18</v>
      </c>
      <c r="L58" s="30">
        <v>19</v>
      </c>
      <c r="M58" s="14">
        <f>((L58*22000)+(L58*22000)*10%)+8250+((L58*150))</f>
        <v>470900</v>
      </c>
      <c r="N58" s="14">
        <f>L58*1210</f>
        <v>22990</v>
      </c>
      <c r="O58" s="14">
        <f t="shared" ref="O58:O63" si="14">(L58*1850.2)+3000</f>
        <v>38153.800000000003</v>
      </c>
      <c r="P58" s="14">
        <f t="shared" si="10"/>
        <v>20900</v>
      </c>
      <c r="Q58" s="14">
        <f t="shared" si="11"/>
        <v>552943.80000000005</v>
      </c>
      <c r="R58" s="21">
        <v>2325117</v>
      </c>
      <c r="S58" s="32" t="s">
        <v>291</v>
      </c>
      <c r="T58" s="30" t="s">
        <v>126</v>
      </c>
    </row>
    <row r="59" spans="1:20" x14ac:dyDescent="0.25">
      <c r="A59" s="6">
        <v>58</v>
      </c>
      <c r="B59" s="30" t="s">
        <v>255</v>
      </c>
      <c r="C59" s="26" t="s">
        <v>29</v>
      </c>
      <c r="D59" s="30" t="s">
        <v>30</v>
      </c>
      <c r="E59" s="30" t="s">
        <v>49</v>
      </c>
      <c r="F59" s="26" t="s">
        <v>29</v>
      </c>
      <c r="G59" s="26" t="s">
        <v>184</v>
      </c>
      <c r="H59" s="30" t="s">
        <v>256</v>
      </c>
      <c r="I59" s="36">
        <v>44253</v>
      </c>
      <c r="J59" s="30">
        <v>2</v>
      </c>
      <c r="K59" s="30">
        <v>31</v>
      </c>
      <c r="L59" s="30">
        <v>36</v>
      </c>
      <c r="M59" s="14">
        <f>((L59*13500)+(L59*13500)*10%)+8250+((0*150))</f>
        <v>542850</v>
      </c>
      <c r="N59" s="14">
        <f>K59*1210</f>
        <v>37510</v>
      </c>
      <c r="O59" s="14">
        <f t="shared" si="14"/>
        <v>69607.199999999997</v>
      </c>
      <c r="P59" s="14">
        <f t="shared" si="10"/>
        <v>39600</v>
      </c>
      <c r="Q59" s="14">
        <f t="shared" si="11"/>
        <v>689567.2</v>
      </c>
      <c r="R59" s="21">
        <v>15127000</v>
      </c>
      <c r="S59" s="32" t="s">
        <v>407</v>
      </c>
      <c r="T59" s="30" t="s">
        <v>27</v>
      </c>
    </row>
    <row r="60" spans="1:20" x14ac:dyDescent="0.25">
      <c r="A60" s="6">
        <v>59</v>
      </c>
      <c r="B60" s="30" t="s">
        <v>257</v>
      </c>
      <c r="C60" s="26" t="s">
        <v>29</v>
      </c>
      <c r="D60" s="30" t="s">
        <v>30</v>
      </c>
      <c r="E60" s="30" t="s">
        <v>49</v>
      </c>
      <c r="F60" s="26" t="s">
        <v>29</v>
      </c>
      <c r="G60" s="26" t="s">
        <v>171</v>
      </c>
      <c r="H60" s="30" t="s">
        <v>258</v>
      </c>
      <c r="I60" s="36">
        <v>44253</v>
      </c>
      <c r="J60" s="30">
        <v>2</v>
      </c>
      <c r="K60" s="30">
        <v>31</v>
      </c>
      <c r="L60" s="30">
        <v>36</v>
      </c>
      <c r="M60" s="14">
        <f>((L60*11500)+(L60*11500)*10%)+8250+((0*150))</f>
        <v>463650</v>
      </c>
      <c r="N60" s="14">
        <f>K60*1210</f>
        <v>37510</v>
      </c>
      <c r="O60" s="14">
        <f t="shared" si="14"/>
        <v>69607.199999999997</v>
      </c>
      <c r="P60" s="14">
        <f t="shared" si="10"/>
        <v>39600</v>
      </c>
      <c r="Q60" s="14">
        <f t="shared" si="11"/>
        <v>610367.19999999995</v>
      </c>
      <c r="R60" s="21">
        <v>15127000</v>
      </c>
      <c r="S60" s="32" t="s">
        <v>407</v>
      </c>
      <c r="T60" s="30" t="s">
        <v>27</v>
      </c>
    </row>
    <row r="61" spans="1:20" x14ac:dyDescent="0.25">
      <c r="A61" s="6">
        <v>60</v>
      </c>
      <c r="B61" s="30" t="s">
        <v>259</v>
      </c>
      <c r="C61" s="26" t="s">
        <v>29</v>
      </c>
      <c r="D61" s="30" t="s">
        <v>53</v>
      </c>
      <c r="E61" s="30" t="s">
        <v>49</v>
      </c>
      <c r="F61" s="26" t="s">
        <v>29</v>
      </c>
      <c r="G61" s="26" t="s">
        <v>79</v>
      </c>
      <c r="H61" s="30" t="s">
        <v>80</v>
      </c>
      <c r="I61" s="36">
        <v>44255</v>
      </c>
      <c r="J61" s="30">
        <v>8</v>
      </c>
      <c r="K61" s="30">
        <v>142</v>
      </c>
      <c r="L61" s="30">
        <v>165</v>
      </c>
      <c r="M61" s="14">
        <f>((L61*15000)+(L61*15000)*10%)+8250+((0*150))</f>
        <v>2730750</v>
      </c>
      <c r="N61" s="14">
        <f>L61*1210</f>
        <v>199650</v>
      </c>
      <c r="O61" s="14">
        <f>(L61*1850)+3000</f>
        <v>308250</v>
      </c>
      <c r="P61" s="14">
        <f>L61*500</f>
        <v>82500</v>
      </c>
      <c r="Q61" s="14">
        <f t="shared" si="11"/>
        <v>3321150</v>
      </c>
      <c r="R61" s="21">
        <v>6744300</v>
      </c>
      <c r="S61" s="32" t="s">
        <v>291</v>
      </c>
      <c r="T61" s="30" t="s">
        <v>126</v>
      </c>
    </row>
    <row r="62" spans="1:20" x14ac:dyDescent="0.25">
      <c r="A62" s="6">
        <v>61</v>
      </c>
      <c r="B62" s="30" t="s">
        <v>260</v>
      </c>
      <c r="C62" s="26" t="s">
        <v>29</v>
      </c>
      <c r="D62" s="30" t="s">
        <v>163</v>
      </c>
      <c r="E62" s="30" t="s">
        <v>49</v>
      </c>
      <c r="F62" s="26" t="s">
        <v>29</v>
      </c>
      <c r="G62" s="26" t="s">
        <v>72</v>
      </c>
      <c r="H62" s="30" t="s">
        <v>261</v>
      </c>
      <c r="I62" s="36">
        <v>44255</v>
      </c>
      <c r="J62" s="30">
        <v>2</v>
      </c>
      <c r="K62" s="30">
        <v>16</v>
      </c>
      <c r="L62" s="30">
        <v>31</v>
      </c>
      <c r="M62" s="14">
        <f>((L62*16500)+(L62*16500)*10%)+8250+((0*150))</f>
        <v>570900</v>
      </c>
      <c r="N62" s="14">
        <f>K62*1210</f>
        <v>19360</v>
      </c>
      <c r="O62" s="14">
        <f t="shared" si="14"/>
        <v>60356.200000000004</v>
      </c>
      <c r="P62" s="14">
        <f t="shared" si="10"/>
        <v>34100</v>
      </c>
      <c r="Q62" s="14">
        <f t="shared" si="11"/>
        <v>684716.2</v>
      </c>
      <c r="R62" s="21">
        <v>28870295</v>
      </c>
      <c r="S62" s="32" t="s">
        <v>438</v>
      </c>
      <c r="T62" s="30" t="s">
        <v>126</v>
      </c>
    </row>
    <row r="63" spans="1:20" x14ac:dyDescent="0.25">
      <c r="A63" s="6">
        <v>62</v>
      </c>
      <c r="B63" s="30" t="s">
        <v>262</v>
      </c>
      <c r="C63" s="26" t="s">
        <v>29</v>
      </c>
      <c r="D63" s="30" t="s">
        <v>163</v>
      </c>
      <c r="E63" s="30" t="s">
        <v>49</v>
      </c>
      <c r="F63" s="26" t="s">
        <v>29</v>
      </c>
      <c r="G63" s="26" t="s">
        <v>263</v>
      </c>
      <c r="H63" s="30" t="s">
        <v>264</v>
      </c>
      <c r="I63" s="36">
        <v>44255</v>
      </c>
      <c r="J63" s="30">
        <v>2</v>
      </c>
      <c r="K63" s="30">
        <v>44</v>
      </c>
      <c r="L63" s="30">
        <v>69</v>
      </c>
      <c r="M63" s="14">
        <f>((L63*9000)+(L63*9000)*10%)+8250+((0*150))</f>
        <v>691350</v>
      </c>
      <c r="N63" s="14">
        <f>K63*1210</f>
        <v>53240</v>
      </c>
      <c r="O63" s="14">
        <f t="shared" si="14"/>
        <v>130663.8</v>
      </c>
      <c r="P63" s="14">
        <f t="shared" si="10"/>
        <v>75900</v>
      </c>
      <c r="Q63" s="14">
        <f t="shared" si="11"/>
        <v>951153.8</v>
      </c>
      <c r="R63" s="21">
        <v>28870295</v>
      </c>
      <c r="S63" s="32" t="s">
        <v>438</v>
      </c>
      <c r="T63" s="30" t="s">
        <v>126</v>
      </c>
    </row>
    <row r="64" spans="1:20" x14ac:dyDescent="0.25">
      <c r="A64" s="6">
        <v>63</v>
      </c>
      <c r="B64" s="30" t="s">
        <v>265</v>
      </c>
      <c r="C64" s="26" t="s">
        <v>21</v>
      </c>
      <c r="D64" s="30" t="s">
        <v>266</v>
      </c>
      <c r="E64" s="30" t="s">
        <v>23</v>
      </c>
      <c r="F64" s="26" t="s">
        <v>21</v>
      </c>
      <c r="G64" s="26" t="s">
        <v>50</v>
      </c>
      <c r="H64" s="30" t="s">
        <v>25</v>
      </c>
      <c r="I64" s="36">
        <v>44254</v>
      </c>
      <c r="J64" s="30">
        <v>4</v>
      </c>
      <c r="K64" s="30">
        <v>48</v>
      </c>
      <c r="L64" s="30">
        <v>48</v>
      </c>
      <c r="M64" s="14">
        <f>((L64*30600)+(L64*30600)*10%)+8250+((0*150))</f>
        <v>1623930</v>
      </c>
      <c r="N64" s="14">
        <f>L64*869</f>
        <v>41712</v>
      </c>
      <c r="O64" s="14">
        <f>(L64*1153.2)+20000</f>
        <v>75353.600000000006</v>
      </c>
      <c r="P64" s="14">
        <f t="shared" si="10"/>
        <v>52800</v>
      </c>
      <c r="Q64" s="14">
        <f t="shared" si="11"/>
        <v>1793795.6</v>
      </c>
      <c r="R64" s="21">
        <v>132944440</v>
      </c>
      <c r="S64" s="32" t="s">
        <v>422</v>
      </c>
      <c r="T64" s="30" t="s">
        <v>27</v>
      </c>
    </row>
    <row r="65" spans="1:20" x14ac:dyDescent="0.25">
      <c r="A65" s="6">
        <v>64</v>
      </c>
      <c r="B65" s="30" t="s">
        <v>267</v>
      </c>
      <c r="C65" s="26" t="s">
        <v>21</v>
      </c>
      <c r="D65" s="30" t="s">
        <v>268</v>
      </c>
      <c r="E65" s="30" t="s">
        <v>23</v>
      </c>
      <c r="F65" s="26" t="s">
        <v>21</v>
      </c>
      <c r="G65" s="26" t="s">
        <v>40</v>
      </c>
      <c r="H65" s="30" t="s">
        <v>214</v>
      </c>
      <c r="I65" s="36">
        <v>44254</v>
      </c>
      <c r="J65" s="30">
        <v>1</v>
      </c>
      <c r="K65" s="30">
        <v>25</v>
      </c>
      <c r="L65" s="30">
        <v>25</v>
      </c>
      <c r="M65" s="14">
        <f>((L65*5000)+(L65*5000)*10%)+8250+((K65*150))</f>
        <v>149500</v>
      </c>
      <c r="N65" s="14">
        <f>L65*869</f>
        <v>21725</v>
      </c>
      <c r="O65" s="14">
        <f>(L65*1153.2)+20000</f>
        <v>48830</v>
      </c>
      <c r="P65" s="14">
        <f t="shared" si="10"/>
        <v>27500</v>
      </c>
      <c r="Q65" s="14">
        <f t="shared" si="11"/>
        <v>247555</v>
      </c>
      <c r="R65" s="31">
        <v>243805</v>
      </c>
      <c r="S65" s="32" t="s">
        <v>201</v>
      </c>
      <c r="T65" s="30" t="s">
        <v>126</v>
      </c>
    </row>
    <row r="66" spans="1:20" x14ac:dyDescent="0.25">
      <c r="A66" s="6">
        <v>65</v>
      </c>
      <c r="B66" s="30" t="s">
        <v>269</v>
      </c>
      <c r="C66" s="26" t="s">
        <v>21</v>
      </c>
      <c r="D66" s="30" t="s">
        <v>270</v>
      </c>
      <c r="E66" s="30" t="s">
        <v>23</v>
      </c>
      <c r="F66" s="26" t="s">
        <v>21</v>
      </c>
      <c r="G66" s="26" t="s">
        <v>50</v>
      </c>
      <c r="H66" s="30" t="s">
        <v>25</v>
      </c>
      <c r="I66" s="36">
        <v>44254</v>
      </c>
      <c r="J66" s="30">
        <v>1</v>
      </c>
      <c r="K66" s="30">
        <v>15</v>
      </c>
      <c r="L66" s="30">
        <v>15</v>
      </c>
      <c r="M66" s="14">
        <f>((L66*30600)+(L66*30600)*10%)+8250+((0*150))</f>
        <v>513150</v>
      </c>
      <c r="N66" s="14">
        <f>L66*869</f>
        <v>13035</v>
      </c>
      <c r="O66" s="14">
        <f>(L66*1153.2)+20000</f>
        <v>37298</v>
      </c>
      <c r="P66" s="14">
        <f t="shared" si="10"/>
        <v>16500</v>
      </c>
      <c r="Q66" s="14">
        <f t="shared" si="11"/>
        <v>579983</v>
      </c>
      <c r="R66" s="14">
        <v>579983</v>
      </c>
      <c r="S66" s="32" t="s">
        <v>271</v>
      </c>
      <c r="T66" s="30" t="s">
        <v>126</v>
      </c>
    </row>
    <row r="67" spans="1:20" x14ac:dyDescent="0.25">
      <c r="A67" s="6">
        <v>66</v>
      </c>
      <c r="B67" s="30" t="s">
        <v>272</v>
      </c>
      <c r="C67" s="26" t="s">
        <v>21</v>
      </c>
      <c r="D67" s="30" t="s">
        <v>273</v>
      </c>
      <c r="E67" s="30" t="s">
        <v>23</v>
      </c>
      <c r="F67" s="26" t="s">
        <v>21</v>
      </c>
      <c r="G67" s="26" t="s">
        <v>79</v>
      </c>
      <c r="H67" s="30" t="s">
        <v>197</v>
      </c>
      <c r="I67" s="36">
        <v>44254</v>
      </c>
      <c r="J67" s="30">
        <v>4</v>
      </c>
      <c r="K67" s="30">
        <v>90</v>
      </c>
      <c r="L67" s="30">
        <v>137</v>
      </c>
      <c r="M67" s="14">
        <f>((L67*12500)+(L67*12500)*10%)+8250+((0*150))</f>
        <v>1892000</v>
      </c>
      <c r="N67" s="14">
        <f>L67*869</f>
        <v>119053</v>
      </c>
      <c r="O67" s="14">
        <f>(L67*1153.2)+20000</f>
        <v>177988.4</v>
      </c>
      <c r="P67" s="14">
        <f t="shared" si="10"/>
        <v>150700</v>
      </c>
      <c r="Q67" s="14">
        <f t="shared" si="11"/>
        <v>2339741.4</v>
      </c>
      <c r="R67" s="21">
        <v>28870295</v>
      </c>
      <c r="S67" s="32" t="s">
        <v>438</v>
      </c>
      <c r="T67" s="30" t="s">
        <v>126</v>
      </c>
    </row>
    <row r="68" spans="1:20" x14ac:dyDescent="0.25">
      <c r="A68" s="8">
        <v>67</v>
      </c>
      <c r="B68" s="53" t="s">
        <v>301</v>
      </c>
      <c r="C68" s="8" t="s">
        <v>302</v>
      </c>
      <c r="D68" s="22" t="s">
        <v>85</v>
      </c>
      <c r="E68" s="22" t="s">
        <v>49</v>
      </c>
      <c r="F68" s="8" t="s">
        <v>21</v>
      </c>
      <c r="G68" s="8" t="s">
        <v>24</v>
      </c>
      <c r="H68" s="39"/>
      <c r="I68" s="36">
        <v>44254</v>
      </c>
      <c r="J68" s="22">
        <v>5</v>
      </c>
      <c r="K68" s="22">
        <v>95</v>
      </c>
      <c r="L68" s="22">
        <v>95</v>
      </c>
      <c r="M68" s="41">
        <f>L68*28000</f>
        <v>2660000</v>
      </c>
      <c r="N68" s="14"/>
      <c r="O68" s="14"/>
      <c r="P68" s="14"/>
      <c r="Q68" s="14">
        <f t="shared" si="11"/>
        <v>2660000</v>
      </c>
      <c r="R68" s="21">
        <v>10118115</v>
      </c>
      <c r="S68" s="32" t="s">
        <v>303</v>
      </c>
      <c r="T68" s="30" t="s">
        <v>126</v>
      </c>
    </row>
    <row r="69" spans="1:20" x14ac:dyDescent="0.25">
      <c r="A69" s="6">
        <v>68</v>
      </c>
      <c r="B69" s="30" t="s">
        <v>409</v>
      </c>
      <c r="C69" s="26" t="s">
        <v>302</v>
      </c>
      <c r="D69" s="30" t="s">
        <v>30</v>
      </c>
      <c r="E69" s="30" t="s">
        <v>23</v>
      </c>
      <c r="F69" s="26" t="s">
        <v>21</v>
      </c>
      <c r="G69" s="26" t="s">
        <v>24</v>
      </c>
      <c r="H69" s="30"/>
      <c r="I69" s="29">
        <v>44253</v>
      </c>
      <c r="J69" s="31">
        <v>1</v>
      </c>
      <c r="K69" s="28">
        <v>236</v>
      </c>
      <c r="L69" s="28">
        <v>236</v>
      </c>
      <c r="M69" s="72">
        <v>6608000</v>
      </c>
      <c r="N69" s="72">
        <v>0</v>
      </c>
      <c r="O69" s="72">
        <v>0</v>
      </c>
      <c r="P69" s="72">
        <v>0</v>
      </c>
      <c r="Q69" s="14">
        <f>SUM(M69:P69)</f>
        <v>6608000</v>
      </c>
      <c r="R69" s="21">
        <v>15127000</v>
      </c>
      <c r="S69" s="32" t="s">
        <v>407</v>
      </c>
      <c r="T69" s="30" t="s">
        <v>27</v>
      </c>
    </row>
    <row r="70" spans="1:20" x14ac:dyDescent="0.25">
      <c r="L70" s="49"/>
      <c r="Q70" s="48"/>
      <c r="S70" s="75" t="s">
        <v>410</v>
      </c>
    </row>
    <row r="71" spans="1:20" x14ac:dyDescent="0.25">
      <c r="L71" s="48">
        <f>SUBTOTAL(9,L2:L70)</f>
        <v>4053</v>
      </c>
    </row>
  </sheetData>
  <autoFilter ref="A1:T70"/>
  <mergeCells count="6">
    <mergeCell ref="R4:R8"/>
    <mergeCell ref="S4:S8"/>
    <mergeCell ref="T4:T8"/>
    <mergeCell ref="R39:R40"/>
    <mergeCell ref="S39:S40"/>
    <mergeCell ref="T39:T40"/>
  </mergeCells>
  <pageMargins left="0.7" right="0.7" top="0.75" bottom="0.75" header="0.3" footer="0.3"/>
  <pageSetup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V74"/>
  <sheetViews>
    <sheetView workbookViewId="0">
      <pane xSplit="2" topLeftCell="C1" activePane="topRight" state="frozen"/>
      <selection activeCell="Q52" sqref="Q52:Q68"/>
      <selection pane="topRight" activeCell="J78" sqref="J78"/>
    </sheetView>
  </sheetViews>
  <sheetFormatPr defaultRowHeight="15" x14ac:dyDescent="0.25"/>
  <cols>
    <col min="1" max="1" width="5.42578125" customWidth="1"/>
    <col min="2" max="2" width="12.7109375" bestFit="1" customWidth="1"/>
    <col min="3" max="3" width="9" customWidth="1"/>
    <col min="4" max="4" width="20.7109375" bestFit="1" customWidth="1"/>
    <col min="5" max="5" width="16.5703125" bestFit="1" customWidth="1"/>
    <col min="9" max="9" width="10" style="61" bestFit="1" customWidth="1"/>
    <col min="13" max="13" width="10.5703125" customWidth="1"/>
    <col min="14" max="15" width="9.140625" customWidth="1"/>
    <col min="16" max="16" width="10.5703125" customWidth="1"/>
    <col min="17" max="17" width="14.28515625" bestFit="1" customWidth="1"/>
    <col min="18" max="18" width="14" bestFit="1" customWidth="1"/>
    <col min="19" max="20" width="11" bestFit="1" customWidth="1"/>
    <col min="21" max="21" width="14.5703125" customWidth="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40" t="s">
        <v>314</v>
      </c>
      <c r="V1" s="45" t="s">
        <v>313</v>
      </c>
    </row>
    <row r="2" spans="1:22" hidden="1" x14ac:dyDescent="0.25">
      <c r="A2" s="6">
        <v>1</v>
      </c>
      <c r="B2" s="7" t="s">
        <v>274</v>
      </c>
      <c r="C2" s="8" t="s">
        <v>29</v>
      </c>
      <c r="D2" s="30" t="s">
        <v>275</v>
      </c>
      <c r="E2" s="30" t="s">
        <v>49</v>
      </c>
      <c r="F2" s="30" t="s">
        <v>29</v>
      </c>
      <c r="G2" s="30" t="s">
        <v>184</v>
      </c>
      <c r="H2" s="30" t="s">
        <v>219</v>
      </c>
      <c r="I2" s="36">
        <v>44257</v>
      </c>
      <c r="J2" s="43">
        <v>1</v>
      </c>
      <c r="K2" s="14">
        <v>15</v>
      </c>
      <c r="L2" s="14">
        <v>15</v>
      </c>
      <c r="M2" s="14">
        <f>((L2*13500)+(L2*13500)*10%)+8250+((0*150))</f>
        <v>231000</v>
      </c>
      <c r="N2" s="14">
        <f t="shared" ref="N2:N10" si="0">L2*1210</f>
        <v>18150</v>
      </c>
      <c r="O2" s="14">
        <f>(L2*1850.2)+3000</f>
        <v>30753</v>
      </c>
      <c r="P2" s="14">
        <f>L2*1100</f>
        <v>16500</v>
      </c>
      <c r="Q2" s="14">
        <f t="shared" ref="Q2:Q15" si="1">SUM(M2:P2)</f>
        <v>296403</v>
      </c>
      <c r="R2" s="21">
        <v>296403</v>
      </c>
      <c r="S2" s="32" t="s">
        <v>291</v>
      </c>
      <c r="T2" s="30" t="s">
        <v>126</v>
      </c>
      <c r="U2" s="39"/>
      <c r="V2" s="39"/>
    </row>
    <row r="3" spans="1:22" hidden="1" x14ac:dyDescent="0.25">
      <c r="A3" s="6">
        <v>2</v>
      </c>
      <c r="B3" s="9" t="s">
        <v>276</v>
      </c>
      <c r="C3" s="8" t="s">
        <v>29</v>
      </c>
      <c r="D3" s="30" t="s">
        <v>30</v>
      </c>
      <c r="E3" s="30" t="s">
        <v>49</v>
      </c>
      <c r="F3" s="30" t="s">
        <v>29</v>
      </c>
      <c r="G3" s="30" t="s">
        <v>35</v>
      </c>
      <c r="H3" s="30" t="s">
        <v>277</v>
      </c>
      <c r="I3" s="36">
        <v>44257</v>
      </c>
      <c r="J3" s="30">
        <v>8</v>
      </c>
      <c r="K3" s="30">
        <v>126</v>
      </c>
      <c r="L3" s="30">
        <v>126</v>
      </c>
      <c r="M3" s="14">
        <f>((L3*9200)+(L3*9200)*10%)+8250+((0*150))</f>
        <v>1283370</v>
      </c>
      <c r="N3" s="14">
        <f t="shared" si="0"/>
        <v>152460</v>
      </c>
      <c r="O3" s="14">
        <f t="shared" ref="O3:O10" si="2">(L3*1850.2)+3000</f>
        <v>236125.2</v>
      </c>
      <c r="P3" s="14">
        <f>L3*2100</f>
        <v>264600</v>
      </c>
      <c r="Q3" s="14">
        <f t="shared" si="1"/>
        <v>1936555.2</v>
      </c>
      <c r="R3" s="21">
        <v>15127000</v>
      </c>
      <c r="S3" s="32" t="s">
        <v>411</v>
      </c>
      <c r="T3" s="30" t="s">
        <v>27</v>
      </c>
      <c r="U3" s="39" t="s">
        <v>311</v>
      </c>
      <c r="V3" s="39" t="s">
        <v>408</v>
      </c>
    </row>
    <row r="4" spans="1:22" hidden="1" x14ac:dyDescent="0.25">
      <c r="A4" s="6">
        <v>3</v>
      </c>
      <c r="B4" s="9" t="s">
        <v>278</v>
      </c>
      <c r="C4" s="8" t="s">
        <v>29</v>
      </c>
      <c r="D4" s="30" t="s">
        <v>273</v>
      </c>
      <c r="E4" s="30" t="s">
        <v>49</v>
      </c>
      <c r="F4" s="30" t="s">
        <v>29</v>
      </c>
      <c r="G4" s="30" t="s">
        <v>263</v>
      </c>
      <c r="H4" s="30" t="s">
        <v>279</v>
      </c>
      <c r="I4" s="36">
        <v>44258</v>
      </c>
      <c r="J4" s="30">
        <v>2</v>
      </c>
      <c r="K4" s="30">
        <v>50</v>
      </c>
      <c r="L4" s="30">
        <v>64</v>
      </c>
      <c r="M4" s="14">
        <f>((L4*9000)+(L4*9000)*10%)+8250+((0*150))</f>
        <v>641850</v>
      </c>
      <c r="N4" s="14">
        <f t="shared" si="0"/>
        <v>77440</v>
      </c>
      <c r="O4" s="14">
        <f t="shared" si="2"/>
        <v>121412.8</v>
      </c>
      <c r="P4" s="14">
        <f t="shared" ref="P4:P15" si="3">L4*1100</f>
        <v>70400</v>
      </c>
      <c r="Q4" s="14">
        <f t="shared" si="1"/>
        <v>911102.8</v>
      </c>
      <c r="R4" s="21">
        <v>28870295</v>
      </c>
      <c r="S4" s="32" t="s">
        <v>438</v>
      </c>
      <c r="T4" s="30" t="s">
        <v>27</v>
      </c>
      <c r="U4" s="42" t="s">
        <v>308</v>
      </c>
      <c r="V4" s="39" t="s">
        <v>432</v>
      </c>
    </row>
    <row r="5" spans="1:22" hidden="1" x14ac:dyDescent="0.25">
      <c r="A5" s="6">
        <v>4</v>
      </c>
      <c r="B5" s="9" t="s">
        <v>280</v>
      </c>
      <c r="C5" s="8" t="s">
        <v>29</v>
      </c>
      <c r="D5" s="30" t="s">
        <v>273</v>
      </c>
      <c r="E5" s="30" t="s">
        <v>49</v>
      </c>
      <c r="F5" s="30" t="s">
        <v>29</v>
      </c>
      <c r="G5" s="30" t="s">
        <v>281</v>
      </c>
      <c r="H5" s="30" t="s">
        <v>282</v>
      </c>
      <c r="I5" s="36">
        <v>44258</v>
      </c>
      <c r="J5" s="30">
        <v>1</v>
      </c>
      <c r="K5" s="30">
        <v>14</v>
      </c>
      <c r="L5" s="30">
        <v>24</v>
      </c>
      <c r="M5" s="14">
        <f>((L5*14000)+(L5*14000)*10%)+8250+((0*150))</f>
        <v>377850</v>
      </c>
      <c r="N5" s="14">
        <f t="shared" si="0"/>
        <v>29040</v>
      </c>
      <c r="O5" s="14">
        <f t="shared" si="2"/>
        <v>47404.800000000003</v>
      </c>
      <c r="P5" s="14">
        <f t="shared" si="3"/>
        <v>26400</v>
      </c>
      <c r="Q5" s="14">
        <f t="shared" si="1"/>
        <v>480694.8</v>
      </c>
      <c r="R5" s="21">
        <v>28870295</v>
      </c>
      <c r="S5" s="32" t="s">
        <v>438</v>
      </c>
      <c r="T5" s="30" t="s">
        <v>27</v>
      </c>
      <c r="U5" s="42" t="s">
        <v>308</v>
      </c>
      <c r="V5" s="39" t="s">
        <v>432</v>
      </c>
    </row>
    <row r="6" spans="1:22" hidden="1" x14ac:dyDescent="0.25">
      <c r="A6" s="6">
        <v>5</v>
      </c>
      <c r="B6" s="9" t="s">
        <v>283</v>
      </c>
      <c r="C6" s="8" t="s">
        <v>29</v>
      </c>
      <c r="D6" s="30" t="s">
        <v>273</v>
      </c>
      <c r="E6" s="30" t="s">
        <v>49</v>
      </c>
      <c r="F6" s="30" t="s">
        <v>29</v>
      </c>
      <c r="G6" s="30" t="s">
        <v>72</v>
      </c>
      <c r="H6" s="30" t="s">
        <v>284</v>
      </c>
      <c r="I6" s="36">
        <v>44258</v>
      </c>
      <c r="J6" s="30">
        <v>2</v>
      </c>
      <c r="K6" s="30">
        <v>47</v>
      </c>
      <c r="L6" s="30">
        <v>47</v>
      </c>
      <c r="M6" s="14">
        <f>((L6*16500)+(L6*16500)*10%)+8250+((0*150))</f>
        <v>861300</v>
      </c>
      <c r="N6" s="14">
        <f t="shared" si="0"/>
        <v>56870</v>
      </c>
      <c r="O6" s="14">
        <f t="shared" si="2"/>
        <v>89959.400000000009</v>
      </c>
      <c r="P6" s="14">
        <f t="shared" si="3"/>
        <v>51700</v>
      </c>
      <c r="Q6" s="14">
        <f t="shared" si="1"/>
        <v>1059829.3999999999</v>
      </c>
      <c r="R6" s="21">
        <v>28870295</v>
      </c>
      <c r="S6" s="32" t="s">
        <v>438</v>
      </c>
      <c r="T6" s="30" t="s">
        <v>27</v>
      </c>
      <c r="U6" s="42" t="s">
        <v>308</v>
      </c>
      <c r="V6" s="39" t="s">
        <v>432</v>
      </c>
    </row>
    <row r="7" spans="1:22" hidden="1" x14ac:dyDescent="0.25">
      <c r="A7" s="6">
        <v>6</v>
      </c>
      <c r="B7" s="9" t="s">
        <v>285</v>
      </c>
      <c r="C7" s="8" t="s">
        <v>29</v>
      </c>
      <c r="D7" s="30" t="s">
        <v>130</v>
      </c>
      <c r="E7" s="30" t="s">
        <v>137</v>
      </c>
      <c r="F7" s="30" t="s">
        <v>29</v>
      </c>
      <c r="G7" s="30" t="s">
        <v>104</v>
      </c>
      <c r="H7" s="30" t="s">
        <v>105</v>
      </c>
      <c r="I7" s="36">
        <v>44258</v>
      </c>
      <c r="J7" s="30">
        <v>1</v>
      </c>
      <c r="K7" s="30">
        <v>76</v>
      </c>
      <c r="L7" s="30">
        <v>76</v>
      </c>
      <c r="M7" s="14">
        <f>((L7*51000)+(L7*51000)*10%)+8250+((K7*150))</f>
        <v>4283250</v>
      </c>
      <c r="N7" s="14">
        <f t="shared" si="0"/>
        <v>91960</v>
      </c>
      <c r="O7" s="14">
        <f t="shared" si="2"/>
        <v>143615.20000000001</v>
      </c>
      <c r="P7" s="14">
        <f t="shared" si="3"/>
        <v>83600</v>
      </c>
      <c r="Q7" s="14">
        <f t="shared" si="1"/>
        <v>4602425.2</v>
      </c>
      <c r="R7" s="21">
        <v>4602425</v>
      </c>
      <c r="S7" s="30"/>
      <c r="T7" s="30" t="s">
        <v>27</v>
      </c>
      <c r="U7" s="77" t="s">
        <v>400</v>
      </c>
      <c r="V7" s="39" t="s">
        <v>412</v>
      </c>
    </row>
    <row r="8" spans="1:22" hidden="1" x14ac:dyDescent="0.25">
      <c r="A8" s="6">
        <v>7</v>
      </c>
      <c r="B8" s="9" t="s">
        <v>286</v>
      </c>
      <c r="C8" s="8" t="s">
        <v>29</v>
      </c>
      <c r="D8" s="30" t="s">
        <v>130</v>
      </c>
      <c r="E8" s="30" t="s">
        <v>49</v>
      </c>
      <c r="F8" s="30" t="s">
        <v>29</v>
      </c>
      <c r="G8" s="30" t="s">
        <v>112</v>
      </c>
      <c r="H8" s="30" t="s">
        <v>113</v>
      </c>
      <c r="I8" s="36">
        <v>44258</v>
      </c>
      <c r="J8" s="30">
        <v>1</v>
      </c>
      <c r="K8" s="30">
        <v>6</v>
      </c>
      <c r="L8" s="30">
        <v>10</v>
      </c>
      <c r="M8" s="14">
        <f>((L8*40800)+(L8*40800)*10%)+8250+((K8*150))</f>
        <v>457950</v>
      </c>
      <c r="N8" s="14">
        <f t="shared" si="0"/>
        <v>12100</v>
      </c>
      <c r="O8" s="14">
        <f t="shared" si="2"/>
        <v>21502</v>
      </c>
      <c r="P8" s="14">
        <f t="shared" si="3"/>
        <v>11000</v>
      </c>
      <c r="Q8" s="14">
        <f t="shared" si="1"/>
        <v>502552</v>
      </c>
      <c r="R8" s="21">
        <v>769520</v>
      </c>
      <c r="S8" s="32" t="s">
        <v>443</v>
      </c>
      <c r="T8" s="30" t="s">
        <v>126</v>
      </c>
      <c r="U8" s="77" t="s">
        <v>400</v>
      </c>
      <c r="V8" s="39" t="s">
        <v>412</v>
      </c>
    </row>
    <row r="9" spans="1:22" hidden="1" x14ac:dyDescent="0.25">
      <c r="A9" s="6">
        <v>8</v>
      </c>
      <c r="B9" s="9" t="s">
        <v>287</v>
      </c>
      <c r="C9" s="8" t="s">
        <v>29</v>
      </c>
      <c r="D9" s="30" t="s">
        <v>30</v>
      </c>
      <c r="E9" s="30" t="s">
        <v>49</v>
      </c>
      <c r="F9" s="30" t="s">
        <v>29</v>
      </c>
      <c r="G9" s="30" t="s">
        <v>79</v>
      </c>
      <c r="H9" s="30" t="s">
        <v>288</v>
      </c>
      <c r="I9" s="36">
        <v>44258</v>
      </c>
      <c r="J9" s="30">
        <v>6</v>
      </c>
      <c r="K9" s="30">
        <v>192</v>
      </c>
      <c r="L9" s="30">
        <v>192</v>
      </c>
      <c r="M9" s="14">
        <f>((L9*15000)+(L9*15000)*10%)+8250+((0*150))</f>
        <v>3176250</v>
      </c>
      <c r="N9" s="14">
        <f t="shared" si="0"/>
        <v>232320</v>
      </c>
      <c r="O9" s="14">
        <f t="shared" si="2"/>
        <v>358238.4</v>
      </c>
      <c r="P9" s="14">
        <f>L9*2100</f>
        <v>403200</v>
      </c>
      <c r="Q9" s="14">
        <f t="shared" si="1"/>
        <v>4170008.4</v>
      </c>
      <c r="R9" s="21">
        <v>15127000</v>
      </c>
      <c r="S9" s="32" t="s">
        <v>411</v>
      </c>
      <c r="T9" s="30" t="s">
        <v>27</v>
      </c>
      <c r="U9" s="42" t="s">
        <v>308</v>
      </c>
      <c r="V9" s="39" t="s">
        <v>401</v>
      </c>
    </row>
    <row r="10" spans="1:22" hidden="1" x14ac:dyDescent="0.25">
      <c r="A10" s="6">
        <v>9</v>
      </c>
      <c r="B10" s="9" t="s">
        <v>289</v>
      </c>
      <c r="C10" s="8" t="s">
        <v>29</v>
      </c>
      <c r="D10" s="30" t="s">
        <v>30</v>
      </c>
      <c r="E10" s="30" t="s">
        <v>49</v>
      </c>
      <c r="F10" s="30" t="s">
        <v>29</v>
      </c>
      <c r="G10" s="30" t="s">
        <v>35</v>
      </c>
      <c r="H10" s="30" t="s">
        <v>290</v>
      </c>
      <c r="I10" s="36">
        <v>44258</v>
      </c>
      <c r="J10" s="30">
        <v>1</v>
      </c>
      <c r="K10" s="30">
        <v>8</v>
      </c>
      <c r="L10" s="30">
        <v>10</v>
      </c>
      <c r="M10" s="14">
        <f>((L10*9200)+(L10*9200)*10%)+8250+((0*150))</f>
        <v>109450</v>
      </c>
      <c r="N10" s="14">
        <f t="shared" si="0"/>
        <v>12100</v>
      </c>
      <c r="O10" s="14">
        <f t="shared" si="2"/>
        <v>21502</v>
      </c>
      <c r="P10" s="14">
        <f>L10*2100</f>
        <v>21000</v>
      </c>
      <c r="Q10" s="14">
        <f t="shared" si="1"/>
        <v>164052</v>
      </c>
      <c r="R10" s="21">
        <v>15127000</v>
      </c>
      <c r="S10" s="32" t="s">
        <v>411</v>
      </c>
      <c r="T10" s="30" t="s">
        <v>27</v>
      </c>
      <c r="U10" s="42" t="s">
        <v>308</v>
      </c>
      <c r="V10" s="39" t="s">
        <v>401</v>
      </c>
    </row>
    <row r="11" spans="1:22" hidden="1" x14ac:dyDescent="0.25">
      <c r="A11" s="6">
        <v>10</v>
      </c>
      <c r="B11" s="22" t="s">
        <v>292</v>
      </c>
      <c r="C11" s="26" t="s">
        <v>21</v>
      </c>
      <c r="D11" s="30" t="s">
        <v>273</v>
      </c>
      <c r="E11" s="30" t="s">
        <v>49</v>
      </c>
      <c r="F11" s="30" t="s">
        <v>21</v>
      </c>
      <c r="G11" s="30" t="s">
        <v>79</v>
      </c>
      <c r="H11" s="30" t="s">
        <v>200</v>
      </c>
      <c r="I11" s="36">
        <v>44257</v>
      </c>
      <c r="J11" s="30">
        <v>3</v>
      </c>
      <c r="K11" s="30">
        <v>85</v>
      </c>
      <c r="L11" s="30">
        <v>85</v>
      </c>
      <c r="M11" s="23">
        <f>((L11*12500)+(L11*12500)*10%)+8250+((0*150))</f>
        <v>1177000</v>
      </c>
      <c r="N11" s="21">
        <f>L11*869</f>
        <v>73865</v>
      </c>
      <c r="O11" s="21">
        <f t="shared" ref="O11:O16" si="4">(L11*1153.2)+20000</f>
        <v>118022</v>
      </c>
      <c r="P11" s="21">
        <f t="shared" si="3"/>
        <v>93500</v>
      </c>
      <c r="Q11" s="14">
        <f t="shared" si="1"/>
        <v>1462387</v>
      </c>
      <c r="R11" s="21">
        <v>28870295</v>
      </c>
      <c r="S11" s="32" t="s">
        <v>438</v>
      </c>
      <c r="T11" s="30" t="s">
        <v>27</v>
      </c>
      <c r="U11" s="42" t="s">
        <v>311</v>
      </c>
      <c r="V11" s="39" t="s">
        <v>433</v>
      </c>
    </row>
    <row r="12" spans="1:22" hidden="1" x14ac:dyDescent="0.25">
      <c r="A12" s="6">
        <v>11</v>
      </c>
      <c r="B12" s="51" t="s">
        <v>293</v>
      </c>
      <c r="C12" s="26" t="s">
        <v>21</v>
      </c>
      <c r="D12" s="30" t="s">
        <v>175</v>
      </c>
      <c r="E12" s="30" t="s">
        <v>49</v>
      </c>
      <c r="F12" s="30" t="s">
        <v>21</v>
      </c>
      <c r="G12" s="30" t="s">
        <v>50</v>
      </c>
      <c r="H12" s="30" t="s">
        <v>25</v>
      </c>
      <c r="I12" s="36">
        <v>44258</v>
      </c>
      <c r="J12" s="30">
        <v>3</v>
      </c>
      <c r="K12" s="30">
        <v>35</v>
      </c>
      <c r="L12" s="30">
        <v>38</v>
      </c>
      <c r="M12" s="23">
        <f>((L12*30600)+(L12*30600)*10%)+8250+((0*150))</f>
        <v>1287330</v>
      </c>
      <c r="N12" s="21">
        <f>L12*869</f>
        <v>33022</v>
      </c>
      <c r="O12" s="21">
        <f t="shared" si="4"/>
        <v>63821.599999999999</v>
      </c>
      <c r="P12" s="21">
        <f t="shared" si="3"/>
        <v>41800</v>
      </c>
      <c r="Q12" s="14">
        <f t="shared" si="1"/>
        <v>1425973.6</v>
      </c>
      <c r="R12" s="21">
        <v>10118115</v>
      </c>
      <c r="S12" s="32" t="s">
        <v>303</v>
      </c>
      <c r="T12" s="30" t="s">
        <v>126</v>
      </c>
      <c r="U12" s="42"/>
      <c r="V12" s="39"/>
    </row>
    <row r="13" spans="1:22" hidden="1" x14ac:dyDescent="0.25">
      <c r="A13" s="6">
        <v>12</v>
      </c>
      <c r="B13" s="30" t="s">
        <v>294</v>
      </c>
      <c r="C13" s="26" t="s">
        <v>21</v>
      </c>
      <c r="D13" s="30" t="s">
        <v>295</v>
      </c>
      <c r="E13" s="30" t="s">
        <v>49</v>
      </c>
      <c r="F13" s="30" t="s">
        <v>21</v>
      </c>
      <c r="G13" s="30" t="s">
        <v>24</v>
      </c>
      <c r="H13" s="30" t="s">
        <v>25</v>
      </c>
      <c r="I13" s="36">
        <v>44259</v>
      </c>
      <c r="J13" s="30">
        <v>1</v>
      </c>
      <c r="K13" s="30">
        <v>20</v>
      </c>
      <c r="L13" s="30">
        <v>20</v>
      </c>
      <c r="M13" s="23">
        <f>((L13*32550)+(L13*32550)*10%)+8250+((K13*150))</f>
        <v>727350</v>
      </c>
      <c r="N13" s="21">
        <f>L13*869</f>
        <v>17380</v>
      </c>
      <c r="O13" s="21">
        <f t="shared" si="4"/>
        <v>43064</v>
      </c>
      <c r="P13" s="21">
        <f t="shared" si="3"/>
        <v>22000</v>
      </c>
      <c r="Q13" s="14">
        <f t="shared" si="1"/>
        <v>809794</v>
      </c>
      <c r="R13" s="21">
        <v>809794</v>
      </c>
      <c r="S13" s="32" t="s">
        <v>291</v>
      </c>
      <c r="T13" s="30" t="s">
        <v>27</v>
      </c>
      <c r="U13" s="42"/>
      <c r="V13" s="39"/>
    </row>
    <row r="14" spans="1:22" hidden="1" x14ac:dyDescent="0.25">
      <c r="A14" s="6">
        <v>13</v>
      </c>
      <c r="B14" s="30" t="s">
        <v>296</v>
      </c>
      <c r="C14" s="26" t="s">
        <v>21</v>
      </c>
      <c r="D14" s="30" t="s">
        <v>297</v>
      </c>
      <c r="E14" s="30" t="s">
        <v>49</v>
      </c>
      <c r="F14" s="30" t="s">
        <v>21</v>
      </c>
      <c r="G14" s="30" t="s">
        <v>50</v>
      </c>
      <c r="H14" s="30" t="s">
        <v>25</v>
      </c>
      <c r="I14" s="36">
        <v>44259</v>
      </c>
      <c r="J14" s="30">
        <v>1</v>
      </c>
      <c r="K14" s="30">
        <v>10</v>
      </c>
      <c r="L14" s="30">
        <v>10</v>
      </c>
      <c r="M14" s="23">
        <f>((L14*30600)+(L14*30600)*10%)+8250+((0*150))</f>
        <v>344850</v>
      </c>
      <c r="N14" s="21">
        <f>L14*869</f>
        <v>8690</v>
      </c>
      <c r="O14" s="21">
        <f t="shared" si="4"/>
        <v>31532</v>
      </c>
      <c r="P14" s="21">
        <f t="shared" si="3"/>
        <v>11000</v>
      </c>
      <c r="Q14" s="14">
        <f t="shared" si="1"/>
        <v>396072</v>
      </c>
      <c r="R14" s="21">
        <v>396072</v>
      </c>
      <c r="S14" s="32" t="s">
        <v>524</v>
      </c>
      <c r="T14" s="30" t="s">
        <v>126</v>
      </c>
      <c r="U14" s="42"/>
      <c r="V14" s="39"/>
    </row>
    <row r="15" spans="1:22" hidden="1" x14ac:dyDescent="0.25">
      <c r="A15" s="6">
        <v>14</v>
      </c>
      <c r="B15" s="51" t="s">
        <v>298</v>
      </c>
      <c r="C15" s="26" t="s">
        <v>21</v>
      </c>
      <c r="D15" s="30" t="s">
        <v>175</v>
      </c>
      <c r="E15" s="30" t="s">
        <v>49</v>
      </c>
      <c r="F15" s="30" t="s">
        <v>21</v>
      </c>
      <c r="G15" s="30" t="s">
        <v>50</v>
      </c>
      <c r="H15" s="30" t="s">
        <v>25</v>
      </c>
      <c r="I15" s="36">
        <v>44259</v>
      </c>
      <c r="J15" s="30">
        <v>2</v>
      </c>
      <c r="K15" s="30">
        <v>10</v>
      </c>
      <c r="L15" s="30">
        <v>22</v>
      </c>
      <c r="M15" s="23">
        <f>((L15*30600)+(L15*30600)*10%)+8250+((0*150))</f>
        <v>748770</v>
      </c>
      <c r="N15" s="21">
        <f>L15*869</f>
        <v>19118</v>
      </c>
      <c r="O15" s="21">
        <f t="shared" si="4"/>
        <v>45370.400000000001</v>
      </c>
      <c r="P15" s="21">
        <f t="shared" si="3"/>
        <v>24200</v>
      </c>
      <c r="Q15" s="14">
        <f t="shared" si="1"/>
        <v>837458.4</v>
      </c>
      <c r="R15" s="21">
        <v>10118115</v>
      </c>
      <c r="S15" s="32" t="s">
        <v>303</v>
      </c>
      <c r="T15" s="30" t="s">
        <v>126</v>
      </c>
      <c r="U15" s="42"/>
      <c r="V15" s="39"/>
    </row>
    <row r="16" spans="1:22" hidden="1" x14ac:dyDescent="0.25">
      <c r="A16" s="6">
        <v>15</v>
      </c>
      <c r="B16" s="22" t="s">
        <v>299</v>
      </c>
      <c r="C16" s="8" t="s">
        <v>21</v>
      </c>
      <c r="D16" s="22" t="s">
        <v>30</v>
      </c>
      <c r="E16" s="22" t="s">
        <v>49</v>
      </c>
      <c r="F16" s="22" t="s">
        <v>21</v>
      </c>
      <c r="G16" s="22" t="s">
        <v>210</v>
      </c>
      <c r="H16" s="22" t="s">
        <v>300</v>
      </c>
      <c r="I16" s="36">
        <v>44260</v>
      </c>
      <c r="J16" s="22">
        <v>1</v>
      </c>
      <c r="K16" s="22">
        <v>18</v>
      </c>
      <c r="L16" s="22">
        <v>18</v>
      </c>
      <c r="M16" s="23">
        <f>((L16*8700)+(L16*8700)*10%)+8250+((0*150))</f>
        <v>180510</v>
      </c>
      <c r="N16" s="21">
        <f t="shared" ref="N16:N21" si="5">L16*869</f>
        <v>15642</v>
      </c>
      <c r="O16" s="21">
        <f t="shared" si="4"/>
        <v>40757.600000000006</v>
      </c>
      <c r="P16" s="14">
        <f>L16*2100</f>
        <v>37800</v>
      </c>
      <c r="Q16" s="14">
        <f t="shared" ref="Q16:Q46" si="6">SUM(M16:P16)</f>
        <v>274709.59999999998</v>
      </c>
      <c r="R16" s="21">
        <v>15127000</v>
      </c>
      <c r="S16" s="32" t="s">
        <v>411</v>
      </c>
      <c r="T16" s="30" t="s">
        <v>27</v>
      </c>
      <c r="U16" s="42" t="s">
        <v>312</v>
      </c>
      <c r="V16" s="39" t="s">
        <v>310</v>
      </c>
    </row>
    <row r="17" spans="1:22" hidden="1" x14ac:dyDescent="0.25">
      <c r="A17" s="6">
        <v>16</v>
      </c>
      <c r="B17" s="22" t="s">
        <v>317</v>
      </c>
      <c r="C17" s="8" t="s">
        <v>21</v>
      </c>
      <c r="D17" s="22" t="s">
        <v>53</v>
      </c>
      <c r="E17" s="22" t="s">
        <v>49</v>
      </c>
      <c r="F17" s="22" t="s">
        <v>318</v>
      </c>
      <c r="G17" s="22" t="s">
        <v>50</v>
      </c>
      <c r="H17" s="22" t="s">
        <v>25</v>
      </c>
      <c r="I17" s="59">
        <v>44261</v>
      </c>
      <c r="J17" s="22">
        <v>2</v>
      </c>
      <c r="K17" s="22">
        <v>30</v>
      </c>
      <c r="L17" s="22">
        <v>30</v>
      </c>
      <c r="M17" s="23">
        <f>((L17*30600)+(L17*30600)*10%)+8250+((0*150))</f>
        <v>1018050</v>
      </c>
      <c r="N17" s="21">
        <f t="shared" si="5"/>
        <v>26070</v>
      </c>
      <c r="O17" s="21">
        <f>(L17*1153)+20000</f>
        <v>54590</v>
      </c>
      <c r="P17" s="21">
        <f>L17*500</f>
        <v>15000</v>
      </c>
      <c r="Q17" s="14">
        <f t="shared" si="6"/>
        <v>1113710</v>
      </c>
      <c r="R17" s="21">
        <v>13009932</v>
      </c>
      <c r="S17" s="32" t="s">
        <v>422</v>
      </c>
      <c r="T17" s="30" t="s">
        <v>27</v>
      </c>
      <c r="U17" s="56" t="s">
        <v>325</v>
      </c>
      <c r="V17" s="39" t="s">
        <v>401</v>
      </c>
    </row>
    <row r="18" spans="1:22" hidden="1" x14ac:dyDescent="0.25">
      <c r="A18" s="6">
        <v>17</v>
      </c>
      <c r="B18" s="22" t="s">
        <v>319</v>
      </c>
      <c r="C18" s="8" t="s">
        <v>21</v>
      </c>
      <c r="D18" s="22" t="s">
        <v>175</v>
      </c>
      <c r="E18" s="22" t="s">
        <v>49</v>
      </c>
      <c r="F18" s="22" t="s">
        <v>21</v>
      </c>
      <c r="G18" s="22" t="s">
        <v>50</v>
      </c>
      <c r="H18" s="22" t="s">
        <v>25</v>
      </c>
      <c r="I18" s="59">
        <v>44261</v>
      </c>
      <c r="J18" s="22">
        <v>2</v>
      </c>
      <c r="K18" s="22">
        <v>13</v>
      </c>
      <c r="L18" s="22">
        <v>24</v>
      </c>
      <c r="M18" s="23">
        <f>((L18*30600)+(L18*30600)*10%)+8250+((0*150))</f>
        <v>816090</v>
      </c>
      <c r="N18" s="21">
        <f t="shared" si="5"/>
        <v>20856</v>
      </c>
      <c r="O18" s="21">
        <f>(L18*1153.2)+20000</f>
        <v>47676.800000000003</v>
      </c>
      <c r="P18" s="21">
        <f>L18*1100</f>
        <v>26400</v>
      </c>
      <c r="Q18" s="14">
        <f t="shared" si="6"/>
        <v>911022.8</v>
      </c>
      <c r="R18" s="21">
        <v>6079736</v>
      </c>
      <c r="S18" s="32" t="s">
        <v>643</v>
      </c>
      <c r="T18" s="30" t="s">
        <v>126</v>
      </c>
      <c r="U18" s="56" t="s">
        <v>325</v>
      </c>
      <c r="V18" s="39" t="s">
        <v>434</v>
      </c>
    </row>
    <row r="19" spans="1:22" hidden="1" x14ac:dyDescent="0.25">
      <c r="A19" s="6">
        <v>18</v>
      </c>
      <c r="B19" s="22" t="s">
        <v>320</v>
      </c>
      <c r="C19" s="8" t="s">
        <v>21</v>
      </c>
      <c r="D19" s="22" t="s">
        <v>321</v>
      </c>
      <c r="E19" s="22" t="s">
        <v>49</v>
      </c>
      <c r="F19" s="22" t="s">
        <v>21</v>
      </c>
      <c r="G19" s="22" t="s">
        <v>184</v>
      </c>
      <c r="H19" s="22" t="s">
        <v>25</v>
      </c>
      <c r="I19" s="59">
        <v>44261</v>
      </c>
      <c r="J19" s="22">
        <v>1</v>
      </c>
      <c r="K19" s="22">
        <v>10</v>
      </c>
      <c r="L19" s="22">
        <v>10</v>
      </c>
      <c r="M19" s="23">
        <f>((L19*16800)+(L19*16800)*10%)+8250+((0*150))</f>
        <v>193050</v>
      </c>
      <c r="N19" s="23">
        <f t="shared" si="5"/>
        <v>8690</v>
      </c>
      <c r="O19" s="23">
        <f>(L19*1153.2)+20000</f>
        <v>31532</v>
      </c>
      <c r="P19" s="23">
        <f>L19*1100</f>
        <v>11000</v>
      </c>
      <c r="Q19" s="14">
        <f t="shared" si="6"/>
        <v>244272</v>
      </c>
      <c r="R19" s="21">
        <v>244270</v>
      </c>
      <c r="S19" s="32" t="s">
        <v>327</v>
      </c>
      <c r="T19" s="30" t="s">
        <v>27</v>
      </c>
      <c r="U19" s="56"/>
      <c r="V19" s="39"/>
    </row>
    <row r="20" spans="1:22" x14ac:dyDescent="0.25">
      <c r="A20" s="6">
        <v>19</v>
      </c>
      <c r="B20" s="22" t="s">
        <v>322</v>
      </c>
      <c r="C20" s="8" t="s">
        <v>21</v>
      </c>
      <c r="D20" s="22" t="s">
        <v>53</v>
      </c>
      <c r="E20" s="22" t="s">
        <v>49</v>
      </c>
      <c r="F20" s="22" t="s">
        <v>21</v>
      </c>
      <c r="G20" s="22" t="s">
        <v>50</v>
      </c>
      <c r="H20" s="22" t="s">
        <v>25</v>
      </c>
      <c r="I20" s="59">
        <v>44262</v>
      </c>
      <c r="J20" s="22">
        <v>1</v>
      </c>
      <c r="K20" s="22">
        <v>20</v>
      </c>
      <c r="L20" s="22">
        <v>20</v>
      </c>
      <c r="M20" s="23">
        <f>((L20*30600)+(L20*30600)*10%)+8250+((0*150))</f>
        <v>681450</v>
      </c>
      <c r="N20" s="23">
        <f t="shared" si="5"/>
        <v>17380</v>
      </c>
      <c r="O20" s="23">
        <f>(L20*1153.2)+20000</f>
        <v>43064</v>
      </c>
      <c r="P20" s="23">
        <f>L20*1100</f>
        <v>22000</v>
      </c>
      <c r="Q20" s="14">
        <f t="shared" si="6"/>
        <v>763894</v>
      </c>
      <c r="R20" s="30" t="s">
        <v>94</v>
      </c>
      <c r="S20" s="30" t="s">
        <v>94</v>
      </c>
      <c r="T20" s="30" t="s">
        <v>94</v>
      </c>
      <c r="U20" s="56" t="s">
        <v>326</v>
      </c>
      <c r="V20" s="39" t="s">
        <v>397</v>
      </c>
    </row>
    <row r="21" spans="1:22" hidden="1" x14ac:dyDescent="0.25">
      <c r="A21" s="6">
        <v>20</v>
      </c>
      <c r="B21" s="22" t="s">
        <v>323</v>
      </c>
      <c r="C21" s="8" t="s">
        <v>21</v>
      </c>
      <c r="D21" s="22" t="s">
        <v>324</v>
      </c>
      <c r="E21" s="22" t="s">
        <v>49</v>
      </c>
      <c r="F21" s="22" t="s">
        <v>21</v>
      </c>
      <c r="G21" s="22" t="s">
        <v>24</v>
      </c>
      <c r="H21" s="22" t="s">
        <v>25</v>
      </c>
      <c r="I21" s="60">
        <v>44265</v>
      </c>
      <c r="J21" s="22">
        <v>1</v>
      </c>
      <c r="K21" s="22">
        <v>12</v>
      </c>
      <c r="L21" s="22">
        <v>12</v>
      </c>
      <c r="M21" s="23">
        <f>((L21*32550)+(L21*32550)*10%)+8250+((L21*150))</f>
        <v>439710</v>
      </c>
      <c r="N21" s="21">
        <f t="shared" si="5"/>
        <v>10428</v>
      </c>
      <c r="O21" s="21">
        <f>(L21*1153.2)+20000</f>
        <v>33838.400000000001</v>
      </c>
      <c r="P21" s="21">
        <f>L21*1100</f>
        <v>13200</v>
      </c>
      <c r="Q21" s="14">
        <f t="shared" si="6"/>
        <v>497176.4</v>
      </c>
      <c r="R21" s="21">
        <v>497176</v>
      </c>
      <c r="S21" s="32" t="s">
        <v>307</v>
      </c>
      <c r="T21" s="30" t="s">
        <v>27</v>
      </c>
      <c r="U21" s="56"/>
      <c r="V21" s="39"/>
    </row>
    <row r="22" spans="1:22" hidden="1" x14ac:dyDescent="0.25">
      <c r="A22" s="6">
        <v>21</v>
      </c>
      <c r="B22" s="62" t="s">
        <v>328</v>
      </c>
      <c r="C22" s="63" t="s">
        <v>29</v>
      </c>
      <c r="D22" s="62" t="s">
        <v>329</v>
      </c>
      <c r="E22" s="62" t="s">
        <v>49</v>
      </c>
      <c r="F22" s="62" t="s">
        <v>29</v>
      </c>
      <c r="G22" s="62" t="s">
        <v>112</v>
      </c>
      <c r="H22" s="62" t="s">
        <v>113</v>
      </c>
      <c r="I22" s="64">
        <v>44266</v>
      </c>
      <c r="J22" s="62">
        <v>3</v>
      </c>
      <c r="K22" s="62">
        <v>63</v>
      </c>
      <c r="L22" s="62">
        <v>63</v>
      </c>
      <c r="M22" s="14">
        <f>((L22*40800)+(L22*40800)*10%)+8250+((K22*150))</f>
        <v>2845140</v>
      </c>
      <c r="N22" s="14">
        <f t="shared" ref="N22:N28" si="7">L22*1210</f>
        <v>76230</v>
      </c>
      <c r="O22" s="14">
        <f t="shared" ref="O22:O28" si="8">(L22*1850.2)+3000</f>
        <v>119562.6</v>
      </c>
      <c r="P22" s="14">
        <f>L22*1100</f>
        <v>69300</v>
      </c>
      <c r="Q22" s="14">
        <f t="shared" si="6"/>
        <v>3110232.6</v>
      </c>
      <c r="R22" s="21">
        <v>3110233</v>
      </c>
      <c r="S22" s="32" t="s">
        <v>306</v>
      </c>
      <c r="T22" s="30" t="s">
        <v>27</v>
      </c>
      <c r="U22" s="39"/>
      <c r="V22" s="39"/>
    </row>
    <row r="23" spans="1:22" hidden="1" x14ac:dyDescent="0.25">
      <c r="A23" s="6">
        <v>22</v>
      </c>
      <c r="B23" s="22" t="s">
        <v>330</v>
      </c>
      <c r="C23" s="8" t="s">
        <v>29</v>
      </c>
      <c r="D23" s="22" t="s">
        <v>30</v>
      </c>
      <c r="E23" s="22" t="s">
        <v>49</v>
      </c>
      <c r="F23" s="22" t="s">
        <v>29</v>
      </c>
      <c r="G23" s="22" t="s">
        <v>35</v>
      </c>
      <c r="H23" s="22" t="s">
        <v>331</v>
      </c>
      <c r="I23" s="59">
        <v>44266</v>
      </c>
      <c r="J23" s="22">
        <v>2</v>
      </c>
      <c r="K23" s="22">
        <v>36</v>
      </c>
      <c r="L23" s="22">
        <v>36</v>
      </c>
      <c r="M23" s="14">
        <f>((L23*9200)+(L23*9200)*10%)+8250+((0*150))</f>
        <v>372570</v>
      </c>
      <c r="N23" s="14">
        <f t="shared" si="7"/>
        <v>43560</v>
      </c>
      <c r="O23" s="14">
        <f t="shared" si="8"/>
        <v>69607.199999999997</v>
      </c>
      <c r="P23" s="14">
        <f t="shared" ref="P23:P28" si="9">L23*2100</f>
        <v>75600</v>
      </c>
      <c r="Q23" s="14">
        <f t="shared" si="6"/>
        <v>561337.19999999995</v>
      </c>
      <c r="R23" s="21">
        <v>16999500</v>
      </c>
      <c r="S23" s="32" t="s">
        <v>442</v>
      </c>
      <c r="T23" s="30" t="s">
        <v>126</v>
      </c>
      <c r="U23" s="42" t="s">
        <v>342</v>
      </c>
      <c r="V23" s="39" t="s">
        <v>431</v>
      </c>
    </row>
    <row r="24" spans="1:22" hidden="1" x14ac:dyDescent="0.25">
      <c r="A24" s="6">
        <v>23</v>
      </c>
      <c r="B24" s="22" t="s">
        <v>332</v>
      </c>
      <c r="C24" s="8" t="s">
        <v>29</v>
      </c>
      <c r="D24" s="22" t="s">
        <v>30</v>
      </c>
      <c r="E24" s="22" t="s">
        <v>49</v>
      </c>
      <c r="F24" s="22" t="s">
        <v>29</v>
      </c>
      <c r="G24" s="22" t="s">
        <v>40</v>
      </c>
      <c r="H24" s="22" t="s">
        <v>244</v>
      </c>
      <c r="I24" s="59">
        <v>44266</v>
      </c>
      <c r="J24" s="22">
        <v>2</v>
      </c>
      <c r="K24" s="22">
        <v>36</v>
      </c>
      <c r="L24" s="22">
        <v>36</v>
      </c>
      <c r="M24" s="14">
        <f>((L24*6000)+(L24*6000)*10%)+8250+((L24*150))</f>
        <v>251250</v>
      </c>
      <c r="N24" s="14">
        <f t="shared" si="7"/>
        <v>43560</v>
      </c>
      <c r="O24" s="14">
        <f t="shared" si="8"/>
        <v>69607.199999999997</v>
      </c>
      <c r="P24" s="14">
        <f t="shared" si="9"/>
        <v>75600</v>
      </c>
      <c r="Q24" s="14">
        <f t="shared" si="6"/>
        <v>440017.2</v>
      </c>
      <c r="R24" s="21">
        <v>16999500</v>
      </c>
      <c r="S24" s="32" t="s">
        <v>442</v>
      </c>
      <c r="T24" s="30" t="s">
        <v>126</v>
      </c>
      <c r="U24" s="42" t="s">
        <v>342</v>
      </c>
      <c r="V24" s="39" t="s">
        <v>431</v>
      </c>
    </row>
    <row r="25" spans="1:22" hidden="1" x14ac:dyDescent="0.25">
      <c r="A25" s="6">
        <v>24</v>
      </c>
      <c r="B25" s="22" t="s">
        <v>333</v>
      </c>
      <c r="C25" s="8" t="s">
        <v>29</v>
      </c>
      <c r="D25" s="22" t="s">
        <v>30</v>
      </c>
      <c r="E25" s="22" t="s">
        <v>49</v>
      </c>
      <c r="F25" s="22" t="s">
        <v>29</v>
      </c>
      <c r="G25" s="22" t="s">
        <v>184</v>
      </c>
      <c r="H25" s="22" t="s">
        <v>334</v>
      </c>
      <c r="I25" s="59">
        <v>44266</v>
      </c>
      <c r="J25" s="22">
        <v>1</v>
      </c>
      <c r="K25" s="22">
        <v>22</v>
      </c>
      <c r="L25" s="22">
        <v>22</v>
      </c>
      <c r="M25" s="14">
        <f>((L25*13500)+(L25*13500)*10%)+8250+((0*150))</f>
        <v>334950</v>
      </c>
      <c r="N25" s="14">
        <f t="shared" si="7"/>
        <v>26620</v>
      </c>
      <c r="O25" s="14">
        <f t="shared" si="8"/>
        <v>43704.4</v>
      </c>
      <c r="P25" s="14">
        <f t="shared" si="9"/>
        <v>46200</v>
      </c>
      <c r="Q25" s="14">
        <f t="shared" si="6"/>
        <v>451474.4</v>
      </c>
      <c r="R25" s="21">
        <v>16999500</v>
      </c>
      <c r="S25" s="32" t="s">
        <v>442</v>
      </c>
      <c r="T25" s="30" t="s">
        <v>126</v>
      </c>
      <c r="U25" s="42" t="s">
        <v>342</v>
      </c>
      <c r="V25" s="39" t="s">
        <v>431</v>
      </c>
    </row>
    <row r="26" spans="1:22" hidden="1" x14ac:dyDescent="0.25">
      <c r="A26" s="6">
        <v>25</v>
      </c>
      <c r="B26" s="22" t="s">
        <v>335</v>
      </c>
      <c r="C26" s="8" t="s">
        <v>29</v>
      </c>
      <c r="D26" s="22" t="s">
        <v>30</v>
      </c>
      <c r="E26" s="22" t="s">
        <v>49</v>
      </c>
      <c r="F26" s="22" t="s">
        <v>29</v>
      </c>
      <c r="G26" s="22" t="s">
        <v>166</v>
      </c>
      <c r="H26" s="22" t="s">
        <v>336</v>
      </c>
      <c r="I26" s="59">
        <v>44266</v>
      </c>
      <c r="J26" s="22">
        <v>2</v>
      </c>
      <c r="K26" s="22">
        <v>36</v>
      </c>
      <c r="L26" s="22">
        <v>52</v>
      </c>
      <c r="M26" s="14">
        <f>((L26*8500)+(L26*8500)*10%)+8250+((0*150))</f>
        <v>494450</v>
      </c>
      <c r="N26" s="14">
        <f t="shared" si="7"/>
        <v>62920</v>
      </c>
      <c r="O26" s="14">
        <f t="shared" si="8"/>
        <v>99210.400000000009</v>
      </c>
      <c r="P26" s="14">
        <f t="shared" si="9"/>
        <v>109200</v>
      </c>
      <c r="Q26" s="14">
        <f t="shared" si="6"/>
        <v>765780.4</v>
      </c>
      <c r="R26" s="21">
        <v>16999500</v>
      </c>
      <c r="S26" s="32" t="s">
        <v>442</v>
      </c>
      <c r="T26" s="30" t="s">
        <v>126</v>
      </c>
      <c r="U26" s="42" t="s">
        <v>342</v>
      </c>
      <c r="V26" s="39" t="s">
        <v>431</v>
      </c>
    </row>
    <row r="27" spans="1:22" hidden="1" x14ac:dyDescent="0.25">
      <c r="A27" s="6">
        <v>26</v>
      </c>
      <c r="B27" s="22" t="s">
        <v>337</v>
      </c>
      <c r="C27" s="8" t="s">
        <v>29</v>
      </c>
      <c r="D27" s="22" t="s">
        <v>30</v>
      </c>
      <c r="E27" s="22" t="s">
        <v>49</v>
      </c>
      <c r="F27" s="22" t="s">
        <v>29</v>
      </c>
      <c r="G27" s="22" t="s">
        <v>171</v>
      </c>
      <c r="H27" s="22" t="s">
        <v>338</v>
      </c>
      <c r="I27" s="59">
        <v>44266</v>
      </c>
      <c r="J27" s="22">
        <v>4</v>
      </c>
      <c r="K27" s="22">
        <v>107</v>
      </c>
      <c r="L27" s="22">
        <v>107</v>
      </c>
      <c r="M27" s="14">
        <f>((L27*11000)+(L27*11000)*10%)+8250+((0*150))</f>
        <v>1302950</v>
      </c>
      <c r="N27" s="14">
        <f t="shared" si="7"/>
        <v>129470</v>
      </c>
      <c r="O27" s="14">
        <f t="shared" si="8"/>
        <v>200971.4</v>
      </c>
      <c r="P27" s="14">
        <f t="shared" si="9"/>
        <v>224700</v>
      </c>
      <c r="Q27" s="14">
        <f t="shared" si="6"/>
        <v>1858091.4</v>
      </c>
      <c r="R27" s="21">
        <v>16999500</v>
      </c>
      <c r="S27" s="32" t="s">
        <v>442</v>
      </c>
      <c r="T27" s="30" t="s">
        <v>126</v>
      </c>
      <c r="U27" s="42" t="s">
        <v>342</v>
      </c>
      <c r="V27" s="39" t="s">
        <v>431</v>
      </c>
    </row>
    <row r="28" spans="1:22" hidden="1" x14ac:dyDescent="0.25">
      <c r="A28" s="6">
        <v>27</v>
      </c>
      <c r="B28" s="22" t="s">
        <v>339</v>
      </c>
      <c r="C28" s="8" t="s">
        <v>29</v>
      </c>
      <c r="D28" s="22" t="s">
        <v>30</v>
      </c>
      <c r="E28" s="22" t="s">
        <v>49</v>
      </c>
      <c r="F28" s="22" t="s">
        <v>29</v>
      </c>
      <c r="G28" s="22" t="s">
        <v>79</v>
      </c>
      <c r="H28" s="22" t="s">
        <v>89</v>
      </c>
      <c r="I28" s="59">
        <v>44266</v>
      </c>
      <c r="J28" s="22">
        <v>3</v>
      </c>
      <c r="K28" s="22">
        <v>72</v>
      </c>
      <c r="L28" s="22">
        <v>72</v>
      </c>
      <c r="M28" s="14">
        <f>((L28*15000)+(L28*15000)*10%)+8250+((0*150))</f>
        <v>1196250</v>
      </c>
      <c r="N28" s="14">
        <f t="shared" si="7"/>
        <v>87120</v>
      </c>
      <c r="O28" s="14">
        <f t="shared" si="8"/>
        <v>136214.39999999999</v>
      </c>
      <c r="P28" s="14">
        <f t="shared" si="9"/>
        <v>151200</v>
      </c>
      <c r="Q28" s="14">
        <f t="shared" si="6"/>
        <v>1570784.4</v>
      </c>
      <c r="R28" s="21">
        <v>16999500</v>
      </c>
      <c r="S28" s="32" t="s">
        <v>442</v>
      </c>
      <c r="T28" s="30" t="s">
        <v>126</v>
      </c>
      <c r="U28" s="42" t="s">
        <v>342</v>
      </c>
      <c r="V28" s="39" t="s">
        <v>431</v>
      </c>
    </row>
    <row r="29" spans="1:22" x14ac:dyDescent="0.25">
      <c r="A29" s="6">
        <v>28</v>
      </c>
      <c r="B29" s="22" t="s">
        <v>343</v>
      </c>
      <c r="C29" s="8" t="s">
        <v>21</v>
      </c>
      <c r="D29" s="22" t="s">
        <v>344</v>
      </c>
      <c r="E29" s="22" t="s">
        <v>49</v>
      </c>
      <c r="F29" s="22" t="s">
        <v>21</v>
      </c>
      <c r="G29" s="22" t="s">
        <v>79</v>
      </c>
      <c r="H29" s="22" t="s">
        <v>200</v>
      </c>
      <c r="I29" s="59">
        <v>44268</v>
      </c>
      <c r="J29" s="22">
        <v>1</v>
      </c>
      <c r="K29" s="22">
        <v>15</v>
      </c>
      <c r="L29" s="22">
        <v>15</v>
      </c>
      <c r="M29" s="23">
        <f>((L29*12500)+(L29*12500)*10%)+8250+((0*150))</f>
        <v>214500</v>
      </c>
      <c r="N29" s="21">
        <f>L29*869</f>
        <v>13035</v>
      </c>
      <c r="O29" s="21">
        <f>(L29*1153.2)+20000</f>
        <v>37298</v>
      </c>
      <c r="P29" s="21">
        <f>L29*1100</f>
        <v>16500</v>
      </c>
      <c r="Q29" s="14">
        <f t="shared" si="6"/>
        <v>281333</v>
      </c>
      <c r="R29" s="30" t="s">
        <v>94</v>
      </c>
      <c r="S29" s="30" t="s">
        <v>94</v>
      </c>
      <c r="T29" s="30" t="s">
        <v>94</v>
      </c>
      <c r="U29" s="56" t="s">
        <v>360</v>
      </c>
      <c r="V29" s="39" t="s">
        <v>363</v>
      </c>
    </row>
    <row r="30" spans="1:22" hidden="1" x14ac:dyDescent="0.25">
      <c r="A30" s="6">
        <v>29</v>
      </c>
      <c r="B30" s="22" t="s">
        <v>345</v>
      </c>
      <c r="C30" s="8" t="s">
        <v>21</v>
      </c>
      <c r="D30" s="22" t="s">
        <v>346</v>
      </c>
      <c r="E30" s="22" t="s">
        <v>49</v>
      </c>
      <c r="F30" s="22" t="s">
        <v>21</v>
      </c>
      <c r="G30" s="22" t="s">
        <v>79</v>
      </c>
      <c r="H30" s="22" t="s">
        <v>200</v>
      </c>
      <c r="I30" s="59">
        <v>44268</v>
      </c>
      <c r="J30" s="22">
        <v>1</v>
      </c>
      <c r="K30" s="22">
        <v>14</v>
      </c>
      <c r="L30" s="22">
        <v>14</v>
      </c>
      <c r="M30" s="23">
        <f>((L30*12500)+(L30*12500)*10%)+8250+((0*150))</f>
        <v>200750</v>
      </c>
      <c r="N30" s="21">
        <f>L30*869</f>
        <v>12166</v>
      </c>
      <c r="O30" s="21">
        <f>(L30*1153.2)+20000</f>
        <v>36144.800000000003</v>
      </c>
      <c r="P30" s="21">
        <f>L30*1100</f>
        <v>15400</v>
      </c>
      <c r="Q30" s="14">
        <f t="shared" si="6"/>
        <v>264460.79999999999</v>
      </c>
      <c r="R30" s="21">
        <v>1718030</v>
      </c>
      <c r="S30" s="32" t="s">
        <v>441</v>
      </c>
      <c r="T30" s="30" t="s">
        <v>27</v>
      </c>
      <c r="U30" s="56" t="s">
        <v>360</v>
      </c>
      <c r="V30" s="39" t="s">
        <v>363</v>
      </c>
    </row>
    <row r="31" spans="1:22" hidden="1" x14ac:dyDescent="0.25">
      <c r="A31" s="6">
        <v>30</v>
      </c>
      <c r="B31" s="65" t="s">
        <v>347</v>
      </c>
      <c r="C31" s="8" t="s">
        <v>21</v>
      </c>
      <c r="D31" s="22" t="s">
        <v>349</v>
      </c>
      <c r="E31" s="22" t="s">
        <v>49</v>
      </c>
      <c r="F31" s="22" t="s">
        <v>21</v>
      </c>
      <c r="G31" s="22" t="s">
        <v>104</v>
      </c>
      <c r="H31" s="65" t="s">
        <v>348</v>
      </c>
      <c r="I31" s="59">
        <v>44269</v>
      </c>
      <c r="J31" s="65">
        <v>2</v>
      </c>
      <c r="K31" s="65">
        <v>19</v>
      </c>
      <c r="L31" s="65">
        <v>19</v>
      </c>
      <c r="M31" s="23">
        <f>((L31*35800)+(L31*35800)*10%)+8250+((L31*150))</f>
        <v>759320</v>
      </c>
      <c r="N31" s="21">
        <f>L31*869</f>
        <v>16511</v>
      </c>
      <c r="O31" s="21">
        <f>(L31*1153.2)+20000</f>
        <v>41910.800000000003</v>
      </c>
      <c r="P31" s="21">
        <f>L31*1100</f>
        <v>20900</v>
      </c>
      <c r="Q31" s="14">
        <f t="shared" si="6"/>
        <v>838641.8</v>
      </c>
      <c r="R31" s="21">
        <v>838642</v>
      </c>
      <c r="S31" s="32" t="s">
        <v>423</v>
      </c>
      <c r="T31" s="30" t="s">
        <v>126</v>
      </c>
      <c r="U31" s="56" t="s">
        <v>361</v>
      </c>
      <c r="V31" s="39"/>
    </row>
    <row r="32" spans="1:22" hidden="1" x14ac:dyDescent="0.25">
      <c r="A32" s="6">
        <v>31</v>
      </c>
      <c r="B32" s="22" t="s">
        <v>350</v>
      </c>
      <c r="C32" s="8" t="s">
        <v>29</v>
      </c>
      <c r="D32" s="22" t="s">
        <v>30</v>
      </c>
      <c r="E32" s="22" t="s">
        <v>49</v>
      </c>
      <c r="F32" s="22" t="s">
        <v>29</v>
      </c>
      <c r="G32" s="22" t="s">
        <v>31</v>
      </c>
      <c r="H32" s="22" t="s">
        <v>351</v>
      </c>
      <c r="I32" s="59">
        <v>44268</v>
      </c>
      <c r="J32" s="22">
        <v>1</v>
      </c>
      <c r="K32" s="22">
        <v>5</v>
      </c>
      <c r="L32" s="22">
        <v>11</v>
      </c>
      <c r="M32" s="14">
        <f>((L32*6000)+(L32*6000)*10%)+8250+((K32*150))</f>
        <v>81600</v>
      </c>
      <c r="N32" s="14">
        <f t="shared" ref="N32:N47" si="10">L32*1210</f>
        <v>13310</v>
      </c>
      <c r="O32" s="14">
        <f>(L32*1850.2)+3000</f>
        <v>23352.2</v>
      </c>
      <c r="P32" s="14">
        <f>L32*2100</f>
        <v>23100</v>
      </c>
      <c r="Q32" s="14">
        <f t="shared" si="6"/>
        <v>141362.20000000001</v>
      </c>
      <c r="R32" s="21">
        <v>16999500</v>
      </c>
      <c r="S32" s="32" t="s">
        <v>442</v>
      </c>
      <c r="T32" s="30" t="s">
        <v>126</v>
      </c>
      <c r="U32" s="56" t="s">
        <v>360</v>
      </c>
      <c r="V32" s="39" t="s">
        <v>363</v>
      </c>
    </row>
    <row r="33" spans="1:22" hidden="1" x14ac:dyDescent="0.25">
      <c r="A33" s="6">
        <v>32</v>
      </c>
      <c r="B33" s="22" t="s">
        <v>352</v>
      </c>
      <c r="C33" s="8" t="s">
        <v>29</v>
      </c>
      <c r="D33" s="22" t="s">
        <v>30</v>
      </c>
      <c r="E33" s="22" t="s">
        <v>49</v>
      </c>
      <c r="F33" s="22" t="s">
        <v>29</v>
      </c>
      <c r="G33" s="22" t="s">
        <v>171</v>
      </c>
      <c r="H33" s="22" t="s">
        <v>338</v>
      </c>
      <c r="I33" s="59">
        <v>44268</v>
      </c>
      <c r="J33" s="22">
        <v>1</v>
      </c>
      <c r="K33" s="22">
        <v>8</v>
      </c>
      <c r="L33" s="22">
        <v>10</v>
      </c>
      <c r="M33" s="14">
        <f>((L33*11000)+(L33*11000)*10%)+8250+((0*150))</f>
        <v>129250</v>
      </c>
      <c r="N33" s="14">
        <f t="shared" si="10"/>
        <v>12100</v>
      </c>
      <c r="O33" s="14">
        <f>(L33*1850.2)+3000</f>
        <v>21502</v>
      </c>
      <c r="P33" s="14">
        <f>L33*2100</f>
        <v>21000</v>
      </c>
      <c r="Q33" s="14">
        <f t="shared" si="6"/>
        <v>183852</v>
      </c>
      <c r="R33" s="21">
        <v>16999500</v>
      </c>
      <c r="S33" s="32" t="s">
        <v>442</v>
      </c>
      <c r="T33" s="30" t="s">
        <v>126</v>
      </c>
      <c r="U33" s="56" t="s">
        <v>360</v>
      </c>
      <c r="V33" s="39" t="s">
        <v>363</v>
      </c>
    </row>
    <row r="34" spans="1:22" hidden="1" x14ac:dyDescent="0.25">
      <c r="A34" s="6">
        <v>33</v>
      </c>
      <c r="B34" s="22" t="s">
        <v>353</v>
      </c>
      <c r="C34" s="8" t="s">
        <v>29</v>
      </c>
      <c r="D34" s="22" t="s">
        <v>30</v>
      </c>
      <c r="E34" s="22" t="s">
        <v>49</v>
      </c>
      <c r="F34" s="22" t="s">
        <v>29</v>
      </c>
      <c r="G34" s="22" t="s">
        <v>166</v>
      </c>
      <c r="H34" s="22" t="s">
        <v>336</v>
      </c>
      <c r="I34" s="59">
        <v>44268</v>
      </c>
      <c r="J34" s="22">
        <v>2</v>
      </c>
      <c r="K34" s="22">
        <v>40</v>
      </c>
      <c r="L34" s="22">
        <v>41</v>
      </c>
      <c r="M34" s="14">
        <f>((L34*8500)+(L34*8500)*10%)+8250+((0*150))</f>
        <v>391600</v>
      </c>
      <c r="N34" s="14">
        <f t="shared" si="10"/>
        <v>49610</v>
      </c>
      <c r="O34" s="14">
        <f>(L34*1850.2)+3000</f>
        <v>78858.2</v>
      </c>
      <c r="P34" s="14">
        <f>L34*2100</f>
        <v>86100</v>
      </c>
      <c r="Q34" s="14">
        <f t="shared" si="6"/>
        <v>606168.19999999995</v>
      </c>
      <c r="R34" s="21">
        <v>16999500</v>
      </c>
      <c r="S34" s="32" t="s">
        <v>442</v>
      </c>
      <c r="T34" s="30" t="s">
        <v>126</v>
      </c>
      <c r="U34" s="56" t="s">
        <v>360</v>
      </c>
      <c r="V34" s="39" t="s">
        <v>363</v>
      </c>
    </row>
    <row r="35" spans="1:22" hidden="1" x14ac:dyDescent="0.25">
      <c r="A35" s="6">
        <v>34</v>
      </c>
      <c r="B35" s="22" t="s">
        <v>354</v>
      </c>
      <c r="C35" s="8" t="s">
        <v>29</v>
      </c>
      <c r="D35" s="22" t="s">
        <v>355</v>
      </c>
      <c r="E35" s="22" t="s">
        <v>49</v>
      </c>
      <c r="F35" s="22" t="s">
        <v>29</v>
      </c>
      <c r="G35" s="22" t="s">
        <v>235</v>
      </c>
      <c r="H35" s="22" t="s">
        <v>236</v>
      </c>
      <c r="I35" s="59">
        <v>44269</v>
      </c>
      <c r="J35" s="22">
        <v>1</v>
      </c>
      <c r="K35" s="22">
        <v>4</v>
      </c>
      <c r="L35" s="22">
        <v>12</v>
      </c>
      <c r="M35" s="14">
        <f>((L35*35000)+(L35*35000)*10%)+8250+((K35*150))</f>
        <v>470850</v>
      </c>
      <c r="N35" s="14">
        <f t="shared" si="10"/>
        <v>14520</v>
      </c>
      <c r="O35" s="14">
        <f>(L35*1850.2)+3000</f>
        <v>25202.400000000001</v>
      </c>
      <c r="P35" s="14">
        <f>L35*1100</f>
        <v>13200</v>
      </c>
      <c r="Q35" s="14">
        <f t="shared" si="6"/>
        <v>523772.4</v>
      </c>
      <c r="R35" s="21">
        <v>524927</v>
      </c>
      <c r="S35" s="32" t="s">
        <v>402</v>
      </c>
      <c r="T35" s="30" t="s">
        <v>126</v>
      </c>
      <c r="U35" s="56" t="s">
        <v>361</v>
      </c>
      <c r="V35" s="39"/>
    </row>
    <row r="36" spans="1:22" hidden="1" x14ac:dyDescent="0.25">
      <c r="A36" s="6">
        <v>35</v>
      </c>
      <c r="B36" s="22" t="s">
        <v>356</v>
      </c>
      <c r="C36" s="8" t="s">
        <v>29</v>
      </c>
      <c r="D36" s="22" t="s">
        <v>30</v>
      </c>
      <c r="E36" s="22" t="s">
        <v>49</v>
      </c>
      <c r="F36" s="22" t="s">
        <v>29</v>
      </c>
      <c r="G36" s="22" t="s">
        <v>231</v>
      </c>
      <c r="H36" s="22" t="s">
        <v>80</v>
      </c>
      <c r="I36" s="59">
        <v>44269</v>
      </c>
      <c r="J36" s="22">
        <v>1</v>
      </c>
      <c r="K36" s="22">
        <v>2</v>
      </c>
      <c r="L36" s="22">
        <v>10</v>
      </c>
      <c r="M36" s="14">
        <f>((L36*23500)+(L36*23500)*10%)+8250+((0*150))</f>
        <v>266750</v>
      </c>
      <c r="N36" s="14">
        <f t="shared" si="10"/>
        <v>12100</v>
      </c>
      <c r="O36" s="14">
        <f>(L36*1850.2)+3000</f>
        <v>21502</v>
      </c>
      <c r="P36" s="14">
        <f>L36*2100</f>
        <v>21000</v>
      </c>
      <c r="Q36" s="14">
        <f t="shared" si="6"/>
        <v>321352</v>
      </c>
      <c r="R36" s="21">
        <v>16999500</v>
      </c>
      <c r="S36" s="32" t="s">
        <v>442</v>
      </c>
      <c r="T36" s="30" t="s">
        <v>126</v>
      </c>
      <c r="U36" s="56" t="s">
        <v>361</v>
      </c>
      <c r="V36" s="39" t="s">
        <v>398</v>
      </c>
    </row>
    <row r="37" spans="1:22" hidden="1" x14ac:dyDescent="0.25">
      <c r="A37" s="6">
        <v>36</v>
      </c>
      <c r="B37" s="22" t="s">
        <v>357</v>
      </c>
      <c r="C37" s="8" t="s">
        <v>29</v>
      </c>
      <c r="D37" s="22" t="s">
        <v>53</v>
      </c>
      <c r="E37" s="22" t="s">
        <v>358</v>
      </c>
      <c r="F37" s="22" t="s">
        <v>29</v>
      </c>
      <c r="G37" s="22" t="s">
        <v>104</v>
      </c>
      <c r="H37" s="22" t="s">
        <v>359</v>
      </c>
      <c r="I37" s="59">
        <v>44270</v>
      </c>
      <c r="J37" s="22">
        <v>10</v>
      </c>
      <c r="K37" s="22">
        <v>253</v>
      </c>
      <c r="L37" s="22">
        <v>253</v>
      </c>
      <c r="M37" s="14">
        <f>((L37*34000)+(L37*34000)*10%)+8250+((K37*150))</f>
        <v>9508400</v>
      </c>
      <c r="N37" s="14">
        <f t="shared" si="10"/>
        <v>306130</v>
      </c>
      <c r="O37" s="14">
        <f>(L37*1850)+3000</f>
        <v>471050</v>
      </c>
      <c r="P37" s="14">
        <f>L37*500</f>
        <v>126500</v>
      </c>
      <c r="Q37" s="14">
        <f t="shared" si="6"/>
        <v>10412080</v>
      </c>
      <c r="R37" s="21">
        <v>13009932</v>
      </c>
      <c r="S37" s="32" t="s">
        <v>422</v>
      </c>
      <c r="T37" s="30" t="s">
        <v>27</v>
      </c>
      <c r="U37" s="56" t="s">
        <v>362</v>
      </c>
      <c r="V37" s="39"/>
    </row>
    <row r="38" spans="1:22" hidden="1" x14ac:dyDescent="0.25">
      <c r="A38" s="6">
        <v>37</v>
      </c>
      <c r="B38" s="22" t="s">
        <v>364</v>
      </c>
      <c r="C38" s="8" t="s">
        <v>29</v>
      </c>
      <c r="D38" s="22" t="s">
        <v>97</v>
      </c>
      <c r="E38" s="22" t="s">
        <v>365</v>
      </c>
      <c r="F38" s="22" t="s">
        <v>29</v>
      </c>
      <c r="G38" s="22" t="s">
        <v>153</v>
      </c>
      <c r="H38" s="22" t="s">
        <v>154</v>
      </c>
      <c r="I38" s="59">
        <v>44271</v>
      </c>
      <c r="J38" s="22">
        <v>2</v>
      </c>
      <c r="K38" s="22">
        <v>16</v>
      </c>
      <c r="L38" s="22">
        <v>23</v>
      </c>
      <c r="M38" s="14">
        <f>((L38*34000)+(L38*34000)*10%)+8250+((0*150))</f>
        <v>868450</v>
      </c>
      <c r="N38" s="14">
        <f t="shared" si="10"/>
        <v>27830</v>
      </c>
      <c r="O38" s="14">
        <f t="shared" ref="O38:O47" si="11">(L38*1850.2)+3000</f>
        <v>45554.6</v>
      </c>
      <c r="P38" s="14">
        <f>L38*1100</f>
        <v>25300</v>
      </c>
      <c r="Q38" s="14">
        <f t="shared" si="6"/>
        <v>967134.6</v>
      </c>
      <c r="R38" s="21">
        <v>1718030</v>
      </c>
      <c r="S38" s="32" t="s">
        <v>441</v>
      </c>
      <c r="T38" s="30" t="s">
        <v>27</v>
      </c>
      <c r="U38" s="56" t="s">
        <v>377</v>
      </c>
      <c r="V38" s="39" t="s">
        <v>340</v>
      </c>
    </row>
    <row r="39" spans="1:22" hidden="1" x14ac:dyDescent="0.25">
      <c r="A39" s="6">
        <v>38</v>
      </c>
      <c r="B39" s="22" t="s">
        <v>366</v>
      </c>
      <c r="C39" s="8" t="s">
        <v>29</v>
      </c>
      <c r="D39" s="22" t="s">
        <v>97</v>
      </c>
      <c r="E39" s="22" t="s">
        <v>365</v>
      </c>
      <c r="F39" s="22" t="s">
        <v>29</v>
      </c>
      <c r="G39" s="22" t="s">
        <v>79</v>
      </c>
      <c r="H39" s="22" t="s">
        <v>222</v>
      </c>
      <c r="I39" s="59">
        <v>44271</v>
      </c>
      <c r="J39" s="22">
        <v>1</v>
      </c>
      <c r="K39" s="22">
        <v>23</v>
      </c>
      <c r="L39" s="22">
        <v>23</v>
      </c>
      <c r="M39" s="14">
        <f>((L39*15000)+(L39*15000)*10%)+8250+((0*150))</f>
        <v>387750</v>
      </c>
      <c r="N39" s="14">
        <f t="shared" si="10"/>
        <v>27830</v>
      </c>
      <c r="O39" s="14">
        <f t="shared" si="11"/>
        <v>45554.6</v>
      </c>
      <c r="P39" s="14">
        <f>L39*1100</f>
        <v>25300</v>
      </c>
      <c r="Q39" s="14">
        <f t="shared" si="6"/>
        <v>486434.6</v>
      </c>
      <c r="R39" s="21">
        <v>1718030</v>
      </c>
      <c r="S39" s="32" t="s">
        <v>441</v>
      </c>
      <c r="T39" s="30" t="s">
        <v>27</v>
      </c>
      <c r="U39" s="56" t="s">
        <v>377</v>
      </c>
      <c r="V39" s="39" t="s">
        <v>340</v>
      </c>
    </row>
    <row r="40" spans="1:22" hidden="1" x14ac:dyDescent="0.25">
      <c r="A40" s="6">
        <v>39</v>
      </c>
      <c r="B40" s="22" t="s">
        <v>367</v>
      </c>
      <c r="C40" s="8" t="s">
        <v>29</v>
      </c>
      <c r="D40" s="22" t="s">
        <v>30</v>
      </c>
      <c r="E40" s="22" t="s">
        <v>49</v>
      </c>
      <c r="F40" s="22" t="s">
        <v>29</v>
      </c>
      <c r="G40" s="22" t="s">
        <v>210</v>
      </c>
      <c r="H40" s="22" t="s">
        <v>368</v>
      </c>
      <c r="I40" s="59">
        <v>44271</v>
      </c>
      <c r="J40" s="22">
        <v>2</v>
      </c>
      <c r="K40" s="22">
        <v>58</v>
      </c>
      <c r="L40" s="22">
        <v>58</v>
      </c>
      <c r="M40" s="14">
        <f>((L40*8000)+(L40*8000)*10%)+8250+((0*150))</f>
        <v>518650</v>
      </c>
      <c r="N40" s="14">
        <f t="shared" si="10"/>
        <v>70180</v>
      </c>
      <c r="O40" s="14">
        <f t="shared" si="11"/>
        <v>110311.6</v>
      </c>
      <c r="P40" s="14">
        <f t="shared" ref="P40:P47" si="12">L40*2100</f>
        <v>121800</v>
      </c>
      <c r="Q40" s="14">
        <f t="shared" si="6"/>
        <v>820941.6</v>
      </c>
      <c r="R40" s="21">
        <v>16999500</v>
      </c>
      <c r="S40" s="32" t="s">
        <v>442</v>
      </c>
      <c r="T40" s="30" t="s">
        <v>126</v>
      </c>
      <c r="U40" s="56" t="s">
        <v>377</v>
      </c>
      <c r="V40" s="39" t="s">
        <v>340</v>
      </c>
    </row>
    <row r="41" spans="1:22" hidden="1" x14ac:dyDescent="0.25">
      <c r="A41" s="6">
        <v>40</v>
      </c>
      <c r="B41" s="22" t="s">
        <v>369</v>
      </c>
      <c r="C41" s="8" t="s">
        <v>29</v>
      </c>
      <c r="D41" s="22" t="s">
        <v>30</v>
      </c>
      <c r="E41" s="22" t="s">
        <v>49</v>
      </c>
      <c r="F41" s="22" t="s">
        <v>29</v>
      </c>
      <c r="G41" s="22" t="s">
        <v>263</v>
      </c>
      <c r="H41" s="22" t="s">
        <v>279</v>
      </c>
      <c r="I41" s="59">
        <v>44271</v>
      </c>
      <c r="J41" s="22">
        <v>2</v>
      </c>
      <c r="K41" s="22">
        <v>58</v>
      </c>
      <c r="L41" s="22">
        <v>64</v>
      </c>
      <c r="M41" s="14">
        <f>((L41*9000)+(L41*9000)*10%)+8250+((0*150))</f>
        <v>641850</v>
      </c>
      <c r="N41" s="14">
        <f t="shared" si="10"/>
        <v>77440</v>
      </c>
      <c r="O41" s="14">
        <f t="shared" si="11"/>
        <v>121412.8</v>
      </c>
      <c r="P41" s="14">
        <f t="shared" si="12"/>
        <v>134400</v>
      </c>
      <c r="Q41" s="14">
        <f t="shared" si="6"/>
        <v>975102.8</v>
      </c>
      <c r="R41" s="21">
        <v>16999500</v>
      </c>
      <c r="S41" s="32" t="s">
        <v>442</v>
      </c>
      <c r="T41" s="30" t="s">
        <v>126</v>
      </c>
      <c r="U41" s="56" t="s">
        <v>377</v>
      </c>
      <c r="V41" s="39" t="s">
        <v>340</v>
      </c>
    </row>
    <row r="42" spans="1:22" hidden="1" x14ac:dyDescent="0.25">
      <c r="A42" s="6">
        <v>41</v>
      </c>
      <c r="B42" s="22" t="s">
        <v>370</v>
      </c>
      <c r="C42" s="8" t="s">
        <v>29</v>
      </c>
      <c r="D42" s="22" t="s">
        <v>30</v>
      </c>
      <c r="E42" s="22" t="s">
        <v>49</v>
      </c>
      <c r="F42" s="22" t="s">
        <v>29</v>
      </c>
      <c r="G42" s="22" t="s">
        <v>69</v>
      </c>
      <c r="H42" s="22" t="s">
        <v>70</v>
      </c>
      <c r="I42" s="59">
        <v>44271</v>
      </c>
      <c r="J42" s="22">
        <v>4</v>
      </c>
      <c r="K42" s="22">
        <v>102</v>
      </c>
      <c r="L42" s="22">
        <v>102</v>
      </c>
      <c r="M42" s="14">
        <f>((L42*10500)+(L42*10500)*10%)+8250+((0*150))</f>
        <v>1186350</v>
      </c>
      <c r="N42" s="14">
        <f t="shared" si="10"/>
        <v>123420</v>
      </c>
      <c r="O42" s="14">
        <f t="shared" si="11"/>
        <v>191720.4</v>
      </c>
      <c r="P42" s="14">
        <f t="shared" si="12"/>
        <v>214200</v>
      </c>
      <c r="Q42" s="14">
        <f t="shared" si="6"/>
        <v>1715690.4</v>
      </c>
      <c r="R42" s="21">
        <v>16999500</v>
      </c>
      <c r="S42" s="32" t="s">
        <v>442</v>
      </c>
      <c r="T42" s="30" t="s">
        <v>126</v>
      </c>
      <c r="U42" s="56" t="s">
        <v>377</v>
      </c>
      <c r="V42" s="39" t="s">
        <v>340</v>
      </c>
    </row>
    <row r="43" spans="1:22" hidden="1" x14ac:dyDescent="0.25">
      <c r="A43" s="6">
        <v>42</v>
      </c>
      <c r="B43" s="22" t="s">
        <v>371</v>
      </c>
      <c r="C43" s="8" t="s">
        <v>29</v>
      </c>
      <c r="D43" s="22" t="s">
        <v>30</v>
      </c>
      <c r="E43" s="22" t="s">
        <v>49</v>
      </c>
      <c r="F43" s="22" t="s">
        <v>29</v>
      </c>
      <c r="G43" s="22" t="s">
        <v>31</v>
      </c>
      <c r="H43" s="22" t="s">
        <v>351</v>
      </c>
      <c r="I43" s="59">
        <v>44271</v>
      </c>
      <c r="J43" s="22">
        <v>1</v>
      </c>
      <c r="K43" s="22">
        <v>3</v>
      </c>
      <c r="L43" s="22">
        <v>10</v>
      </c>
      <c r="M43" s="14">
        <f>((L43*6000)+(L43*6000)*10%)+8250+((K43*150))</f>
        <v>74700</v>
      </c>
      <c r="N43" s="14">
        <f t="shared" si="10"/>
        <v>12100</v>
      </c>
      <c r="O43" s="14">
        <f t="shared" si="11"/>
        <v>21502</v>
      </c>
      <c r="P43" s="14">
        <f t="shared" si="12"/>
        <v>21000</v>
      </c>
      <c r="Q43" s="14">
        <f t="shared" si="6"/>
        <v>129302</v>
      </c>
      <c r="R43" s="21">
        <v>16999500</v>
      </c>
      <c r="S43" s="32" t="s">
        <v>442</v>
      </c>
      <c r="T43" s="30" t="s">
        <v>126</v>
      </c>
      <c r="U43" s="56" t="s">
        <v>377</v>
      </c>
      <c r="V43" s="39" t="s">
        <v>340</v>
      </c>
    </row>
    <row r="44" spans="1:22" hidden="1" x14ac:dyDescent="0.25">
      <c r="A44" s="6">
        <v>43</v>
      </c>
      <c r="B44" s="22" t="s">
        <v>372</v>
      </c>
      <c r="C44" s="8" t="s">
        <v>29</v>
      </c>
      <c r="D44" s="22" t="s">
        <v>30</v>
      </c>
      <c r="E44" s="22" t="s">
        <v>49</v>
      </c>
      <c r="F44" s="22" t="s">
        <v>29</v>
      </c>
      <c r="G44" s="22" t="s">
        <v>115</v>
      </c>
      <c r="H44" s="22" t="s">
        <v>118</v>
      </c>
      <c r="I44" s="59">
        <v>44272</v>
      </c>
      <c r="J44" s="22">
        <v>1</v>
      </c>
      <c r="K44" s="22">
        <v>2</v>
      </c>
      <c r="L44" s="22">
        <v>10</v>
      </c>
      <c r="M44" s="14">
        <f>((L44*59000)+(L44*59000)*10%)+8250+((0*150))</f>
        <v>657250</v>
      </c>
      <c r="N44" s="14">
        <f t="shared" si="10"/>
        <v>12100</v>
      </c>
      <c r="O44" s="14">
        <f t="shared" si="11"/>
        <v>21502</v>
      </c>
      <c r="P44" s="14">
        <f t="shared" si="12"/>
        <v>21000</v>
      </c>
      <c r="Q44" s="14">
        <f t="shared" si="6"/>
        <v>711852</v>
      </c>
      <c r="R44" s="21">
        <v>16999500</v>
      </c>
      <c r="S44" s="32" t="s">
        <v>442</v>
      </c>
      <c r="T44" s="30" t="s">
        <v>126</v>
      </c>
      <c r="U44" s="56" t="s">
        <v>378</v>
      </c>
      <c r="V44" s="39" t="s">
        <v>341</v>
      </c>
    </row>
    <row r="45" spans="1:22" hidden="1" x14ac:dyDescent="0.25">
      <c r="A45" s="6">
        <v>44</v>
      </c>
      <c r="B45" s="22" t="s">
        <v>373</v>
      </c>
      <c r="C45" s="8" t="s">
        <v>29</v>
      </c>
      <c r="D45" s="22" t="s">
        <v>30</v>
      </c>
      <c r="E45" s="22" t="s">
        <v>49</v>
      </c>
      <c r="F45" s="22" t="s">
        <v>29</v>
      </c>
      <c r="G45" s="22" t="s">
        <v>40</v>
      </c>
      <c r="H45" s="22" t="s">
        <v>244</v>
      </c>
      <c r="I45" s="59">
        <v>44273</v>
      </c>
      <c r="J45" s="22">
        <v>1</v>
      </c>
      <c r="K45" s="22">
        <v>25</v>
      </c>
      <c r="L45" s="22">
        <v>35</v>
      </c>
      <c r="M45" s="14">
        <f>((L45*6000)+(L45*6000)*10%)+8250+((K45*150))</f>
        <v>243000</v>
      </c>
      <c r="N45" s="14">
        <f t="shared" si="10"/>
        <v>42350</v>
      </c>
      <c r="O45" s="14">
        <f t="shared" si="11"/>
        <v>67757</v>
      </c>
      <c r="P45" s="14">
        <f t="shared" si="12"/>
        <v>73500</v>
      </c>
      <c r="Q45" s="14">
        <f t="shared" si="6"/>
        <v>426607</v>
      </c>
      <c r="R45" s="21">
        <v>16999500</v>
      </c>
      <c r="S45" s="32" t="s">
        <v>442</v>
      </c>
      <c r="T45" s="30" t="s">
        <v>126</v>
      </c>
      <c r="U45" s="67" t="s">
        <v>379</v>
      </c>
      <c r="V45" s="39" t="s">
        <v>408</v>
      </c>
    </row>
    <row r="46" spans="1:22" hidden="1" x14ac:dyDescent="0.25">
      <c r="A46" s="6">
        <v>45</v>
      </c>
      <c r="B46" s="22" t="s">
        <v>374</v>
      </c>
      <c r="C46" s="8" t="s">
        <v>29</v>
      </c>
      <c r="D46" s="22" t="s">
        <v>30</v>
      </c>
      <c r="E46" s="22" t="s">
        <v>49</v>
      </c>
      <c r="F46" s="22" t="s">
        <v>29</v>
      </c>
      <c r="G46" s="22" t="s">
        <v>31</v>
      </c>
      <c r="H46" s="22" t="s">
        <v>375</v>
      </c>
      <c r="I46" s="59">
        <v>44272</v>
      </c>
      <c r="J46" s="22">
        <v>3</v>
      </c>
      <c r="K46" s="22">
        <v>71</v>
      </c>
      <c r="L46" s="22">
        <v>71</v>
      </c>
      <c r="M46" s="14">
        <f>((L46*6000)+(L46*6000)*10%)+8250+((K46*150))</f>
        <v>487500</v>
      </c>
      <c r="N46" s="14">
        <f t="shared" si="10"/>
        <v>85910</v>
      </c>
      <c r="O46" s="14">
        <f t="shared" si="11"/>
        <v>134364.20000000001</v>
      </c>
      <c r="P46" s="14">
        <f t="shared" si="12"/>
        <v>149100</v>
      </c>
      <c r="Q46" s="14">
        <f t="shared" si="6"/>
        <v>856874.2</v>
      </c>
      <c r="R46" s="21">
        <v>16999500</v>
      </c>
      <c r="S46" s="32" t="s">
        <v>442</v>
      </c>
      <c r="T46" s="30" t="s">
        <v>126</v>
      </c>
      <c r="U46" s="56" t="s">
        <v>378</v>
      </c>
      <c r="V46" s="39" t="s">
        <v>341</v>
      </c>
    </row>
    <row r="47" spans="1:22" hidden="1" x14ac:dyDescent="0.25">
      <c r="A47" s="6">
        <v>46</v>
      </c>
      <c r="B47" s="22" t="s">
        <v>376</v>
      </c>
      <c r="C47" s="8" t="s">
        <v>29</v>
      </c>
      <c r="D47" s="22" t="s">
        <v>30</v>
      </c>
      <c r="E47" s="22" t="s">
        <v>49</v>
      </c>
      <c r="F47" s="22" t="s">
        <v>29</v>
      </c>
      <c r="G47" s="22" t="s">
        <v>184</v>
      </c>
      <c r="H47" s="22" t="s">
        <v>288</v>
      </c>
      <c r="I47" s="59">
        <v>44272</v>
      </c>
      <c r="J47" s="22">
        <v>1</v>
      </c>
      <c r="K47" s="22">
        <v>24</v>
      </c>
      <c r="L47" s="22">
        <v>24</v>
      </c>
      <c r="M47" s="14">
        <f>((L47*13500)+(L47*13500)*10%)+8250+((0*150))</f>
        <v>364650</v>
      </c>
      <c r="N47" s="14">
        <f t="shared" si="10"/>
        <v>29040</v>
      </c>
      <c r="O47" s="14">
        <f t="shared" si="11"/>
        <v>47404.800000000003</v>
      </c>
      <c r="P47" s="14">
        <f t="shared" si="12"/>
        <v>50400</v>
      </c>
      <c r="Q47" s="14">
        <f t="shared" ref="Q47:Q69" si="13">SUM(M47:P47)</f>
        <v>491494.8</v>
      </c>
      <c r="R47" s="21">
        <v>16999500</v>
      </c>
      <c r="S47" s="32" t="s">
        <v>442</v>
      </c>
      <c r="T47" s="30" t="s">
        <v>126</v>
      </c>
      <c r="U47" s="56" t="s">
        <v>378</v>
      </c>
      <c r="V47" s="39" t="s">
        <v>341</v>
      </c>
    </row>
    <row r="48" spans="1:22" hidden="1" x14ac:dyDescent="0.25">
      <c r="A48" s="68">
        <v>47</v>
      </c>
      <c r="B48" s="22" t="s">
        <v>380</v>
      </c>
      <c r="C48" s="26" t="s">
        <v>21</v>
      </c>
      <c r="D48" s="30" t="s">
        <v>30</v>
      </c>
      <c r="E48" s="30" t="s">
        <v>49</v>
      </c>
      <c r="F48" s="30" t="s">
        <v>21</v>
      </c>
      <c r="G48" s="30" t="s">
        <v>79</v>
      </c>
      <c r="H48" s="30" t="s">
        <v>200</v>
      </c>
      <c r="I48" s="35">
        <v>44273</v>
      </c>
      <c r="J48" s="30">
        <v>1</v>
      </c>
      <c r="K48" s="30">
        <v>10</v>
      </c>
      <c r="L48" s="30">
        <v>10</v>
      </c>
      <c r="M48" s="23">
        <f>((L48*12500)+(L48*12500)*10%)+8250+((0*150))</f>
        <v>145750</v>
      </c>
      <c r="N48" s="21">
        <f t="shared" ref="N48:N60" si="14">L48*869</f>
        <v>8690</v>
      </c>
      <c r="O48" s="21">
        <f t="shared" ref="O48:O60" si="15">(L48*1153.2)+20000</f>
        <v>31532</v>
      </c>
      <c r="P48" s="21">
        <f>L48*2100</f>
        <v>21000</v>
      </c>
      <c r="Q48" s="14">
        <f t="shared" si="13"/>
        <v>206972</v>
      </c>
      <c r="R48" s="21">
        <v>16999500</v>
      </c>
      <c r="S48" s="32" t="s">
        <v>442</v>
      </c>
      <c r="T48" s="30" t="s">
        <v>126</v>
      </c>
      <c r="U48" s="67" t="s">
        <v>379</v>
      </c>
      <c r="V48" s="39" t="s">
        <v>408</v>
      </c>
    </row>
    <row r="49" spans="1:22" hidden="1" x14ac:dyDescent="0.25">
      <c r="A49" s="68">
        <v>48</v>
      </c>
      <c r="B49" s="22" t="s">
        <v>381</v>
      </c>
      <c r="C49" s="26" t="s">
        <v>21</v>
      </c>
      <c r="D49" s="30" t="s">
        <v>30</v>
      </c>
      <c r="E49" s="30" t="s">
        <v>49</v>
      </c>
      <c r="F49" s="30" t="s">
        <v>21</v>
      </c>
      <c r="G49" s="30" t="s">
        <v>210</v>
      </c>
      <c r="H49" s="30" t="s">
        <v>382</v>
      </c>
      <c r="I49" s="35">
        <v>44273</v>
      </c>
      <c r="J49" s="30">
        <v>1</v>
      </c>
      <c r="K49" s="30">
        <v>22</v>
      </c>
      <c r="L49" s="30">
        <v>22</v>
      </c>
      <c r="M49" s="23">
        <f>((L49*8700)+(L49*8700)*10%)+8250+((0*150))</f>
        <v>218790</v>
      </c>
      <c r="N49" s="21">
        <f t="shared" si="14"/>
        <v>19118</v>
      </c>
      <c r="O49" s="21">
        <f t="shared" si="15"/>
        <v>45370.400000000001</v>
      </c>
      <c r="P49" s="21">
        <f>L49*2100</f>
        <v>46200</v>
      </c>
      <c r="Q49" s="14">
        <f t="shared" si="13"/>
        <v>329478.40000000002</v>
      </c>
      <c r="R49" s="21">
        <v>16999500</v>
      </c>
      <c r="S49" s="32" t="s">
        <v>442</v>
      </c>
      <c r="T49" s="30" t="s">
        <v>126</v>
      </c>
      <c r="U49" s="67" t="s">
        <v>379</v>
      </c>
      <c r="V49" s="39" t="s">
        <v>408</v>
      </c>
    </row>
    <row r="50" spans="1:22" hidden="1" x14ac:dyDescent="0.25">
      <c r="A50" s="68">
        <v>49</v>
      </c>
      <c r="B50" s="73" t="s">
        <v>383</v>
      </c>
      <c r="C50" s="26" t="s">
        <v>21</v>
      </c>
      <c r="D50" s="30" t="s">
        <v>30</v>
      </c>
      <c r="E50" s="30" t="s">
        <v>49</v>
      </c>
      <c r="F50" s="30" t="s">
        <v>21</v>
      </c>
      <c r="G50" s="69" t="s">
        <v>171</v>
      </c>
      <c r="H50" s="69" t="s">
        <v>189</v>
      </c>
      <c r="I50" s="70">
        <v>44274</v>
      </c>
      <c r="J50" s="69">
        <v>7</v>
      </c>
      <c r="K50" s="71">
        <v>16</v>
      </c>
      <c r="L50" s="71">
        <v>16</v>
      </c>
      <c r="M50" s="23">
        <f>((L50*6500)+(L50*6500)*10%)+8250+((0*150))</f>
        <v>122650</v>
      </c>
      <c r="N50" s="21">
        <f t="shared" si="14"/>
        <v>13904</v>
      </c>
      <c r="O50" s="21">
        <f t="shared" si="15"/>
        <v>38451.199999999997</v>
      </c>
      <c r="P50" s="21">
        <f>L50*2100</f>
        <v>33600</v>
      </c>
      <c r="Q50" s="14">
        <f t="shared" si="13"/>
        <v>208605.2</v>
      </c>
      <c r="R50" s="21">
        <v>16999500</v>
      </c>
      <c r="S50" s="32" t="s">
        <v>442</v>
      </c>
      <c r="T50" s="30" t="s">
        <v>126</v>
      </c>
      <c r="U50" s="56" t="s">
        <v>399</v>
      </c>
      <c r="V50" s="39" t="s">
        <v>401</v>
      </c>
    </row>
    <row r="51" spans="1:22" hidden="1" x14ac:dyDescent="0.25">
      <c r="A51" s="68">
        <v>50</v>
      </c>
      <c r="B51" s="69" t="s">
        <v>384</v>
      </c>
      <c r="C51" s="26" t="s">
        <v>21</v>
      </c>
      <c r="D51" s="69" t="s">
        <v>53</v>
      </c>
      <c r="E51" s="30" t="s">
        <v>49</v>
      </c>
      <c r="F51" s="30" t="s">
        <v>21</v>
      </c>
      <c r="G51" s="69" t="s">
        <v>79</v>
      </c>
      <c r="H51" s="69" t="s">
        <v>200</v>
      </c>
      <c r="I51" s="70">
        <v>44274</v>
      </c>
      <c r="J51" s="69">
        <v>1</v>
      </c>
      <c r="K51" s="71">
        <v>1</v>
      </c>
      <c r="L51" s="71">
        <v>10</v>
      </c>
      <c r="M51" s="23">
        <f>((L51*12500)+(L51*12500)*10%)+8250+((0*150))</f>
        <v>145750</v>
      </c>
      <c r="N51" s="21">
        <f t="shared" si="14"/>
        <v>8690</v>
      </c>
      <c r="O51" s="21">
        <f>(L51*1153)+20000</f>
        <v>31530</v>
      </c>
      <c r="P51" s="21">
        <f>L51*500</f>
        <v>5000</v>
      </c>
      <c r="Q51" s="14">
        <f t="shared" si="13"/>
        <v>190970</v>
      </c>
      <c r="R51" s="21">
        <v>13009932</v>
      </c>
      <c r="S51" s="32" t="s">
        <v>422</v>
      </c>
      <c r="T51" s="30" t="s">
        <v>27</v>
      </c>
      <c r="U51" s="56" t="s">
        <v>399</v>
      </c>
      <c r="V51" s="39"/>
    </row>
    <row r="52" spans="1:22" hidden="1" x14ac:dyDescent="0.25">
      <c r="A52" s="68">
        <v>51</v>
      </c>
      <c r="B52" s="73" t="s">
        <v>385</v>
      </c>
      <c r="C52" s="26" t="s">
        <v>21</v>
      </c>
      <c r="D52" s="30" t="s">
        <v>30</v>
      </c>
      <c r="E52" s="30" t="s">
        <v>49</v>
      </c>
      <c r="F52" s="30" t="s">
        <v>21</v>
      </c>
      <c r="G52" s="69" t="s">
        <v>184</v>
      </c>
      <c r="H52" s="69" t="s">
        <v>386</v>
      </c>
      <c r="I52" s="70">
        <v>44274</v>
      </c>
      <c r="J52" s="69">
        <v>5</v>
      </c>
      <c r="K52" s="71">
        <v>99</v>
      </c>
      <c r="L52" s="71">
        <v>99</v>
      </c>
      <c r="M52" s="23">
        <f>((L52*16800)+(L52*16800)*10%)+8250+((0*150))</f>
        <v>1837770</v>
      </c>
      <c r="N52" s="21">
        <f t="shared" si="14"/>
        <v>86031</v>
      </c>
      <c r="O52" s="21">
        <f t="shared" si="15"/>
        <v>134166.79999999999</v>
      </c>
      <c r="P52" s="21">
        <f>L52*2100</f>
        <v>207900</v>
      </c>
      <c r="Q52" s="14">
        <f t="shared" si="13"/>
        <v>2265867.7999999998</v>
      </c>
      <c r="R52" s="21">
        <v>16999500</v>
      </c>
      <c r="S52" s="32" t="s">
        <v>442</v>
      </c>
      <c r="T52" s="30" t="s">
        <v>126</v>
      </c>
      <c r="U52" s="56" t="s">
        <v>399</v>
      </c>
      <c r="V52" s="39" t="s">
        <v>401</v>
      </c>
    </row>
    <row r="53" spans="1:22" hidden="1" x14ac:dyDescent="0.25">
      <c r="A53" s="68">
        <v>52</v>
      </c>
      <c r="B53" s="73" t="s">
        <v>387</v>
      </c>
      <c r="C53" s="26" t="s">
        <v>21</v>
      </c>
      <c r="D53" s="30" t="s">
        <v>30</v>
      </c>
      <c r="E53" s="30" t="s">
        <v>49</v>
      </c>
      <c r="F53" s="30" t="s">
        <v>21</v>
      </c>
      <c r="G53" s="69" t="s">
        <v>166</v>
      </c>
      <c r="H53" s="69" t="s">
        <v>388</v>
      </c>
      <c r="I53" s="70">
        <v>44274</v>
      </c>
      <c r="J53" s="69">
        <v>4</v>
      </c>
      <c r="K53" s="71">
        <v>90</v>
      </c>
      <c r="L53" s="71">
        <v>92</v>
      </c>
      <c r="M53" s="23">
        <f>((L53*5500)+(L53*5500)*10%)+8250+((0*150))</f>
        <v>564850</v>
      </c>
      <c r="N53" s="21">
        <f t="shared" si="14"/>
        <v>79948</v>
      </c>
      <c r="O53" s="21">
        <f t="shared" si="15"/>
        <v>126094.40000000001</v>
      </c>
      <c r="P53" s="21">
        <f>L53*2100</f>
        <v>193200</v>
      </c>
      <c r="Q53" s="14">
        <f t="shared" si="13"/>
        <v>964092.4</v>
      </c>
      <c r="R53" s="21">
        <v>16999500</v>
      </c>
      <c r="S53" s="32" t="s">
        <v>442</v>
      </c>
      <c r="T53" s="30" t="s">
        <v>126</v>
      </c>
      <c r="U53" s="56" t="s">
        <v>399</v>
      </c>
      <c r="V53" s="39" t="s">
        <v>401</v>
      </c>
    </row>
    <row r="54" spans="1:22" hidden="1" x14ac:dyDescent="0.25">
      <c r="A54" s="68">
        <v>53</v>
      </c>
      <c r="B54" s="69" t="s">
        <v>389</v>
      </c>
      <c r="C54" s="26" t="s">
        <v>21</v>
      </c>
      <c r="D54" s="69" t="s">
        <v>390</v>
      </c>
      <c r="E54" s="30" t="s">
        <v>49</v>
      </c>
      <c r="F54" s="69" t="s">
        <v>21</v>
      </c>
      <c r="G54" s="69" t="s">
        <v>231</v>
      </c>
      <c r="H54" s="69" t="s">
        <v>391</v>
      </c>
      <c r="I54" s="70">
        <v>44275</v>
      </c>
      <c r="J54" s="69">
        <v>1</v>
      </c>
      <c r="K54" s="71">
        <v>10</v>
      </c>
      <c r="L54" s="71">
        <v>10</v>
      </c>
      <c r="M54" s="23">
        <f>((L54*22500)+(L54*22500)*10%)+8250+((0*150))</f>
        <v>255750</v>
      </c>
      <c r="N54" s="21">
        <f t="shared" si="14"/>
        <v>8690</v>
      </c>
      <c r="O54" s="21">
        <f t="shared" si="15"/>
        <v>31532</v>
      </c>
      <c r="P54" s="21">
        <f>L54*1100</f>
        <v>11000</v>
      </c>
      <c r="Q54" s="14">
        <f t="shared" si="13"/>
        <v>306972</v>
      </c>
      <c r="R54" s="72">
        <v>306968</v>
      </c>
      <c r="S54" s="32" t="s">
        <v>325</v>
      </c>
      <c r="T54" s="30" t="s">
        <v>27</v>
      </c>
      <c r="U54" s="56"/>
      <c r="V54" s="39"/>
    </row>
    <row r="55" spans="1:22" hidden="1" x14ac:dyDescent="0.25">
      <c r="A55" s="68">
        <v>54</v>
      </c>
      <c r="B55" s="69" t="s">
        <v>392</v>
      </c>
      <c r="C55" s="26" t="s">
        <v>21</v>
      </c>
      <c r="D55" s="69" t="s">
        <v>390</v>
      </c>
      <c r="E55" s="30" t="s">
        <v>49</v>
      </c>
      <c r="F55" s="69" t="s">
        <v>21</v>
      </c>
      <c r="G55" s="69" t="s">
        <v>171</v>
      </c>
      <c r="H55" s="69" t="s">
        <v>189</v>
      </c>
      <c r="I55" s="70">
        <v>44275</v>
      </c>
      <c r="J55" s="69">
        <v>3</v>
      </c>
      <c r="K55" s="71">
        <v>63</v>
      </c>
      <c r="L55" s="71">
        <v>63</v>
      </c>
      <c r="M55" s="23">
        <f>((L55*6500)+(L55*6500)*10%)+8250+((0*150))</f>
        <v>458700</v>
      </c>
      <c r="N55" s="21">
        <f t="shared" si="14"/>
        <v>54747</v>
      </c>
      <c r="O55" s="21">
        <f t="shared" si="15"/>
        <v>92651.6</v>
      </c>
      <c r="P55" s="21">
        <f>L55*1100</f>
        <v>69300</v>
      </c>
      <c r="Q55" s="14">
        <f t="shared" si="13"/>
        <v>675398.6</v>
      </c>
      <c r="R55" s="72">
        <v>675373</v>
      </c>
      <c r="S55" s="32" t="s">
        <v>325</v>
      </c>
      <c r="T55" s="30" t="s">
        <v>27</v>
      </c>
      <c r="U55" s="56"/>
      <c r="V55" s="39"/>
    </row>
    <row r="56" spans="1:22" hidden="1" x14ac:dyDescent="0.25">
      <c r="A56" s="68">
        <v>55</v>
      </c>
      <c r="B56" s="69" t="s">
        <v>393</v>
      </c>
      <c r="C56" s="26" t="s">
        <v>21</v>
      </c>
      <c r="D56" s="69" t="s">
        <v>394</v>
      </c>
      <c r="E56" s="30" t="s">
        <v>49</v>
      </c>
      <c r="F56" s="69" t="s">
        <v>21</v>
      </c>
      <c r="G56" s="69" t="s">
        <v>40</v>
      </c>
      <c r="H56" s="69" t="s">
        <v>395</v>
      </c>
      <c r="I56" s="70">
        <v>44275</v>
      </c>
      <c r="J56" s="69">
        <v>1</v>
      </c>
      <c r="K56" s="71">
        <v>44</v>
      </c>
      <c r="L56" s="71">
        <v>44</v>
      </c>
      <c r="M56" s="23">
        <f>((L56*5000)+(L56*5000)*10%)+8250+((0*150))</f>
        <v>250250</v>
      </c>
      <c r="N56" s="21">
        <f t="shared" si="14"/>
        <v>38236</v>
      </c>
      <c r="O56" s="21">
        <f t="shared" si="15"/>
        <v>70740.800000000003</v>
      </c>
      <c r="P56" s="21">
        <f>L56*1100</f>
        <v>48400</v>
      </c>
      <c r="Q56" s="14">
        <f t="shared" si="13"/>
        <v>407626.8</v>
      </c>
      <c r="R56" s="72">
        <v>414209</v>
      </c>
      <c r="S56" s="32" t="s">
        <v>325</v>
      </c>
      <c r="T56" s="30" t="s">
        <v>27</v>
      </c>
      <c r="U56" s="56"/>
      <c r="V56" s="39"/>
    </row>
    <row r="57" spans="1:22" hidden="1" x14ac:dyDescent="0.25">
      <c r="A57" s="68">
        <v>56</v>
      </c>
      <c r="B57" s="69" t="s">
        <v>396</v>
      </c>
      <c r="C57" s="26" t="s">
        <v>21</v>
      </c>
      <c r="D57" s="69" t="s">
        <v>53</v>
      </c>
      <c r="E57" s="30" t="s">
        <v>49</v>
      </c>
      <c r="F57" s="69" t="s">
        <v>21</v>
      </c>
      <c r="G57" s="69" t="s">
        <v>79</v>
      </c>
      <c r="H57" s="69" t="s">
        <v>200</v>
      </c>
      <c r="I57" s="70">
        <v>44275</v>
      </c>
      <c r="J57" s="69">
        <v>3</v>
      </c>
      <c r="K57" s="71">
        <v>8</v>
      </c>
      <c r="L57" s="71">
        <v>15</v>
      </c>
      <c r="M57" s="23">
        <f>((L57*12500)+(L57*12500)*10%)+8250+((0*150))</f>
        <v>214500</v>
      </c>
      <c r="N57" s="21">
        <f t="shared" si="14"/>
        <v>13035</v>
      </c>
      <c r="O57" s="21">
        <f>(L57*1153)+20000</f>
        <v>37295</v>
      </c>
      <c r="P57" s="21">
        <f>L57*500</f>
        <v>7500</v>
      </c>
      <c r="Q57" s="14">
        <f t="shared" si="13"/>
        <v>272330</v>
      </c>
      <c r="R57" s="21">
        <v>13009932</v>
      </c>
      <c r="S57" s="32" t="s">
        <v>422</v>
      </c>
      <c r="T57" s="30" t="s">
        <v>27</v>
      </c>
      <c r="U57" s="56" t="s">
        <v>400</v>
      </c>
      <c r="V57" s="39"/>
    </row>
    <row r="58" spans="1:22" hidden="1" x14ac:dyDescent="0.25">
      <c r="A58" s="6">
        <v>57</v>
      </c>
      <c r="B58" s="73" t="s">
        <v>404</v>
      </c>
      <c r="C58" s="8" t="s">
        <v>21</v>
      </c>
      <c r="D58" s="73" t="s">
        <v>390</v>
      </c>
      <c r="E58" s="22" t="s">
        <v>49</v>
      </c>
      <c r="F58" s="73" t="s">
        <v>21</v>
      </c>
      <c r="G58" s="73" t="s">
        <v>171</v>
      </c>
      <c r="H58" s="73" t="s">
        <v>405</v>
      </c>
      <c r="I58" s="59">
        <v>44277</v>
      </c>
      <c r="J58" s="73">
        <v>3</v>
      </c>
      <c r="K58" s="74">
        <v>50</v>
      </c>
      <c r="L58" s="74">
        <v>50</v>
      </c>
      <c r="M58" s="23">
        <f>((L58*6500)+(L58*6500)*10%)+8250+((0*150))</f>
        <v>365750</v>
      </c>
      <c r="N58" s="23">
        <f t="shared" si="14"/>
        <v>43450</v>
      </c>
      <c r="O58" s="23">
        <f t="shared" si="15"/>
        <v>77660</v>
      </c>
      <c r="P58" s="41">
        <f>L58*1100</f>
        <v>55000</v>
      </c>
      <c r="Q58" s="14">
        <f t="shared" si="13"/>
        <v>541860</v>
      </c>
      <c r="R58" s="14">
        <v>541860</v>
      </c>
      <c r="S58" s="32" t="s">
        <v>407</v>
      </c>
      <c r="T58" s="30" t="s">
        <v>27</v>
      </c>
      <c r="U58" s="39"/>
      <c r="V58" s="39"/>
    </row>
    <row r="59" spans="1:22" hidden="1" x14ac:dyDescent="0.25">
      <c r="A59" s="6">
        <v>58</v>
      </c>
      <c r="B59" s="73" t="s">
        <v>406</v>
      </c>
      <c r="C59" s="8" t="s">
        <v>21</v>
      </c>
      <c r="D59" s="73" t="s">
        <v>53</v>
      </c>
      <c r="E59" s="22" t="s">
        <v>49</v>
      </c>
      <c r="F59" s="73" t="s">
        <v>21</v>
      </c>
      <c r="G59" s="73" t="s">
        <v>79</v>
      </c>
      <c r="H59" s="69" t="s">
        <v>200</v>
      </c>
      <c r="I59" s="59">
        <v>44277</v>
      </c>
      <c r="J59" s="73">
        <v>4</v>
      </c>
      <c r="K59" s="74">
        <v>32</v>
      </c>
      <c r="L59" s="74">
        <v>61</v>
      </c>
      <c r="M59" s="23">
        <f>((L59*12500)+(L59*12500)*10%)+8250+((0*150))</f>
        <v>847000</v>
      </c>
      <c r="N59" s="23">
        <f t="shared" si="14"/>
        <v>53009</v>
      </c>
      <c r="O59" s="23">
        <f>(L59*1153)+20000</f>
        <v>90333</v>
      </c>
      <c r="P59" s="23">
        <f>L59*500</f>
        <v>30500</v>
      </c>
      <c r="Q59" s="14">
        <f t="shared" si="13"/>
        <v>1020842</v>
      </c>
      <c r="R59" s="21">
        <v>13009932</v>
      </c>
      <c r="S59" s="32" t="s">
        <v>422</v>
      </c>
      <c r="T59" s="30" t="s">
        <v>27</v>
      </c>
      <c r="U59" s="39"/>
      <c r="V59" s="39"/>
    </row>
    <row r="60" spans="1:22" hidden="1" x14ac:dyDescent="0.25">
      <c r="A60" s="6">
        <v>59</v>
      </c>
      <c r="B60" s="73" t="s">
        <v>413</v>
      </c>
      <c r="C60" s="8" t="s">
        <v>21</v>
      </c>
      <c r="D60" s="73" t="s">
        <v>414</v>
      </c>
      <c r="E60" s="22" t="s">
        <v>49</v>
      </c>
      <c r="F60" s="73" t="s">
        <v>21</v>
      </c>
      <c r="G60" s="73" t="s">
        <v>24</v>
      </c>
      <c r="H60" s="73" t="s">
        <v>25</v>
      </c>
      <c r="I60" s="59">
        <v>44279</v>
      </c>
      <c r="J60" s="73">
        <v>1</v>
      </c>
      <c r="K60" s="74">
        <v>10</v>
      </c>
      <c r="L60" s="74">
        <v>10</v>
      </c>
      <c r="M60" s="23">
        <f>((L60*32550)+(L60*32550)*10%)+8250+((L60*150))</f>
        <v>367800</v>
      </c>
      <c r="N60" s="76">
        <f t="shared" si="14"/>
        <v>8690</v>
      </c>
      <c r="O60" s="76">
        <f t="shared" si="15"/>
        <v>31532</v>
      </c>
      <c r="P60" s="41">
        <f>L60*1100</f>
        <v>11000</v>
      </c>
      <c r="Q60" s="14">
        <f t="shared" si="13"/>
        <v>419022</v>
      </c>
      <c r="R60" s="21">
        <v>533494</v>
      </c>
      <c r="S60" s="30" t="s">
        <v>27</v>
      </c>
      <c r="T60" s="32" t="s">
        <v>415</v>
      </c>
      <c r="U60" s="39"/>
      <c r="V60" s="39"/>
    </row>
    <row r="61" spans="1:22" hidden="1" x14ac:dyDescent="0.25">
      <c r="A61" s="6">
        <v>60</v>
      </c>
      <c r="B61" s="73" t="s">
        <v>416</v>
      </c>
      <c r="C61" s="8" t="s">
        <v>21</v>
      </c>
      <c r="D61" s="73" t="s">
        <v>417</v>
      </c>
      <c r="E61" s="22" t="s">
        <v>49</v>
      </c>
      <c r="F61" s="73" t="s">
        <v>21</v>
      </c>
      <c r="G61" s="73" t="s">
        <v>40</v>
      </c>
      <c r="H61" s="73" t="s">
        <v>348</v>
      </c>
      <c r="I61" s="59">
        <v>44279</v>
      </c>
      <c r="J61" s="73">
        <v>1</v>
      </c>
      <c r="K61" s="74">
        <v>10</v>
      </c>
      <c r="L61" s="74">
        <v>10</v>
      </c>
      <c r="M61" s="23">
        <f>((L61*5000)+(L61*5000)*10%)+8250+((0*150))</f>
        <v>63250</v>
      </c>
      <c r="N61" s="21">
        <f t="shared" ref="N61:N69" si="16">L61*869</f>
        <v>8690</v>
      </c>
      <c r="O61" s="21">
        <f>(L61*1153.2)+20000</f>
        <v>31532</v>
      </c>
      <c r="P61" s="21">
        <f>L61*1100</f>
        <v>11000</v>
      </c>
      <c r="Q61" s="14">
        <f t="shared" si="13"/>
        <v>114472</v>
      </c>
      <c r="R61" s="21">
        <v>533494</v>
      </c>
      <c r="S61" s="30" t="s">
        <v>27</v>
      </c>
      <c r="T61" s="32" t="s">
        <v>415</v>
      </c>
      <c r="U61" s="39"/>
      <c r="V61" s="39"/>
    </row>
    <row r="62" spans="1:22" hidden="1" x14ac:dyDescent="0.25">
      <c r="A62" s="6">
        <v>61</v>
      </c>
      <c r="B62" s="73" t="s">
        <v>418</v>
      </c>
      <c r="C62" s="8" t="s">
        <v>21</v>
      </c>
      <c r="D62" s="73" t="s">
        <v>53</v>
      </c>
      <c r="E62" s="22" t="s">
        <v>49</v>
      </c>
      <c r="F62" s="73" t="s">
        <v>21</v>
      </c>
      <c r="G62" s="73" t="s">
        <v>79</v>
      </c>
      <c r="H62" s="73" t="s">
        <v>200</v>
      </c>
      <c r="I62" s="59">
        <v>44279</v>
      </c>
      <c r="J62" s="73">
        <v>2</v>
      </c>
      <c r="K62" s="74">
        <v>16</v>
      </c>
      <c r="L62" s="74">
        <v>35</v>
      </c>
      <c r="M62" s="23">
        <f>((L62*12500)+(L62*12500)*10%)+8250+((0*150))</f>
        <v>489500</v>
      </c>
      <c r="N62" s="23">
        <f t="shared" si="16"/>
        <v>30415</v>
      </c>
      <c r="O62" s="23">
        <f>(L62*1153)+20000</f>
        <v>60355</v>
      </c>
      <c r="P62" s="23">
        <f>L62*500</f>
        <v>17500</v>
      </c>
      <c r="Q62" s="14">
        <f t="shared" si="13"/>
        <v>597770</v>
      </c>
      <c r="R62" s="21">
        <v>3208974</v>
      </c>
      <c r="S62" s="32" t="s">
        <v>438</v>
      </c>
      <c r="T62" s="30" t="s">
        <v>27</v>
      </c>
      <c r="U62" s="42" t="s">
        <v>435</v>
      </c>
      <c r="V62" s="39" t="s">
        <v>316</v>
      </c>
    </row>
    <row r="63" spans="1:22" x14ac:dyDescent="0.25">
      <c r="A63" s="6">
        <v>62</v>
      </c>
      <c r="B63" s="73" t="s">
        <v>419</v>
      </c>
      <c r="C63" s="8" t="s">
        <v>21</v>
      </c>
      <c r="D63" s="73" t="s">
        <v>420</v>
      </c>
      <c r="E63" s="22" t="s">
        <v>49</v>
      </c>
      <c r="F63" s="73" t="s">
        <v>21</v>
      </c>
      <c r="G63" s="73" t="s">
        <v>79</v>
      </c>
      <c r="H63" s="73" t="s">
        <v>200</v>
      </c>
      <c r="I63" s="59">
        <v>44279</v>
      </c>
      <c r="J63" s="73">
        <v>2</v>
      </c>
      <c r="K63" s="74">
        <v>33</v>
      </c>
      <c r="L63" s="74">
        <v>33</v>
      </c>
      <c r="M63" s="23">
        <f>((L63*12500)+(L63*12500)*10%)+8250+((0*150))</f>
        <v>462000</v>
      </c>
      <c r="N63" s="23">
        <f t="shared" si="16"/>
        <v>28677</v>
      </c>
      <c r="O63" s="23">
        <f>(L63*1153.2)+20000</f>
        <v>58055.6</v>
      </c>
      <c r="P63" s="23">
        <f>L63*1100</f>
        <v>36300</v>
      </c>
      <c r="Q63" s="14">
        <f t="shared" si="13"/>
        <v>585032.6</v>
      </c>
      <c r="R63" s="30" t="s">
        <v>94</v>
      </c>
      <c r="S63" s="30" t="s">
        <v>94</v>
      </c>
      <c r="T63" s="30" t="s">
        <v>94</v>
      </c>
      <c r="U63" s="42" t="s">
        <v>435</v>
      </c>
      <c r="V63" s="39" t="s">
        <v>316</v>
      </c>
    </row>
    <row r="64" spans="1:22" x14ac:dyDescent="0.25">
      <c r="A64" s="6">
        <v>63</v>
      </c>
      <c r="B64" s="73" t="s">
        <v>421</v>
      </c>
      <c r="C64" s="8" t="s">
        <v>21</v>
      </c>
      <c r="D64" s="73" t="s">
        <v>324</v>
      </c>
      <c r="E64" s="22" t="s">
        <v>49</v>
      </c>
      <c r="F64" s="73" t="s">
        <v>21</v>
      </c>
      <c r="G64" s="73" t="s">
        <v>79</v>
      </c>
      <c r="H64" s="73" t="s">
        <v>200</v>
      </c>
      <c r="I64" s="59">
        <v>44279</v>
      </c>
      <c r="J64" s="73">
        <v>1</v>
      </c>
      <c r="K64" s="74">
        <v>31</v>
      </c>
      <c r="L64" s="74">
        <v>31</v>
      </c>
      <c r="M64" s="23">
        <f>((L64*12500)+(L64*12500)*10%)+8250+((0*150))</f>
        <v>434500</v>
      </c>
      <c r="N64" s="23">
        <f t="shared" si="16"/>
        <v>26939</v>
      </c>
      <c r="O64" s="23">
        <f>(L64*1153.2)+20000</f>
        <v>55749.200000000004</v>
      </c>
      <c r="P64" s="23">
        <f>L64*1100</f>
        <v>34100</v>
      </c>
      <c r="Q64" s="14">
        <f t="shared" si="13"/>
        <v>551288.19999999995</v>
      </c>
      <c r="R64" s="30" t="s">
        <v>94</v>
      </c>
      <c r="S64" s="30" t="s">
        <v>94</v>
      </c>
      <c r="T64" s="30" t="s">
        <v>94</v>
      </c>
      <c r="U64" s="42" t="s">
        <v>435</v>
      </c>
      <c r="V64" s="39" t="s">
        <v>316</v>
      </c>
    </row>
    <row r="65" spans="1:22" hidden="1" x14ac:dyDescent="0.25">
      <c r="A65" s="26">
        <v>64</v>
      </c>
      <c r="B65" s="73" t="s">
        <v>424</v>
      </c>
      <c r="C65" s="8" t="s">
        <v>21</v>
      </c>
      <c r="D65" s="73" t="s">
        <v>53</v>
      </c>
      <c r="E65" s="22" t="s">
        <v>49</v>
      </c>
      <c r="F65" s="73" t="s">
        <v>21</v>
      </c>
      <c r="G65" s="73" t="s">
        <v>79</v>
      </c>
      <c r="H65" s="73" t="s">
        <v>200</v>
      </c>
      <c r="I65" s="59">
        <v>44280</v>
      </c>
      <c r="J65" s="73">
        <v>3</v>
      </c>
      <c r="K65" s="74">
        <v>47</v>
      </c>
      <c r="L65" s="74">
        <v>58</v>
      </c>
      <c r="M65" s="23">
        <f>((L65*12500)+(L65*12500)*10%)+8250+((0*150))</f>
        <v>805750</v>
      </c>
      <c r="N65" s="23">
        <f t="shared" si="16"/>
        <v>50402</v>
      </c>
      <c r="O65" s="23">
        <f>(L65*1153)+20000</f>
        <v>86874</v>
      </c>
      <c r="P65" s="23">
        <f>L65*500</f>
        <v>29000</v>
      </c>
      <c r="Q65" s="14">
        <f t="shared" si="13"/>
        <v>972026</v>
      </c>
      <c r="R65" s="21">
        <v>3208974</v>
      </c>
      <c r="S65" s="32" t="s">
        <v>438</v>
      </c>
      <c r="T65" s="30" t="s">
        <v>27</v>
      </c>
      <c r="U65" s="42" t="s">
        <v>436</v>
      </c>
      <c r="V65" s="39"/>
    </row>
    <row r="66" spans="1:22" hidden="1" x14ac:dyDescent="0.25">
      <c r="A66" s="26">
        <v>65</v>
      </c>
      <c r="B66" s="73" t="s">
        <v>425</v>
      </c>
      <c r="C66" s="8" t="s">
        <v>21</v>
      </c>
      <c r="D66" s="73" t="s">
        <v>417</v>
      </c>
      <c r="E66" s="22" t="s">
        <v>49</v>
      </c>
      <c r="F66" s="73" t="s">
        <v>21</v>
      </c>
      <c r="G66" s="73" t="s">
        <v>40</v>
      </c>
      <c r="H66" s="73" t="s">
        <v>348</v>
      </c>
      <c r="I66" s="59">
        <v>44280</v>
      </c>
      <c r="J66" s="73">
        <v>1</v>
      </c>
      <c r="K66" s="74">
        <v>1</v>
      </c>
      <c r="L66" s="74">
        <v>10</v>
      </c>
      <c r="M66" s="23">
        <f>((L66*5000)+(L66*5000)*10%)+8250+((K66*150))</f>
        <v>63400</v>
      </c>
      <c r="N66" s="23">
        <f t="shared" si="16"/>
        <v>8690</v>
      </c>
      <c r="O66" s="23">
        <f>(L66*1153.2)+20000</f>
        <v>31532</v>
      </c>
      <c r="P66" s="23">
        <f>L66*1100</f>
        <v>11000</v>
      </c>
      <c r="Q66" s="14">
        <f t="shared" si="13"/>
        <v>114622</v>
      </c>
      <c r="R66" s="14">
        <v>115968</v>
      </c>
      <c r="S66" s="32" t="s">
        <v>423</v>
      </c>
      <c r="T66" s="30" t="s">
        <v>126</v>
      </c>
      <c r="U66" s="39"/>
      <c r="V66" s="39"/>
    </row>
    <row r="67" spans="1:22" hidden="1" x14ac:dyDescent="0.25">
      <c r="A67" s="26">
        <v>66</v>
      </c>
      <c r="B67" s="73" t="s">
        <v>426</v>
      </c>
      <c r="C67" s="8" t="s">
        <v>21</v>
      </c>
      <c r="D67" s="73" t="s">
        <v>427</v>
      </c>
      <c r="E67" s="22" t="s">
        <v>49</v>
      </c>
      <c r="F67" s="73" t="s">
        <v>21</v>
      </c>
      <c r="G67" s="73" t="s">
        <v>79</v>
      </c>
      <c r="H67" s="73" t="s">
        <v>200</v>
      </c>
      <c r="I67" s="59">
        <v>44280</v>
      </c>
      <c r="J67" s="73">
        <v>3</v>
      </c>
      <c r="K67" s="74">
        <v>130</v>
      </c>
      <c r="L67" s="74">
        <v>130</v>
      </c>
      <c r="M67" s="23">
        <f>((L67*12500)+(L67*12500)*10%)+8250+((0*150))</f>
        <v>1795750</v>
      </c>
      <c r="N67" s="23">
        <f t="shared" si="16"/>
        <v>112970</v>
      </c>
      <c r="O67" s="23">
        <f>(L67*1153.2)+20000</f>
        <v>169916</v>
      </c>
      <c r="P67" s="23">
        <f>L67*1100</f>
        <v>143000</v>
      </c>
      <c r="Q67" s="14">
        <f t="shared" si="13"/>
        <v>2221636</v>
      </c>
      <c r="R67" s="14">
        <v>2221584</v>
      </c>
      <c r="S67" s="32" t="s">
        <v>423</v>
      </c>
      <c r="T67" s="30" t="s">
        <v>126</v>
      </c>
      <c r="U67" s="39"/>
      <c r="V67" s="39"/>
    </row>
    <row r="68" spans="1:22" hidden="1" x14ac:dyDescent="0.25">
      <c r="A68" s="26">
        <v>67</v>
      </c>
      <c r="B68" s="73" t="s">
        <v>428</v>
      </c>
      <c r="C68" s="8" t="s">
        <v>21</v>
      </c>
      <c r="D68" s="73" t="s">
        <v>53</v>
      </c>
      <c r="E68" s="22" t="s">
        <v>49</v>
      </c>
      <c r="F68" s="73" t="s">
        <v>21</v>
      </c>
      <c r="G68" s="73" t="s">
        <v>79</v>
      </c>
      <c r="H68" s="73" t="s">
        <v>200</v>
      </c>
      <c r="I68" s="59">
        <v>44281</v>
      </c>
      <c r="J68" s="73">
        <v>5</v>
      </c>
      <c r="K68" s="74">
        <v>61</v>
      </c>
      <c r="L68" s="74">
        <v>99</v>
      </c>
      <c r="M68" s="23">
        <f>((L68*12500)+(L68*12500)*10%)+8250+((0*150))</f>
        <v>1369500</v>
      </c>
      <c r="N68" s="23">
        <f t="shared" si="16"/>
        <v>86031</v>
      </c>
      <c r="O68" s="23">
        <f>(L68*1153)+20000</f>
        <v>134147</v>
      </c>
      <c r="P68" s="23">
        <f>L68*500</f>
        <v>49500</v>
      </c>
      <c r="Q68" s="14">
        <f t="shared" si="13"/>
        <v>1639178</v>
      </c>
      <c r="R68" s="21">
        <v>3208974</v>
      </c>
      <c r="S68" s="32" t="s">
        <v>438</v>
      </c>
      <c r="T68" s="30" t="s">
        <v>27</v>
      </c>
      <c r="U68" s="42" t="s">
        <v>437</v>
      </c>
      <c r="V68" s="39"/>
    </row>
    <row r="69" spans="1:22" x14ac:dyDescent="0.25">
      <c r="A69" s="26">
        <v>68</v>
      </c>
      <c r="B69" s="73" t="s">
        <v>429</v>
      </c>
      <c r="C69" s="8" t="s">
        <v>21</v>
      </c>
      <c r="D69" s="73" t="s">
        <v>430</v>
      </c>
      <c r="E69" s="22" t="s">
        <v>49</v>
      </c>
      <c r="F69" s="73" t="s">
        <v>21</v>
      </c>
      <c r="G69" s="73" t="s">
        <v>79</v>
      </c>
      <c r="H69" s="73" t="s">
        <v>200</v>
      </c>
      <c r="I69" s="59">
        <v>44281</v>
      </c>
      <c r="J69" s="73">
        <v>1</v>
      </c>
      <c r="K69" s="74">
        <v>21</v>
      </c>
      <c r="L69" s="74">
        <v>21</v>
      </c>
      <c r="M69" s="23">
        <f>((L69*12500)+(L69*12500)*10%)+8250+((0*150))</f>
        <v>297000</v>
      </c>
      <c r="N69" s="23">
        <f t="shared" si="16"/>
        <v>18249</v>
      </c>
      <c r="O69" s="23">
        <f>(L69*1153.2)+20000</f>
        <v>44217.2</v>
      </c>
      <c r="P69" s="23">
        <f>L69*1100</f>
        <v>23100</v>
      </c>
      <c r="Q69" s="14">
        <f t="shared" si="13"/>
        <v>382566.2</v>
      </c>
      <c r="R69" s="30" t="s">
        <v>94</v>
      </c>
      <c r="S69" s="30" t="s">
        <v>94</v>
      </c>
      <c r="T69" s="30" t="s">
        <v>94</v>
      </c>
      <c r="U69" s="42" t="s">
        <v>437</v>
      </c>
      <c r="V69" s="39"/>
    </row>
    <row r="70" spans="1:22" hidden="1" x14ac:dyDescent="0.25">
      <c r="A70" s="6"/>
      <c r="B70" s="73"/>
      <c r="C70" s="8"/>
      <c r="D70" s="73"/>
      <c r="E70" s="22"/>
      <c r="F70" s="73"/>
      <c r="G70" s="73"/>
      <c r="H70" s="73"/>
      <c r="I70" s="59"/>
      <c r="J70" s="73"/>
      <c r="K70" s="74"/>
      <c r="L70" s="74"/>
      <c r="M70" s="23"/>
      <c r="N70" s="21"/>
      <c r="O70" s="21"/>
      <c r="P70" s="21"/>
      <c r="Q70" s="14"/>
      <c r="R70" s="30"/>
      <c r="S70" s="30"/>
      <c r="T70" s="30"/>
    </row>
    <row r="71" spans="1:22" x14ac:dyDescent="0.25">
      <c r="Q71" s="48"/>
    </row>
    <row r="72" spans="1:22" x14ac:dyDescent="0.25">
      <c r="Q72" s="78"/>
    </row>
    <row r="74" spans="1:22" x14ac:dyDescent="0.25">
      <c r="Q74" s="49"/>
    </row>
  </sheetData>
  <autoFilter ref="A1:V70">
    <filterColumn colId="17">
      <filters>
        <filter val="Outstanding"/>
      </filters>
    </filterColumn>
  </autoFilter>
  <pageMargins left="0.7" right="0.7" top="0.75" bottom="0.75" header="0.3" footer="0.3"/>
  <pageSetup scale="5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1"/>
  <sheetViews>
    <sheetView workbookViewId="0">
      <pane xSplit="2" topLeftCell="G1" activePane="topRight" state="frozen"/>
      <selection activeCell="U4" sqref="U4"/>
      <selection pane="topRight" activeCell="R3" sqref="R3"/>
    </sheetView>
  </sheetViews>
  <sheetFormatPr defaultRowHeight="15" x14ac:dyDescent="0.25"/>
  <cols>
    <col min="1" max="1" width="5.42578125" style="79" customWidth="1"/>
    <col min="2" max="2" width="12.7109375" style="79" bestFit="1" customWidth="1"/>
    <col min="3" max="3" width="9" style="79" customWidth="1"/>
    <col min="4" max="4" width="20.7109375" style="79" bestFit="1" customWidth="1"/>
    <col min="5" max="5" width="16.5703125" style="79" bestFit="1" customWidth="1"/>
    <col min="6" max="8" width="9.140625" style="79"/>
    <col min="9" max="9" width="10" style="80" bestFit="1" customWidth="1"/>
    <col min="10" max="12" width="9.140625" style="79"/>
    <col min="13" max="13" width="12.85546875" style="79" bestFit="1" customWidth="1"/>
    <col min="14" max="15" width="9.140625" style="79"/>
    <col min="16" max="16" width="10.5703125" style="79" bestFit="1" customWidth="1"/>
    <col min="17" max="17" width="14.28515625" style="79" bestFit="1" customWidth="1"/>
    <col min="18" max="18" width="14" style="79" bestFit="1" customWidth="1"/>
    <col min="19" max="19" width="13" style="79" bestFit="1" customWidth="1"/>
    <col min="20" max="20" width="11" style="79" bestFit="1" customWidth="1"/>
    <col min="21" max="21" width="14.5703125" style="79" customWidth="1"/>
    <col min="22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x14ac:dyDescent="0.25">
      <c r="A2" s="6">
        <v>1</v>
      </c>
      <c r="B2" s="73" t="s">
        <v>439</v>
      </c>
      <c r="C2" s="8" t="s">
        <v>21</v>
      </c>
      <c r="D2" s="73" t="s">
        <v>440</v>
      </c>
      <c r="E2" s="22" t="s">
        <v>49</v>
      </c>
      <c r="F2" s="73" t="s">
        <v>21</v>
      </c>
      <c r="G2" s="73" t="s">
        <v>210</v>
      </c>
      <c r="H2" s="73" t="s">
        <v>382</v>
      </c>
      <c r="I2" s="36">
        <v>44294</v>
      </c>
      <c r="J2" s="73">
        <v>1</v>
      </c>
      <c r="K2" s="74">
        <v>30</v>
      </c>
      <c r="L2" s="74">
        <v>30</v>
      </c>
      <c r="M2" s="23">
        <f>((L2*8700)+(L2*8700)*10%)+8250+((0*150))</f>
        <v>295350</v>
      </c>
      <c r="N2" s="21">
        <f>L2*869</f>
        <v>26070</v>
      </c>
      <c r="O2" s="21">
        <f>(L2*1153.2)+20000</f>
        <v>54596</v>
      </c>
      <c r="P2" s="21">
        <f>L2*1100</f>
        <v>33000</v>
      </c>
      <c r="Q2" s="14">
        <f>SUM(M2:P2)</f>
        <v>409016</v>
      </c>
      <c r="R2" s="30" t="s">
        <v>94</v>
      </c>
      <c r="S2" s="30" t="s">
        <v>94</v>
      </c>
      <c r="T2" s="30" t="s">
        <v>94</v>
      </c>
      <c r="U2" s="83" t="s">
        <v>461</v>
      </c>
    </row>
    <row r="3" spans="1:22" x14ac:dyDescent="0.25">
      <c r="A3" s="6">
        <v>2</v>
      </c>
      <c r="B3" s="73" t="s">
        <v>444</v>
      </c>
      <c r="C3" s="8" t="s">
        <v>29</v>
      </c>
      <c r="D3" s="73" t="s">
        <v>445</v>
      </c>
      <c r="E3" s="22" t="s">
        <v>49</v>
      </c>
      <c r="F3" s="73" t="s">
        <v>29</v>
      </c>
      <c r="G3" s="73" t="s">
        <v>79</v>
      </c>
      <c r="H3" s="73" t="s">
        <v>208</v>
      </c>
      <c r="I3" s="36">
        <v>44309</v>
      </c>
      <c r="J3" s="73">
        <v>3</v>
      </c>
      <c r="K3" s="74">
        <v>54</v>
      </c>
      <c r="L3" s="74">
        <v>80</v>
      </c>
      <c r="M3" s="23">
        <f>((L3*15000)+(L3*15000)*10%)+8250+((0*150))</f>
        <v>1328250</v>
      </c>
      <c r="N3" s="21">
        <f>L3*1210</f>
        <v>96800</v>
      </c>
      <c r="O3" s="21">
        <f>(L3*1850.2)+3000</f>
        <v>151016</v>
      </c>
      <c r="P3" s="21">
        <f>L3*1100</f>
        <v>88000</v>
      </c>
      <c r="Q3" s="14">
        <f>SUM(M3:P3)</f>
        <v>1664066</v>
      </c>
      <c r="R3" s="21">
        <v>1664066</v>
      </c>
      <c r="S3" s="32" t="s">
        <v>446</v>
      </c>
      <c r="T3" s="30" t="s">
        <v>27</v>
      </c>
    </row>
    <row r="4" spans="1:22" x14ac:dyDescent="0.25">
      <c r="A4" s="26">
        <v>3</v>
      </c>
      <c r="B4" s="30" t="s">
        <v>447</v>
      </c>
      <c r="C4" s="26" t="s">
        <v>29</v>
      </c>
      <c r="D4" s="30" t="s">
        <v>448</v>
      </c>
      <c r="E4" s="30" t="s">
        <v>49</v>
      </c>
      <c r="F4" s="30" t="s">
        <v>29</v>
      </c>
      <c r="G4" s="30" t="s">
        <v>24</v>
      </c>
      <c r="H4" s="30" t="s">
        <v>93</v>
      </c>
      <c r="I4" s="36">
        <v>44313</v>
      </c>
      <c r="J4" s="30">
        <v>2</v>
      </c>
      <c r="K4" s="30">
        <v>21</v>
      </c>
      <c r="L4" s="30">
        <v>40</v>
      </c>
      <c r="M4" s="23">
        <f>((L4*22000)+(L4*22000)*10%)+8250+((L4*150))</f>
        <v>982250</v>
      </c>
      <c r="N4" s="21">
        <f>L4*1210</f>
        <v>48400</v>
      </c>
      <c r="O4" s="21">
        <f>(L4*1850.2)+3000</f>
        <v>77008</v>
      </c>
      <c r="P4" s="21">
        <f>L4*1100</f>
        <v>44000</v>
      </c>
      <c r="Q4" s="14">
        <f>SUM(M4:P4)</f>
        <v>1151658</v>
      </c>
      <c r="R4" s="21">
        <v>1151658</v>
      </c>
      <c r="S4" s="30" t="s">
        <v>463</v>
      </c>
      <c r="T4" s="30" t="s">
        <v>27</v>
      </c>
      <c r="U4" s="32" t="s">
        <v>460</v>
      </c>
    </row>
    <row r="5" spans="1:22" x14ac:dyDescent="0.25">
      <c r="A5" s="26">
        <v>4</v>
      </c>
      <c r="B5" s="30"/>
      <c r="C5" s="8" t="s">
        <v>450</v>
      </c>
      <c r="D5" s="30" t="s">
        <v>152</v>
      </c>
      <c r="E5" s="22" t="s">
        <v>49</v>
      </c>
      <c r="F5" s="30" t="s">
        <v>21</v>
      </c>
      <c r="G5" s="30" t="s">
        <v>184</v>
      </c>
      <c r="H5" s="30"/>
      <c r="I5" s="36">
        <v>44308</v>
      </c>
      <c r="J5" s="30">
        <v>20</v>
      </c>
      <c r="K5" s="30">
        <v>609</v>
      </c>
      <c r="L5" s="30">
        <v>609</v>
      </c>
      <c r="M5" s="23">
        <f>((L5*17000)+8250+((0*150))+20000)</f>
        <v>10381250</v>
      </c>
      <c r="N5" s="21"/>
      <c r="O5" s="21"/>
      <c r="P5" s="21"/>
      <c r="Q5" s="14">
        <f>SUM(M5:P5)</f>
        <v>10381250</v>
      </c>
      <c r="R5" s="21">
        <v>10381250</v>
      </c>
      <c r="S5" s="32" t="s">
        <v>543</v>
      </c>
      <c r="T5" s="30" t="s">
        <v>27</v>
      </c>
      <c r="U5" s="83" t="s">
        <v>459</v>
      </c>
    </row>
    <row r="6" spans="1:22" x14ac:dyDescent="0.25">
      <c r="Q6" s="81"/>
    </row>
    <row r="11" spans="1:22" x14ac:dyDescent="0.25">
      <c r="M11" s="81"/>
    </row>
  </sheetData>
  <autoFilter ref="A1:V5"/>
  <pageMargins left="0.7" right="0.7" top="0.75" bottom="0.75" header="0.3" footer="0.3"/>
  <pageSetup scale="5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3"/>
  <sheetViews>
    <sheetView workbookViewId="0">
      <pane xSplit="8" ySplit="10" topLeftCell="O11" activePane="bottomRight" state="frozen"/>
      <selection pane="topRight" activeCell="I1" sqref="I1"/>
      <selection pane="bottomLeft" activeCell="A11" sqref="A11"/>
      <selection pane="bottomRight" activeCell="R3" sqref="R3"/>
    </sheetView>
  </sheetViews>
  <sheetFormatPr defaultRowHeight="15" x14ac:dyDescent="0.25"/>
  <cols>
    <col min="1" max="1" width="5.42578125" style="79" customWidth="1"/>
    <col min="2" max="2" width="12.7109375" style="79" bestFit="1" customWidth="1"/>
    <col min="3" max="3" width="9" style="82" customWidth="1"/>
    <col min="4" max="4" width="20.7109375" style="79" bestFit="1" customWidth="1"/>
    <col min="5" max="5" width="16.5703125" style="79" bestFit="1" customWidth="1"/>
    <col min="6" max="8" width="9.140625" style="79"/>
    <col min="9" max="9" width="10.28515625" style="80" bestFit="1" customWidth="1"/>
    <col min="10" max="12" width="9.140625" style="79"/>
    <col min="13" max="13" width="10.5703125" style="79" bestFit="1" customWidth="1"/>
    <col min="14" max="15" width="11.42578125" style="79" bestFit="1" customWidth="1"/>
    <col min="16" max="16" width="10.5703125" style="79" bestFit="1" customWidth="1"/>
    <col min="17" max="17" width="14.28515625" style="79" bestFit="1" customWidth="1"/>
    <col min="18" max="18" width="14" style="79" bestFit="1" customWidth="1"/>
    <col min="19" max="20" width="11" style="79" bestFit="1" customWidth="1"/>
    <col min="21" max="16384" width="9.140625" style="79"/>
  </cols>
  <sheetData>
    <row r="1" spans="1:20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</row>
    <row r="2" spans="1:20" x14ac:dyDescent="0.25">
      <c r="A2" s="26">
        <v>1</v>
      </c>
      <c r="B2" s="30" t="s">
        <v>449</v>
      </c>
      <c r="C2" s="8" t="s">
        <v>29</v>
      </c>
      <c r="D2" s="30" t="s">
        <v>445</v>
      </c>
      <c r="E2" s="22" t="s">
        <v>49</v>
      </c>
      <c r="F2" s="30" t="s">
        <v>29</v>
      </c>
      <c r="G2" s="30" t="s">
        <v>79</v>
      </c>
      <c r="H2" s="30" t="s">
        <v>222</v>
      </c>
      <c r="I2" s="36">
        <v>44317</v>
      </c>
      <c r="J2" s="30">
        <v>2</v>
      </c>
      <c r="K2" s="30">
        <v>21</v>
      </c>
      <c r="L2" s="30">
        <v>33</v>
      </c>
      <c r="M2" s="23">
        <f>((L2*15000)+(L2*15000)*10%)+8250+((0*150))</f>
        <v>552750</v>
      </c>
      <c r="N2" s="21">
        <f t="shared" ref="N2:N9" si="0">L2*1210</f>
        <v>39930</v>
      </c>
      <c r="O2" s="21">
        <f>(L2*1850.2)+3000</f>
        <v>64056.6</v>
      </c>
      <c r="P2" s="21">
        <f>L2*1100</f>
        <v>36300</v>
      </c>
      <c r="Q2" s="14">
        <f>SUM(M2:P2)</f>
        <v>693036.6</v>
      </c>
      <c r="R2" s="21">
        <v>699208</v>
      </c>
      <c r="S2" s="32" t="s">
        <v>887</v>
      </c>
      <c r="T2" s="30" t="s">
        <v>27</v>
      </c>
    </row>
    <row r="3" spans="1:20" x14ac:dyDescent="0.25">
      <c r="A3" s="26">
        <v>2</v>
      </c>
      <c r="B3" s="30" t="s">
        <v>451</v>
      </c>
      <c r="C3" s="26" t="s">
        <v>29</v>
      </c>
      <c r="D3" s="30" t="s">
        <v>30</v>
      </c>
      <c r="E3" s="30" t="s">
        <v>49</v>
      </c>
      <c r="F3" s="30" t="s">
        <v>452</v>
      </c>
      <c r="G3" s="30" t="s">
        <v>60</v>
      </c>
      <c r="H3" s="30" t="s">
        <v>453</v>
      </c>
      <c r="I3" s="36">
        <v>44321</v>
      </c>
      <c r="J3" s="30">
        <v>1</v>
      </c>
      <c r="K3" s="30">
        <v>16</v>
      </c>
      <c r="L3" s="30">
        <v>16</v>
      </c>
      <c r="M3" s="23">
        <f>((L3*14200)+(L3*14200)*10%)+8250+((0*150))</f>
        <v>258170</v>
      </c>
      <c r="N3" s="21">
        <f t="shared" si="0"/>
        <v>19360</v>
      </c>
      <c r="O3" s="21">
        <f t="shared" ref="O3:O9" si="1">(L3*2037.2)+3000</f>
        <v>35595.199999999997</v>
      </c>
      <c r="P3" s="21">
        <f>L3*2100</f>
        <v>33600</v>
      </c>
      <c r="Q3" s="14">
        <f>SUM(M3:P3)</f>
        <v>346725.2</v>
      </c>
      <c r="R3" s="21">
        <v>4728600</v>
      </c>
      <c r="S3" s="32" t="s">
        <v>476</v>
      </c>
      <c r="T3" s="30" t="s">
        <v>27</v>
      </c>
    </row>
    <row r="4" spans="1:20" x14ac:dyDescent="0.25">
      <c r="A4" s="26">
        <v>3</v>
      </c>
      <c r="B4" s="30" t="s">
        <v>454</v>
      </c>
      <c r="C4" s="26" t="s">
        <v>29</v>
      </c>
      <c r="D4" s="30" t="s">
        <v>30</v>
      </c>
      <c r="E4" s="30" t="s">
        <v>49</v>
      </c>
      <c r="F4" s="30" t="s">
        <v>29</v>
      </c>
      <c r="G4" s="30" t="s">
        <v>35</v>
      </c>
      <c r="H4" s="30" t="s">
        <v>157</v>
      </c>
      <c r="I4" s="36">
        <v>44321</v>
      </c>
      <c r="J4" s="30">
        <v>11</v>
      </c>
      <c r="K4" s="30">
        <v>283</v>
      </c>
      <c r="L4" s="30">
        <v>283</v>
      </c>
      <c r="M4" s="23">
        <f>((L4*9200)+(L4*9200)*10%)+8250+((0*150))</f>
        <v>2872210</v>
      </c>
      <c r="N4" s="21">
        <f t="shared" si="0"/>
        <v>342430</v>
      </c>
      <c r="O4" s="21">
        <f t="shared" si="1"/>
        <v>579527.6</v>
      </c>
      <c r="P4" s="21">
        <f>L4*2100</f>
        <v>594300</v>
      </c>
      <c r="Q4" s="14">
        <f>SUM(M4:P4)</f>
        <v>4388467.5999999996</v>
      </c>
      <c r="R4" s="21">
        <v>4728600</v>
      </c>
      <c r="S4" s="32" t="s">
        <v>476</v>
      </c>
      <c r="T4" s="30" t="s">
        <v>27</v>
      </c>
    </row>
    <row r="5" spans="1:20" x14ac:dyDescent="0.25">
      <c r="A5" s="26">
        <v>4</v>
      </c>
      <c r="B5" s="30" t="s">
        <v>455</v>
      </c>
      <c r="C5" s="26" t="s">
        <v>29</v>
      </c>
      <c r="D5" s="30" t="s">
        <v>462</v>
      </c>
      <c r="E5" s="30" t="s">
        <v>49</v>
      </c>
      <c r="F5" s="30" t="s">
        <v>29</v>
      </c>
      <c r="G5" s="30" t="s">
        <v>241</v>
      </c>
      <c r="H5" s="30" t="s">
        <v>55</v>
      </c>
      <c r="I5" s="36">
        <v>44321</v>
      </c>
      <c r="J5" s="30">
        <v>6</v>
      </c>
      <c r="K5" s="30">
        <v>120</v>
      </c>
      <c r="L5" s="30">
        <v>120</v>
      </c>
      <c r="M5" s="23">
        <f>((L5*27500)+(L5*27500)*10%)+8250+((K5*150)+(K5*150)*10%)</f>
        <v>3658050</v>
      </c>
      <c r="N5" s="21">
        <f t="shared" si="0"/>
        <v>145200</v>
      </c>
      <c r="O5" s="21">
        <f t="shared" si="1"/>
        <v>247464</v>
      </c>
      <c r="P5" s="21">
        <f>L5*500</f>
        <v>60000</v>
      </c>
      <c r="Q5" s="14">
        <f>SUM(M5:P5)</f>
        <v>4110714</v>
      </c>
      <c r="R5" s="21">
        <v>5173184</v>
      </c>
      <c r="S5" s="32" t="s">
        <v>489</v>
      </c>
      <c r="T5" s="30" t="s">
        <v>27</v>
      </c>
    </row>
    <row r="6" spans="1:20" x14ac:dyDescent="0.25">
      <c r="A6" s="26">
        <v>5</v>
      </c>
      <c r="B6" s="30" t="s">
        <v>456</v>
      </c>
      <c r="C6" s="26" t="s">
        <v>29</v>
      </c>
      <c r="D6" s="30" t="s">
        <v>457</v>
      </c>
      <c r="E6" s="30" t="s">
        <v>49</v>
      </c>
      <c r="F6" s="30" t="s">
        <v>29</v>
      </c>
      <c r="G6" s="30" t="s">
        <v>76</v>
      </c>
      <c r="H6" s="30" t="s">
        <v>458</v>
      </c>
      <c r="I6" s="36">
        <v>44322</v>
      </c>
      <c r="J6" s="30">
        <v>7</v>
      </c>
      <c r="K6" s="30">
        <v>118</v>
      </c>
      <c r="L6" s="30">
        <v>118</v>
      </c>
      <c r="M6" s="23">
        <f>((L6*18000)+(L6*18000)*10%)+8250+((K6*150)+(K6*150)*10%)</f>
        <v>2364120</v>
      </c>
      <c r="N6" s="21">
        <f t="shared" si="0"/>
        <v>142780</v>
      </c>
      <c r="O6" s="21">
        <f t="shared" si="1"/>
        <v>243389.6</v>
      </c>
      <c r="P6" s="21">
        <f>L6*1100</f>
        <v>129800</v>
      </c>
      <c r="Q6" s="14">
        <f t="shared" ref="Q6:Q18" si="2">SUM(M6:P6)</f>
        <v>2880089.6</v>
      </c>
      <c r="R6" s="30" t="s">
        <v>94</v>
      </c>
      <c r="S6" s="30" t="s">
        <v>94</v>
      </c>
      <c r="T6" s="30" t="s">
        <v>94</v>
      </c>
    </row>
    <row r="7" spans="1:20" x14ac:dyDescent="0.25">
      <c r="A7" s="26">
        <v>6</v>
      </c>
      <c r="B7" s="30" t="s">
        <v>464</v>
      </c>
      <c r="C7" s="26" t="s">
        <v>29</v>
      </c>
      <c r="D7" s="30" t="s">
        <v>462</v>
      </c>
      <c r="E7" s="30" t="s">
        <v>49</v>
      </c>
      <c r="F7" s="30" t="s">
        <v>452</v>
      </c>
      <c r="G7" s="30" t="s">
        <v>40</v>
      </c>
      <c r="H7" s="30" t="s">
        <v>465</v>
      </c>
      <c r="I7" s="36">
        <v>44333</v>
      </c>
      <c r="J7" s="30">
        <v>5</v>
      </c>
      <c r="K7" s="30">
        <v>100</v>
      </c>
      <c r="L7" s="30">
        <v>100</v>
      </c>
      <c r="M7" s="23">
        <f>((L7*6000)+(L7*6000)*10%)+8250+((K7*150)+(K7*150)*10%)</f>
        <v>684750</v>
      </c>
      <c r="N7" s="21">
        <f t="shared" si="0"/>
        <v>121000</v>
      </c>
      <c r="O7" s="21">
        <f t="shared" si="1"/>
        <v>206720</v>
      </c>
      <c r="P7" s="21">
        <f>L7*500</f>
        <v>50000</v>
      </c>
      <c r="Q7" s="14">
        <f t="shared" si="2"/>
        <v>1062470</v>
      </c>
      <c r="R7" s="21">
        <v>5173184</v>
      </c>
      <c r="S7" s="32" t="s">
        <v>489</v>
      </c>
      <c r="T7" s="30" t="s">
        <v>27</v>
      </c>
    </row>
    <row r="8" spans="1:20" x14ac:dyDescent="0.25">
      <c r="A8" s="26">
        <v>7</v>
      </c>
      <c r="B8" s="30" t="s">
        <v>466</v>
      </c>
      <c r="C8" s="26" t="s">
        <v>29</v>
      </c>
      <c r="D8" s="30" t="s">
        <v>462</v>
      </c>
      <c r="E8" s="30" t="s">
        <v>468</v>
      </c>
      <c r="F8" s="30" t="s">
        <v>452</v>
      </c>
      <c r="G8" s="30" t="s">
        <v>69</v>
      </c>
      <c r="H8" s="30" t="s">
        <v>469</v>
      </c>
      <c r="I8" s="36">
        <v>44334</v>
      </c>
      <c r="J8" s="30">
        <v>15</v>
      </c>
      <c r="K8" s="30">
        <v>360</v>
      </c>
      <c r="L8" s="30">
        <v>360</v>
      </c>
      <c r="M8" s="23">
        <f>((L8*10500)+(L8*10500)*10%)+8250+((K8*0)+(K8*0)*10%)</f>
        <v>4166250</v>
      </c>
      <c r="N8" s="21">
        <f t="shared" si="0"/>
        <v>435600</v>
      </c>
      <c r="O8" s="21">
        <f t="shared" si="1"/>
        <v>736392</v>
      </c>
      <c r="P8" s="21">
        <f>L8*500</f>
        <v>180000</v>
      </c>
      <c r="Q8" s="14">
        <f t="shared" si="2"/>
        <v>5518242</v>
      </c>
      <c r="R8" s="198">
        <v>7778180</v>
      </c>
      <c r="S8" s="201" t="s">
        <v>506</v>
      </c>
      <c r="T8" s="204" t="s">
        <v>27</v>
      </c>
    </row>
    <row r="9" spans="1:20" x14ac:dyDescent="0.25">
      <c r="A9" s="26">
        <v>8</v>
      </c>
      <c r="B9" s="30" t="s">
        <v>467</v>
      </c>
      <c r="C9" s="26" t="s">
        <v>29</v>
      </c>
      <c r="D9" s="30" t="s">
        <v>462</v>
      </c>
      <c r="E9" s="30" t="s">
        <v>468</v>
      </c>
      <c r="F9" s="30" t="s">
        <v>452</v>
      </c>
      <c r="G9" s="30" t="s">
        <v>69</v>
      </c>
      <c r="H9" s="30" t="s">
        <v>469</v>
      </c>
      <c r="I9" s="36">
        <v>44334</v>
      </c>
      <c r="J9" s="30">
        <v>6</v>
      </c>
      <c r="K9" s="30">
        <v>147</v>
      </c>
      <c r="L9" s="30">
        <v>147</v>
      </c>
      <c r="M9" s="23">
        <f>((L9*10500)+(L9*10500)*10%)+8250+((K9*0)+(K9*0)*10%)</f>
        <v>1706100</v>
      </c>
      <c r="N9" s="21">
        <f t="shared" si="0"/>
        <v>177870</v>
      </c>
      <c r="O9" s="21">
        <f t="shared" si="1"/>
        <v>302468.40000000002</v>
      </c>
      <c r="P9" s="21">
        <f>L9*500</f>
        <v>73500</v>
      </c>
      <c r="Q9" s="14">
        <f t="shared" si="2"/>
        <v>2259938.4</v>
      </c>
      <c r="R9" s="200"/>
      <c r="S9" s="203"/>
      <c r="T9" s="206"/>
    </row>
    <row r="10" spans="1:20" x14ac:dyDescent="0.25">
      <c r="A10" s="68">
        <v>9</v>
      </c>
      <c r="B10" s="30" t="s">
        <v>470</v>
      </c>
      <c r="C10" s="26" t="s">
        <v>29</v>
      </c>
      <c r="D10" s="30" t="s">
        <v>30</v>
      </c>
      <c r="E10" s="30" t="s">
        <v>473</v>
      </c>
      <c r="F10" s="30" t="s">
        <v>29</v>
      </c>
      <c r="G10" s="30" t="s">
        <v>166</v>
      </c>
      <c r="H10" s="30" t="s">
        <v>474</v>
      </c>
      <c r="I10" s="36">
        <v>44335</v>
      </c>
      <c r="J10" s="30">
        <v>4</v>
      </c>
      <c r="K10" s="30">
        <v>92</v>
      </c>
      <c r="L10" s="30">
        <v>92</v>
      </c>
      <c r="M10" s="23">
        <f>((L10*8500)+(L10*8500)*10%)+8250+((0*150))</f>
        <v>868450</v>
      </c>
      <c r="N10" s="21">
        <f>L10*1210</f>
        <v>111320</v>
      </c>
      <c r="O10" s="21">
        <f>(L10*2037.2)+3000</f>
        <v>190422.39999999999</v>
      </c>
      <c r="P10" s="21">
        <f>L10*2100</f>
        <v>193200</v>
      </c>
      <c r="Q10" s="14">
        <f t="shared" si="2"/>
        <v>1363392.4</v>
      </c>
      <c r="R10" s="121">
        <v>26376000</v>
      </c>
      <c r="S10" s="151" t="s">
        <v>523</v>
      </c>
      <c r="T10" s="152" t="s">
        <v>27</v>
      </c>
    </row>
    <row r="11" spans="1:20" x14ac:dyDescent="0.25">
      <c r="A11" s="68">
        <v>10</v>
      </c>
      <c r="B11" s="30" t="s">
        <v>471</v>
      </c>
      <c r="C11" s="26" t="s">
        <v>29</v>
      </c>
      <c r="D11" s="30" t="s">
        <v>30</v>
      </c>
      <c r="E11" s="30" t="s">
        <v>473</v>
      </c>
      <c r="F11" s="30" t="s">
        <v>29</v>
      </c>
      <c r="G11" s="30" t="s">
        <v>35</v>
      </c>
      <c r="H11" s="30" t="s">
        <v>475</v>
      </c>
      <c r="I11" s="36">
        <v>44335</v>
      </c>
      <c r="J11" s="30">
        <v>3</v>
      </c>
      <c r="K11" s="30">
        <v>40</v>
      </c>
      <c r="L11" s="30">
        <v>40</v>
      </c>
      <c r="M11" s="23">
        <f>((L11*9200)+(L11*9200)*10%)+8250+((0*150))</f>
        <v>413050</v>
      </c>
      <c r="N11" s="21">
        <f>L11*1210</f>
        <v>48400</v>
      </c>
      <c r="O11" s="21">
        <f>(L11*2037.2)+3000</f>
        <v>84488</v>
      </c>
      <c r="P11" s="21">
        <f>L11*2100</f>
        <v>84000</v>
      </c>
      <c r="Q11" s="14">
        <f t="shared" si="2"/>
        <v>629938</v>
      </c>
      <c r="R11" s="121">
        <v>26376000</v>
      </c>
      <c r="S11" s="151" t="s">
        <v>523</v>
      </c>
      <c r="T11" s="152" t="s">
        <v>27</v>
      </c>
    </row>
    <row r="12" spans="1:20" x14ac:dyDescent="0.25">
      <c r="A12" s="68">
        <v>11</v>
      </c>
      <c r="B12" s="30" t="s">
        <v>472</v>
      </c>
      <c r="C12" s="26" t="s">
        <v>29</v>
      </c>
      <c r="D12" s="30" t="s">
        <v>30</v>
      </c>
      <c r="E12" s="30" t="s">
        <v>473</v>
      </c>
      <c r="F12" s="30" t="s">
        <v>29</v>
      </c>
      <c r="G12" s="30" t="s">
        <v>184</v>
      </c>
      <c r="H12" s="30" t="s">
        <v>256</v>
      </c>
      <c r="I12" s="36">
        <v>44335</v>
      </c>
      <c r="J12" s="30">
        <v>8</v>
      </c>
      <c r="K12" s="30">
        <v>187</v>
      </c>
      <c r="L12" s="30">
        <v>187</v>
      </c>
      <c r="M12" s="23">
        <f>((L12*13500)+(L12*13500)*10%)+8250+((0*150))</f>
        <v>2785200</v>
      </c>
      <c r="N12" s="21">
        <f>L12*1210</f>
        <v>226270</v>
      </c>
      <c r="O12" s="21">
        <f>(L12*2037.2)+3000</f>
        <v>383956.4</v>
      </c>
      <c r="P12" s="21">
        <f>L12*2100</f>
        <v>392700</v>
      </c>
      <c r="Q12" s="14">
        <f t="shared" si="2"/>
        <v>3788126.4</v>
      </c>
      <c r="R12" s="122">
        <v>26376000</v>
      </c>
      <c r="S12" s="153" t="s">
        <v>523</v>
      </c>
      <c r="T12" s="152" t="s">
        <v>27</v>
      </c>
    </row>
    <row r="13" spans="1:20" ht="15" customHeight="1" x14ac:dyDescent="0.25">
      <c r="A13" s="26">
        <v>12</v>
      </c>
      <c r="B13" s="30" t="s">
        <v>477</v>
      </c>
      <c r="C13" s="26" t="s">
        <v>29</v>
      </c>
      <c r="D13" s="30" t="s">
        <v>483</v>
      </c>
      <c r="E13" s="30" t="s">
        <v>49</v>
      </c>
      <c r="F13" s="30" t="s">
        <v>29</v>
      </c>
      <c r="G13" s="30" t="s">
        <v>64</v>
      </c>
      <c r="H13" s="30" t="s">
        <v>484</v>
      </c>
      <c r="I13" s="36">
        <v>44336</v>
      </c>
      <c r="J13" s="30">
        <v>2</v>
      </c>
      <c r="K13" s="30">
        <v>77</v>
      </c>
      <c r="L13" s="30">
        <v>77</v>
      </c>
      <c r="M13" s="23">
        <f>((L13*14400)+(L13*14400)*10%)+8250+((0*150))</f>
        <v>1227930</v>
      </c>
      <c r="N13" s="21">
        <f t="shared" ref="N13:N18" si="3">L13*1210</f>
        <v>93170</v>
      </c>
      <c r="O13" s="21">
        <f t="shared" ref="O13:O18" si="4">(L13*2037.2)+3000</f>
        <v>159864.4</v>
      </c>
      <c r="P13" s="21">
        <f>L13*1100</f>
        <v>84700</v>
      </c>
      <c r="Q13" s="14">
        <f t="shared" si="2"/>
        <v>1565664.4</v>
      </c>
      <c r="R13" s="117">
        <v>1565644</v>
      </c>
      <c r="S13" s="154" t="s">
        <v>888</v>
      </c>
      <c r="T13" s="152" t="s">
        <v>27</v>
      </c>
    </row>
    <row r="14" spans="1:20" x14ac:dyDescent="0.25">
      <c r="A14" s="26">
        <v>13</v>
      </c>
      <c r="B14" s="30" t="s">
        <v>478</v>
      </c>
      <c r="C14" s="26" t="s">
        <v>29</v>
      </c>
      <c r="D14" s="30" t="s">
        <v>30</v>
      </c>
      <c r="E14" s="30" t="s">
        <v>473</v>
      </c>
      <c r="F14" s="30" t="s">
        <v>29</v>
      </c>
      <c r="G14" s="30" t="s">
        <v>166</v>
      </c>
      <c r="H14" s="30" t="s">
        <v>485</v>
      </c>
      <c r="I14" s="36">
        <v>44336</v>
      </c>
      <c r="J14" s="30">
        <v>15</v>
      </c>
      <c r="K14" s="30">
        <v>335</v>
      </c>
      <c r="L14" s="30">
        <v>335</v>
      </c>
      <c r="M14" s="23">
        <f>((L14*8500)+(L14*8500)*10%)+8250+((0*150))</f>
        <v>3140500</v>
      </c>
      <c r="N14" s="21">
        <f t="shared" si="3"/>
        <v>405350</v>
      </c>
      <c r="O14" s="21">
        <f t="shared" si="4"/>
        <v>685462</v>
      </c>
      <c r="P14" s="21">
        <f>L14*2100</f>
        <v>703500</v>
      </c>
      <c r="Q14" s="14">
        <f t="shared" si="2"/>
        <v>4934812</v>
      </c>
      <c r="R14" s="121">
        <v>26376000</v>
      </c>
      <c r="S14" s="151" t="s">
        <v>523</v>
      </c>
      <c r="T14" s="152" t="s">
        <v>27</v>
      </c>
    </row>
    <row r="15" spans="1:20" x14ac:dyDescent="0.25">
      <c r="A15" s="26">
        <v>14</v>
      </c>
      <c r="B15" s="30" t="s">
        <v>479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79</v>
      </c>
      <c r="H15" s="30" t="s">
        <v>486</v>
      </c>
      <c r="I15" s="36">
        <v>44336</v>
      </c>
      <c r="J15" s="30">
        <v>7</v>
      </c>
      <c r="K15" s="30">
        <v>160</v>
      </c>
      <c r="L15" s="30">
        <v>160</v>
      </c>
      <c r="M15" s="23">
        <f>((L15*15000)+(L15*15000)*10%)+8250+((0*150))</f>
        <v>2648250</v>
      </c>
      <c r="N15" s="21">
        <f t="shared" si="3"/>
        <v>193600</v>
      </c>
      <c r="O15" s="21">
        <f t="shared" si="4"/>
        <v>328952</v>
      </c>
      <c r="P15" s="21">
        <f>L15*2100</f>
        <v>336000</v>
      </c>
      <c r="Q15" s="14">
        <f t="shared" si="2"/>
        <v>3506802</v>
      </c>
      <c r="R15" s="121">
        <v>26376000</v>
      </c>
      <c r="S15" s="151" t="s">
        <v>523</v>
      </c>
      <c r="T15" s="152" t="s">
        <v>27</v>
      </c>
    </row>
    <row r="16" spans="1:20" x14ac:dyDescent="0.25">
      <c r="A16" s="26">
        <v>15</v>
      </c>
      <c r="B16" s="30" t="s">
        <v>480</v>
      </c>
      <c r="C16" s="26" t="s">
        <v>29</v>
      </c>
      <c r="D16" s="30" t="s">
        <v>30</v>
      </c>
      <c r="E16" s="30" t="s">
        <v>473</v>
      </c>
      <c r="F16" s="30" t="s">
        <v>29</v>
      </c>
      <c r="G16" s="30" t="s">
        <v>64</v>
      </c>
      <c r="H16" s="30" t="s">
        <v>487</v>
      </c>
      <c r="I16" s="36">
        <v>44336</v>
      </c>
      <c r="J16" s="30">
        <v>15</v>
      </c>
      <c r="K16" s="30">
        <v>348</v>
      </c>
      <c r="L16" s="30">
        <v>348</v>
      </c>
      <c r="M16" s="23">
        <f>((L16*14400)+(L16*14400)*10%)+8250+((0*150))</f>
        <v>5520570</v>
      </c>
      <c r="N16" s="21">
        <f t="shared" si="3"/>
        <v>421080</v>
      </c>
      <c r="O16" s="21">
        <f t="shared" si="4"/>
        <v>711945.6</v>
      </c>
      <c r="P16" s="21">
        <f>L16*2100</f>
        <v>730800</v>
      </c>
      <c r="Q16" s="14">
        <f t="shared" si="2"/>
        <v>7384395.5999999996</v>
      </c>
      <c r="R16" s="121">
        <v>26376000</v>
      </c>
      <c r="S16" s="151" t="s">
        <v>523</v>
      </c>
      <c r="T16" s="152" t="s">
        <v>27</v>
      </c>
    </row>
    <row r="17" spans="1:20" x14ac:dyDescent="0.25">
      <c r="A17" s="26">
        <v>16</v>
      </c>
      <c r="B17" s="30" t="s">
        <v>481</v>
      </c>
      <c r="C17" s="26" t="s">
        <v>29</v>
      </c>
      <c r="D17" s="30" t="s">
        <v>30</v>
      </c>
      <c r="E17" s="30" t="s">
        <v>473</v>
      </c>
      <c r="F17" s="30" t="s">
        <v>29</v>
      </c>
      <c r="G17" s="30" t="s">
        <v>64</v>
      </c>
      <c r="H17" s="30" t="s">
        <v>487</v>
      </c>
      <c r="I17" s="36">
        <v>44336</v>
      </c>
      <c r="J17" s="30">
        <v>4</v>
      </c>
      <c r="K17" s="30">
        <v>94</v>
      </c>
      <c r="L17" s="30">
        <v>94</v>
      </c>
      <c r="M17" s="23">
        <f>((L17*14400)+(L17*14400)*10%)+8250+((0*150))</f>
        <v>1497210</v>
      </c>
      <c r="N17" s="21">
        <f t="shared" si="3"/>
        <v>113740</v>
      </c>
      <c r="O17" s="21">
        <f t="shared" si="4"/>
        <v>194496.80000000002</v>
      </c>
      <c r="P17" s="21">
        <f>L17*2100</f>
        <v>197400</v>
      </c>
      <c r="Q17" s="14">
        <f t="shared" si="2"/>
        <v>2002846.8</v>
      </c>
      <c r="R17" s="121">
        <v>26376000</v>
      </c>
      <c r="S17" s="151" t="s">
        <v>523</v>
      </c>
      <c r="T17" s="152" t="s">
        <v>27</v>
      </c>
    </row>
    <row r="18" spans="1:20" x14ac:dyDescent="0.25">
      <c r="A18" s="26">
        <v>17</v>
      </c>
      <c r="B18" s="30" t="s">
        <v>482</v>
      </c>
      <c r="C18" s="26" t="s">
        <v>29</v>
      </c>
      <c r="D18" s="30" t="s">
        <v>30</v>
      </c>
      <c r="E18" s="30" t="s">
        <v>473</v>
      </c>
      <c r="F18" s="30" t="s">
        <v>29</v>
      </c>
      <c r="G18" s="30" t="s">
        <v>69</v>
      </c>
      <c r="H18" s="30" t="s">
        <v>488</v>
      </c>
      <c r="I18" s="36">
        <v>44337</v>
      </c>
      <c r="J18" s="30">
        <v>7</v>
      </c>
      <c r="K18" s="30">
        <v>163</v>
      </c>
      <c r="L18" s="30">
        <v>163</v>
      </c>
      <c r="M18" s="23">
        <f>((L18*10500)+(L18*10500)*10%)+8250+((0*150))</f>
        <v>1890900</v>
      </c>
      <c r="N18" s="21">
        <f t="shared" si="3"/>
        <v>197230</v>
      </c>
      <c r="O18" s="21">
        <f t="shared" si="4"/>
        <v>335063.60000000003</v>
      </c>
      <c r="P18" s="21">
        <f>L18*2100</f>
        <v>342300</v>
      </c>
      <c r="Q18" s="14">
        <f t="shared" si="2"/>
        <v>2765493.6</v>
      </c>
      <c r="R18" s="121">
        <v>26376000</v>
      </c>
      <c r="S18" s="151" t="s">
        <v>523</v>
      </c>
      <c r="T18" s="152" t="s">
        <v>27</v>
      </c>
    </row>
    <row r="19" spans="1:20" x14ac:dyDescent="0.25">
      <c r="A19" s="26">
        <v>18</v>
      </c>
      <c r="B19" s="30" t="s">
        <v>490</v>
      </c>
      <c r="C19" s="26" t="s">
        <v>29</v>
      </c>
      <c r="D19" s="30" t="s">
        <v>491</v>
      </c>
      <c r="E19" s="30" t="s">
        <v>23</v>
      </c>
      <c r="F19" s="30" t="s">
        <v>29</v>
      </c>
      <c r="G19" s="30" t="s">
        <v>79</v>
      </c>
      <c r="H19" s="30" t="s">
        <v>222</v>
      </c>
      <c r="I19" s="36">
        <v>44341</v>
      </c>
      <c r="J19" s="30">
        <v>1</v>
      </c>
      <c r="K19" s="30">
        <v>10</v>
      </c>
      <c r="L19" s="30">
        <v>10</v>
      </c>
      <c r="M19" s="23">
        <f>((L19*15000)+(L19*15000)*10%)+8250+((0*150))</f>
        <v>173250</v>
      </c>
      <c r="N19" s="21">
        <f>L19*1210</f>
        <v>12100</v>
      </c>
      <c r="O19" s="21">
        <f>(L19*2037.2)+3000</f>
        <v>23372</v>
      </c>
      <c r="P19" s="21">
        <f>L19*1100</f>
        <v>11000</v>
      </c>
      <c r="Q19" s="14">
        <f>SUM(M19:P19)</f>
        <v>219722</v>
      </c>
      <c r="R19" s="21">
        <v>219722</v>
      </c>
      <c r="S19" s="32" t="s">
        <v>492</v>
      </c>
      <c r="T19" s="30" t="s">
        <v>27</v>
      </c>
    </row>
    <row r="20" spans="1:20" x14ac:dyDescent="0.25">
      <c r="A20" s="26">
        <v>19</v>
      </c>
      <c r="B20" s="30" t="s">
        <v>493</v>
      </c>
      <c r="C20" s="26" t="s">
        <v>29</v>
      </c>
      <c r="D20" s="30" t="s">
        <v>491</v>
      </c>
      <c r="E20" s="30" t="s">
        <v>49</v>
      </c>
      <c r="F20" s="30" t="s">
        <v>29</v>
      </c>
      <c r="G20" s="30" t="s">
        <v>494</v>
      </c>
      <c r="H20" s="30" t="s">
        <v>495</v>
      </c>
      <c r="I20" s="36">
        <v>44345</v>
      </c>
      <c r="J20" s="30">
        <v>1</v>
      </c>
      <c r="K20" s="30">
        <v>10</v>
      </c>
      <c r="L20" s="30">
        <v>16</v>
      </c>
      <c r="M20" s="23">
        <f>((L20*53500)+(L20*53500)*10%)+8250+((0*150))</f>
        <v>949850</v>
      </c>
      <c r="N20" s="21">
        <f>L20*1210</f>
        <v>19360</v>
      </c>
      <c r="O20" s="21">
        <f>(L20*2037.2)+3000</f>
        <v>35595.199999999997</v>
      </c>
      <c r="P20" s="21">
        <f>L20*1100</f>
        <v>17600</v>
      </c>
      <c r="Q20" s="14">
        <f>SUM(M20:P20)</f>
        <v>1022405.2</v>
      </c>
      <c r="R20" s="21">
        <v>1022405</v>
      </c>
      <c r="S20" s="32" t="s">
        <v>496</v>
      </c>
      <c r="T20" s="30" t="s">
        <v>27</v>
      </c>
    </row>
    <row r="21" spans="1:20" x14ac:dyDescent="0.25">
      <c r="Q21" s="81"/>
      <c r="R21" s="81"/>
    </row>
    <row r="22" spans="1:20" x14ac:dyDescent="0.25">
      <c r="Q22" s="81"/>
      <c r="R22" s="93"/>
    </row>
    <row r="23" spans="1:20" x14ac:dyDescent="0.25">
      <c r="Q23" s="93"/>
    </row>
  </sheetData>
  <autoFilter ref="A1:T20"/>
  <mergeCells count="3">
    <mergeCell ref="R8:R9"/>
    <mergeCell ref="S8:S9"/>
    <mergeCell ref="T8:T9"/>
  </mergeCells>
  <pageMargins left="0.7" right="0.7" top="0.75" bottom="0.75" header="0.3" footer="0.3"/>
  <pageSetup scale="4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8"/>
  <sheetViews>
    <sheetView workbookViewId="0">
      <pane xSplit="4" topLeftCell="K1" activePane="topRight" state="frozen"/>
      <selection pane="topRight" activeCell="R2" sqref="R2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18.85546875" style="79" bestFit="1" customWidth="1"/>
    <col min="5" max="5" width="12.7109375" style="79" bestFit="1" customWidth="1"/>
    <col min="6" max="8" width="9.140625" style="79"/>
    <col min="9" max="9" width="9.7109375" style="80" bestFit="1" customWidth="1"/>
    <col min="10" max="12" width="9.140625" style="79"/>
    <col min="13" max="13" width="12.85546875" style="79" customWidth="1"/>
    <col min="14" max="16" width="9.140625" style="79" customWidth="1"/>
    <col min="17" max="18" width="14" style="79" bestFit="1" customWidth="1"/>
    <col min="19" max="20" width="11.85546875" style="79" bestFit="1" customWidth="1"/>
    <col min="21" max="16384" width="9.140625" style="79"/>
  </cols>
  <sheetData>
    <row r="1" spans="1:20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0" t="s">
        <v>17</v>
      </c>
      <c r="S1" s="40" t="s">
        <v>18</v>
      </c>
      <c r="T1" s="40" t="s">
        <v>19</v>
      </c>
    </row>
    <row r="2" spans="1:20" hidden="1" x14ac:dyDescent="0.25">
      <c r="A2" s="26">
        <v>1</v>
      </c>
      <c r="B2" s="30" t="s">
        <v>497</v>
      </c>
      <c r="C2" s="26" t="s">
        <v>29</v>
      </c>
      <c r="D2" s="30" t="s">
        <v>483</v>
      </c>
      <c r="E2" s="30" t="s">
        <v>49</v>
      </c>
      <c r="F2" s="30" t="s">
        <v>29</v>
      </c>
      <c r="G2" s="30" t="s">
        <v>64</v>
      </c>
      <c r="H2" s="30" t="s">
        <v>487</v>
      </c>
      <c r="I2" s="36">
        <v>44348</v>
      </c>
      <c r="J2" s="30">
        <v>1</v>
      </c>
      <c r="K2" s="30">
        <v>8</v>
      </c>
      <c r="L2" s="30">
        <v>10</v>
      </c>
      <c r="M2" s="23">
        <f>((L2*14400)+(L2*14400)*10%)+8250+((0*150))</f>
        <v>166650</v>
      </c>
      <c r="N2" s="21">
        <f t="shared" ref="N2:N22" si="0">L2*1210</f>
        <v>12100</v>
      </c>
      <c r="O2" s="21">
        <f t="shared" ref="O2:O14" si="1">(L2*2037.2)+3000</f>
        <v>23372</v>
      </c>
      <c r="P2" s="21">
        <f>L2*1100</f>
        <v>11000</v>
      </c>
      <c r="Q2" s="14">
        <f t="shared" ref="Q2:Q22" si="2">SUM(M2:P2)</f>
        <v>213122</v>
      </c>
      <c r="R2" s="21">
        <v>213122</v>
      </c>
      <c r="S2" s="32" t="s">
        <v>519</v>
      </c>
      <c r="T2" s="30" t="s">
        <v>27</v>
      </c>
    </row>
    <row r="3" spans="1:20" hidden="1" x14ac:dyDescent="0.25">
      <c r="A3" s="26">
        <v>2</v>
      </c>
      <c r="B3" s="30" t="s">
        <v>498</v>
      </c>
      <c r="C3" s="26" t="s">
        <v>29</v>
      </c>
      <c r="D3" s="30" t="s">
        <v>491</v>
      </c>
      <c r="E3" s="30" t="s">
        <v>49</v>
      </c>
      <c r="F3" s="30" t="s">
        <v>29</v>
      </c>
      <c r="G3" s="30" t="s">
        <v>64</v>
      </c>
      <c r="H3" s="30" t="s">
        <v>499</v>
      </c>
      <c r="I3" s="36">
        <v>44349</v>
      </c>
      <c r="J3" s="30">
        <v>3</v>
      </c>
      <c r="K3" s="30">
        <v>76</v>
      </c>
      <c r="L3" s="30">
        <v>76</v>
      </c>
      <c r="M3" s="23">
        <f>((L3*14400)+(L3*14400)*10%)+8250+((0*150))</f>
        <v>1212090</v>
      </c>
      <c r="N3" s="21">
        <f t="shared" si="0"/>
        <v>91960</v>
      </c>
      <c r="O3" s="21">
        <f t="shared" si="1"/>
        <v>157827.20000000001</v>
      </c>
      <c r="P3" s="21">
        <f>L3*1100</f>
        <v>83600</v>
      </c>
      <c r="Q3" s="14">
        <f t="shared" si="2"/>
        <v>1545477.2</v>
      </c>
      <c r="R3" s="21">
        <v>1545477</v>
      </c>
      <c r="S3" s="32" t="s">
        <v>503</v>
      </c>
      <c r="T3" s="30" t="s">
        <v>27</v>
      </c>
    </row>
    <row r="4" spans="1:20" hidden="1" x14ac:dyDescent="0.25">
      <c r="A4" s="26">
        <v>3</v>
      </c>
      <c r="B4" s="30" t="s">
        <v>500</v>
      </c>
      <c r="C4" s="26" t="s">
        <v>29</v>
      </c>
      <c r="D4" s="30" t="s">
        <v>491</v>
      </c>
      <c r="E4" s="30" t="s">
        <v>49</v>
      </c>
      <c r="F4" s="30" t="s">
        <v>29</v>
      </c>
      <c r="G4" s="30" t="s">
        <v>79</v>
      </c>
      <c r="H4" s="30" t="s">
        <v>222</v>
      </c>
      <c r="I4" s="36">
        <v>44350</v>
      </c>
      <c r="J4" s="30">
        <v>2</v>
      </c>
      <c r="K4" s="30">
        <v>27</v>
      </c>
      <c r="L4" s="30">
        <v>27</v>
      </c>
      <c r="M4" s="23">
        <f>((L4*15000)+(L4*15000)*10%)+8250+((0*150))</f>
        <v>453750</v>
      </c>
      <c r="N4" s="21">
        <f t="shared" si="0"/>
        <v>32670</v>
      </c>
      <c r="O4" s="21">
        <f t="shared" si="1"/>
        <v>58004.4</v>
      </c>
      <c r="P4" s="21">
        <f>L4*1100</f>
        <v>29700</v>
      </c>
      <c r="Q4" s="14">
        <f t="shared" si="2"/>
        <v>574124.4</v>
      </c>
      <c r="R4" s="216">
        <v>1102194</v>
      </c>
      <c r="S4" s="217" t="s">
        <v>504</v>
      </c>
      <c r="T4" s="218" t="s">
        <v>27</v>
      </c>
    </row>
    <row r="5" spans="1:20" hidden="1" x14ac:dyDescent="0.25">
      <c r="A5" s="26">
        <v>4</v>
      </c>
      <c r="B5" s="30" t="s">
        <v>501</v>
      </c>
      <c r="C5" s="26" t="s">
        <v>29</v>
      </c>
      <c r="D5" s="30" t="s">
        <v>491</v>
      </c>
      <c r="E5" s="30" t="s">
        <v>49</v>
      </c>
      <c r="F5" s="30" t="s">
        <v>29</v>
      </c>
      <c r="G5" s="30" t="s">
        <v>24</v>
      </c>
      <c r="H5" s="30" t="s">
        <v>502</v>
      </c>
      <c r="I5" s="36">
        <v>44350</v>
      </c>
      <c r="J5" s="30">
        <v>1</v>
      </c>
      <c r="K5" s="30">
        <v>18</v>
      </c>
      <c r="L5" s="30">
        <v>18</v>
      </c>
      <c r="M5" s="23">
        <f>((L5*22000)+(L5*22000)*10%)+8250+((L5*165))</f>
        <v>446820</v>
      </c>
      <c r="N5" s="21">
        <f t="shared" si="0"/>
        <v>21780</v>
      </c>
      <c r="O5" s="21">
        <f t="shared" si="1"/>
        <v>39669.599999999999</v>
      </c>
      <c r="P5" s="21">
        <f>L5*1100</f>
        <v>19800</v>
      </c>
      <c r="Q5" s="14">
        <f t="shared" si="2"/>
        <v>528069.6</v>
      </c>
      <c r="R5" s="216"/>
      <c r="S5" s="218"/>
      <c r="T5" s="218"/>
    </row>
    <row r="6" spans="1:20" hidden="1" x14ac:dyDescent="0.25">
      <c r="A6" s="26">
        <v>5</v>
      </c>
      <c r="B6" s="30" t="s">
        <v>507</v>
      </c>
      <c r="C6" s="26" t="s">
        <v>29</v>
      </c>
      <c r="D6" s="30" t="s">
        <v>491</v>
      </c>
      <c r="E6" s="30" t="s">
        <v>49</v>
      </c>
      <c r="F6" s="30" t="s">
        <v>29</v>
      </c>
      <c r="G6" s="30" t="s">
        <v>241</v>
      </c>
      <c r="H6" s="30" t="s">
        <v>508</v>
      </c>
      <c r="I6" s="36">
        <v>44350</v>
      </c>
      <c r="J6" s="30">
        <v>1</v>
      </c>
      <c r="K6" s="30">
        <v>10</v>
      </c>
      <c r="L6" s="30">
        <v>10</v>
      </c>
      <c r="M6" s="23">
        <f>((L6*27500)+(L6*27500)*10%)+8250+((L6*165))</f>
        <v>312400</v>
      </c>
      <c r="N6" s="21">
        <f t="shared" si="0"/>
        <v>12100</v>
      </c>
      <c r="O6" s="21">
        <f t="shared" si="1"/>
        <v>23372</v>
      </c>
      <c r="P6" s="21">
        <f>L6*1100</f>
        <v>11000</v>
      </c>
      <c r="Q6" s="14">
        <f t="shared" si="2"/>
        <v>358872</v>
      </c>
      <c r="R6" s="21">
        <v>358872</v>
      </c>
      <c r="S6" s="32" t="s">
        <v>509</v>
      </c>
      <c r="T6" s="30" t="s">
        <v>27</v>
      </c>
    </row>
    <row r="7" spans="1:20" hidden="1" x14ac:dyDescent="0.25">
      <c r="A7" s="26">
        <v>6</v>
      </c>
      <c r="B7" s="88" t="s">
        <v>510</v>
      </c>
      <c r="C7" s="26" t="s">
        <v>29</v>
      </c>
      <c r="D7" s="30" t="s">
        <v>30</v>
      </c>
      <c r="E7" s="30" t="s">
        <v>473</v>
      </c>
      <c r="F7" s="85" t="s">
        <v>29</v>
      </c>
      <c r="G7" s="85" t="s">
        <v>263</v>
      </c>
      <c r="H7" s="85" t="s">
        <v>264</v>
      </c>
      <c r="I7" s="86">
        <v>44351</v>
      </c>
      <c r="J7" s="85">
        <v>5</v>
      </c>
      <c r="K7" s="85">
        <v>116</v>
      </c>
      <c r="L7" s="85">
        <v>116</v>
      </c>
      <c r="M7" s="23">
        <f>((L7*9000)+(L7*9000)*10%)+8250+((0*165))</f>
        <v>1156650</v>
      </c>
      <c r="N7" s="21">
        <f t="shared" si="0"/>
        <v>140360</v>
      </c>
      <c r="O7" s="21">
        <f t="shared" si="1"/>
        <v>239315.20000000001</v>
      </c>
      <c r="P7" s="21">
        <f t="shared" ref="P7:P12" si="3">L7*2100</f>
        <v>243600</v>
      </c>
      <c r="Q7" s="14">
        <f t="shared" si="2"/>
        <v>1779925.2</v>
      </c>
      <c r="R7" s="213">
        <v>11505000</v>
      </c>
      <c r="S7" s="215" t="s">
        <v>557</v>
      </c>
      <c r="T7" s="214" t="s">
        <v>27</v>
      </c>
    </row>
    <row r="8" spans="1:20" hidden="1" x14ac:dyDescent="0.25">
      <c r="A8" s="26">
        <v>7</v>
      </c>
      <c r="B8" s="88" t="s">
        <v>511</v>
      </c>
      <c r="C8" s="26" t="s">
        <v>29</v>
      </c>
      <c r="D8" s="30" t="s">
        <v>30</v>
      </c>
      <c r="E8" s="30" t="s">
        <v>473</v>
      </c>
      <c r="F8" s="85" t="s">
        <v>29</v>
      </c>
      <c r="G8" s="85" t="s">
        <v>79</v>
      </c>
      <c r="H8" s="85" t="s">
        <v>222</v>
      </c>
      <c r="I8" s="86">
        <v>44351</v>
      </c>
      <c r="J8" s="85">
        <v>3</v>
      </c>
      <c r="K8" s="85">
        <v>66</v>
      </c>
      <c r="L8" s="85">
        <v>66</v>
      </c>
      <c r="M8" s="23">
        <f>((L8*15000)+(L8*15000)*10%)+8250+((0*165))</f>
        <v>1097250</v>
      </c>
      <c r="N8" s="21">
        <f t="shared" si="0"/>
        <v>79860</v>
      </c>
      <c r="O8" s="21">
        <f t="shared" si="1"/>
        <v>137455.20000000001</v>
      </c>
      <c r="P8" s="21">
        <f t="shared" si="3"/>
        <v>138600</v>
      </c>
      <c r="Q8" s="14">
        <f t="shared" si="2"/>
        <v>1453165.2</v>
      </c>
      <c r="R8" s="213"/>
      <c r="S8" s="215"/>
      <c r="T8" s="214"/>
    </row>
    <row r="9" spans="1:20" hidden="1" x14ac:dyDescent="0.25">
      <c r="A9" s="26">
        <v>8</v>
      </c>
      <c r="B9" s="88" t="s">
        <v>512</v>
      </c>
      <c r="C9" s="26" t="s">
        <v>29</v>
      </c>
      <c r="D9" s="87" t="s">
        <v>30</v>
      </c>
      <c r="E9" s="87" t="s">
        <v>473</v>
      </c>
      <c r="F9" s="85" t="s">
        <v>29</v>
      </c>
      <c r="G9" s="85" t="s">
        <v>69</v>
      </c>
      <c r="H9" s="85" t="s">
        <v>488</v>
      </c>
      <c r="I9" s="86">
        <v>44351</v>
      </c>
      <c r="J9" s="85">
        <v>9</v>
      </c>
      <c r="K9" s="85">
        <v>179</v>
      </c>
      <c r="L9" s="85">
        <v>179</v>
      </c>
      <c r="M9" s="23">
        <f>((L9*10500)+(L9*10500)*10%)+8250+((0*165))</f>
        <v>2075700</v>
      </c>
      <c r="N9" s="21">
        <f t="shared" si="0"/>
        <v>216590</v>
      </c>
      <c r="O9" s="21">
        <f t="shared" si="1"/>
        <v>367658.8</v>
      </c>
      <c r="P9" s="21">
        <f t="shared" si="3"/>
        <v>375900</v>
      </c>
      <c r="Q9" s="14">
        <f t="shared" si="2"/>
        <v>3035848.8</v>
      </c>
      <c r="R9" s="213"/>
      <c r="S9" s="215"/>
      <c r="T9" s="214"/>
    </row>
    <row r="10" spans="1:20" hidden="1" x14ac:dyDescent="0.25">
      <c r="A10" s="26">
        <v>9</v>
      </c>
      <c r="B10" s="88" t="s">
        <v>513</v>
      </c>
      <c r="C10" s="26" t="s">
        <v>29</v>
      </c>
      <c r="D10" s="30" t="s">
        <v>30</v>
      </c>
      <c r="E10" s="30" t="s">
        <v>473</v>
      </c>
      <c r="F10" s="85" t="s">
        <v>29</v>
      </c>
      <c r="G10" s="85" t="s">
        <v>210</v>
      </c>
      <c r="H10" s="85" t="s">
        <v>516</v>
      </c>
      <c r="I10" s="86">
        <v>44351</v>
      </c>
      <c r="J10" s="85">
        <v>9</v>
      </c>
      <c r="K10" s="85">
        <v>182</v>
      </c>
      <c r="L10" s="85">
        <v>182</v>
      </c>
      <c r="M10" s="23">
        <f>((L10*8000)+(L10*8000)*10%)+8250+((0*165))</f>
        <v>1609850</v>
      </c>
      <c r="N10" s="21">
        <f t="shared" si="0"/>
        <v>220220</v>
      </c>
      <c r="O10" s="21">
        <f t="shared" si="1"/>
        <v>373770.4</v>
      </c>
      <c r="P10" s="21">
        <f t="shared" si="3"/>
        <v>382200</v>
      </c>
      <c r="Q10" s="14">
        <f t="shared" si="2"/>
        <v>2586040.4</v>
      </c>
      <c r="R10" s="213"/>
      <c r="S10" s="215"/>
      <c r="T10" s="214"/>
    </row>
    <row r="11" spans="1:20" hidden="1" x14ac:dyDescent="0.25">
      <c r="A11" s="26">
        <v>10</v>
      </c>
      <c r="B11" s="89" t="s">
        <v>514</v>
      </c>
      <c r="C11" s="26" t="s">
        <v>29</v>
      </c>
      <c r="D11" s="87" t="s">
        <v>30</v>
      </c>
      <c r="E11" s="87" t="s">
        <v>473</v>
      </c>
      <c r="F11" s="85" t="s">
        <v>29</v>
      </c>
      <c r="G11" s="85" t="s">
        <v>517</v>
      </c>
      <c r="H11" s="85" t="s">
        <v>518</v>
      </c>
      <c r="I11" s="86">
        <v>44351</v>
      </c>
      <c r="J11" s="85">
        <v>1</v>
      </c>
      <c r="K11" s="85">
        <v>16</v>
      </c>
      <c r="L11" s="85">
        <v>16</v>
      </c>
      <c r="M11" s="23">
        <f>((L11*6000)+(L11*6000)*10%)+8250+((0*165))</f>
        <v>113850</v>
      </c>
      <c r="N11" s="21">
        <f t="shared" si="0"/>
        <v>19360</v>
      </c>
      <c r="O11" s="21">
        <f t="shared" si="1"/>
        <v>35595.199999999997</v>
      </c>
      <c r="P11" s="21">
        <f t="shared" si="3"/>
        <v>33600</v>
      </c>
      <c r="Q11" s="14">
        <f t="shared" si="2"/>
        <v>202405.2</v>
      </c>
      <c r="R11" s="213"/>
      <c r="S11" s="215"/>
      <c r="T11" s="214"/>
    </row>
    <row r="12" spans="1:20" hidden="1" x14ac:dyDescent="0.25">
      <c r="A12" s="94">
        <v>11</v>
      </c>
      <c r="B12" s="90" t="s">
        <v>515</v>
      </c>
      <c r="C12" s="94" t="s">
        <v>29</v>
      </c>
      <c r="D12" s="87" t="s">
        <v>30</v>
      </c>
      <c r="E12" s="87" t="s">
        <v>473</v>
      </c>
      <c r="F12" s="89" t="s">
        <v>29</v>
      </c>
      <c r="G12" s="91" t="s">
        <v>64</v>
      </c>
      <c r="H12" s="91" t="s">
        <v>499</v>
      </c>
      <c r="I12" s="92">
        <v>44352</v>
      </c>
      <c r="J12" s="91">
        <v>5</v>
      </c>
      <c r="K12" s="91">
        <v>115</v>
      </c>
      <c r="L12" s="91">
        <v>115</v>
      </c>
      <c r="M12" s="23">
        <f>((L12*14400)+(L12*14400)*10%)+8250+((0*165))</f>
        <v>1829850</v>
      </c>
      <c r="N12" s="21">
        <f t="shared" si="0"/>
        <v>139150</v>
      </c>
      <c r="O12" s="21">
        <f t="shared" si="1"/>
        <v>237278</v>
      </c>
      <c r="P12" s="21">
        <f t="shared" si="3"/>
        <v>241500</v>
      </c>
      <c r="Q12" s="14">
        <f t="shared" si="2"/>
        <v>2447778</v>
      </c>
      <c r="R12" s="213"/>
      <c r="S12" s="215"/>
      <c r="T12" s="214"/>
    </row>
    <row r="13" spans="1:20" hidden="1" x14ac:dyDescent="0.25">
      <c r="A13" s="26">
        <v>12</v>
      </c>
      <c r="B13" s="30" t="s">
        <v>520</v>
      </c>
      <c r="C13" s="26" t="s">
        <v>29</v>
      </c>
      <c r="D13" s="30" t="s">
        <v>491</v>
      </c>
      <c r="E13" s="30" t="s">
        <v>49</v>
      </c>
      <c r="F13" s="30" t="s">
        <v>29</v>
      </c>
      <c r="G13" s="30" t="s">
        <v>64</v>
      </c>
      <c r="H13" s="30" t="s">
        <v>499</v>
      </c>
      <c r="I13" s="36">
        <v>44356</v>
      </c>
      <c r="J13" s="30">
        <v>1</v>
      </c>
      <c r="K13" s="30">
        <v>16</v>
      </c>
      <c r="L13" s="30">
        <v>16</v>
      </c>
      <c r="M13" s="23">
        <f>((L13*14400)+(L13*14400)*10%)+8250+((0*165))</f>
        <v>261690</v>
      </c>
      <c r="N13" s="21">
        <f t="shared" si="0"/>
        <v>19360</v>
      </c>
      <c r="O13" s="21">
        <f t="shared" si="1"/>
        <v>35595.199999999997</v>
      </c>
      <c r="P13" s="21">
        <f>L13*1100</f>
        <v>17600</v>
      </c>
      <c r="Q13" s="14">
        <f t="shared" si="2"/>
        <v>334245.2</v>
      </c>
      <c r="R13" s="213">
        <v>1925425</v>
      </c>
      <c r="S13" s="215" t="s">
        <v>522</v>
      </c>
      <c r="T13" s="214" t="s">
        <v>27</v>
      </c>
    </row>
    <row r="14" spans="1:20" hidden="1" x14ac:dyDescent="0.25">
      <c r="A14" s="26">
        <v>13</v>
      </c>
      <c r="B14" s="30" t="s">
        <v>521</v>
      </c>
      <c r="C14" s="26" t="s">
        <v>29</v>
      </c>
      <c r="D14" s="30" t="s">
        <v>491</v>
      </c>
      <c r="E14" s="30" t="s">
        <v>49</v>
      </c>
      <c r="F14" s="30" t="s">
        <v>29</v>
      </c>
      <c r="G14" s="30" t="s">
        <v>494</v>
      </c>
      <c r="H14" s="30" t="s">
        <v>495</v>
      </c>
      <c r="I14" s="36">
        <v>44356</v>
      </c>
      <c r="J14" s="30">
        <v>1</v>
      </c>
      <c r="K14" s="30">
        <v>25</v>
      </c>
      <c r="L14" s="30">
        <v>25</v>
      </c>
      <c r="M14" s="23">
        <f>((L14*53500)+(L14*53500)*10%)+8250+((0*165))</f>
        <v>1479500</v>
      </c>
      <c r="N14" s="21">
        <f t="shared" si="0"/>
        <v>30250</v>
      </c>
      <c r="O14" s="21">
        <f t="shared" si="1"/>
        <v>53930</v>
      </c>
      <c r="P14" s="21">
        <f>L14*1100</f>
        <v>27500</v>
      </c>
      <c r="Q14" s="14">
        <f t="shared" si="2"/>
        <v>1591180</v>
      </c>
      <c r="R14" s="213"/>
      <c r="S14" s="214"/>
      <c r="T14" s="214"/>
    </row>
    <row r="15" spans="1:20" hidden="1" x14ac:dyDescent="0.25">
      <c r="A15" s="26">
        <v>14</v>
      </c>
      <c r="B15" s="30" t="s">
        <v>525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64</v>
      </c>
      <c r="H15" s="30" t="s">
        <v>499</v>
      </c>
      <c r="I15" s="36">
        <v>44357</v>
      </c>
      <c r="J15" s="30">
        <v>12</v>
      </c>
      <c r="K15" s="30">
        <v>277</v>
      </c>
      <c r="L15" s="30">
        <v>277</v>
      </c>
      <c r="M15" s="23">
        <f>((L15*14400)+(L15*14400)*10%)+8250+((0*165))</f>
        <v>4395930</v>
      </c>
      <c r="N15" s="21">
        <f t="shared" si="0"/>
        <v>335170</v>
      </c>
      <c r="O15" s="21">
        <f>(L15*2037)+3000</f>
        <v>567249</v>
      </c>
      <c r="P15" s="21">
        <f>L15*2100</f>
        <v>581700</v>
      </c>
      <c r="Q15" s="14">
        <f t="shared" si="2"/>
        <v>5880049</v>
      </c>
      <c r="R15" s="21">
        <v>7446000</v>
      </c>
      <c r="S15" s="32" t="s">
        <v>597</v>
      </c>
      <c r="T15" s="30" t="s">
        <v>27</v>
      </c>
    </row>
    <row r="16" spans="1:20" hidden="1" x14ac:dyDescent="0.25">
      <c r="A16" s="26">
        <v>15</v>
      </c>
      <c r="B16" s="30" t="s">
        <v>526</v>
      </c>
      <c r="C16" s="26" t="s">
        <v>29</v>
      </c>
      <c r="D16" s="30" t="s">
        <v>491</v>
      </c>
      <c r="E16" s="30" t="s">
        <v>49</v>
      </c>
      <c r="F16" s="30" t="s">
        <v>29</v>
      </c>
      <c r="G16" s="30" t="s">
        <v>64</v>
      </c>
      <c r="H16" s="30" t="s">
        <v>499</v>
      </c>
      <c r="I16" s="36">
        <v>44358</v>
      </c>
      <c r="J16" s="30">
        <v>1</v>
      </c>
      <c r="K16" s="30">
        <v>4</v>
      </c>
      <c r="L16" s="30">
        <v>19</v>
      </c>
      <c r="M16" s="23">
        <f>((L16*14400)+(L16*14400)*10%)+8250+((0*165))</f>
        <v>309210</v>
      </c>
      <c r="N16" s="21">
        <f t="shared" si="0"/>
        <v>22990</v>
      </c>
      <c r="O16" s="21">
        <f>(L16*2037.2)+3000</f>
        <v>41706.800000000003</v>
      </c>
      <c r="P16" s="21">
        <f>L16*1100</f>
        <v>20900</v>
      </c>
      <c r="Q16" s="14">
        <f t="shared" si="2"/>
        <v>394806.8</v>
      </c>
      <c r="R16" s="21">
        <v>394807</v>
      </c>
      <c r="S16" s="32" t="s">
        <v>536</v>
      </c>
      <c r="T16" s="30" t="s">
        <v>27</v>
      </c>
    </row>
    <row r="17" spans="1:20" hidden="1" x14ac:dyDescent="0.25">
      <c r="A17" s="26">
        <v>16</v>
      </c>
      <c r="B17" s="30" t="s">
        <v>527</v>
      </c>
      <c r="C17" s="26" t="s">
        <v>29</v>
      </c>
      <c r="D17" s="30" t="s">
        <v>30</v>
      </c>
      <c r="E17" s="30" t="s">
        <v>473</v>
      </c>
      <c r="F17" s="30" t="s">
        <v>29</v>
      </c>
      <c r="G17" s="30" t="s">
        <v>184</v>
      </c>
      <c r="H17" s="30" t="s">
        <v>185</v>
      </c>
      <c r="I17" s="36">
        <v>44358</v>
      </c>
      <c r="J17" s="30">
        <v>5</v>
      </c>
      <c r="K17" s="30">
        <v>77</v>
      </c>
      <c r="L17" s="30">
        <v>77</v>
      </c>
      <c r="M17" s="21">
        <f>((L17*13500)+(L17*13500)*10%)+8250+((0*165))</f>
        <v>1151700</v>
      </c>
      <c r="N17" s="21">
        <f t="shared" si="0"/>
        <v>93170</v>
      </c>
      <c r="O17" s="21">
        <f>(L17*2037)+3000</f>
        <v>159849</v>
      </c>
      <c r="P17" s="21">
        <f>L17*2100</f>
        <v>161700</v>
      </c>
      <c r="Q17" s="14">
        <f t="shared" si="2"/>
        <v>1566419</v>
      </c>
      <c r="R17" s="21">
        <v>7446000</v>
      </c>
      <c r="S17" s="32" t="s">
        <v>597</v>
      </c>
      <c r="T17" s="30" t="s">
        <v>27</v>
      </c>
    </row>
    <row r="18" spans="1:20" hidden="1" x14ac:dyDescent="0.25">
      <c r="A18" s="26">
        <v>17</v>
      </c>
      <c r="B18" s="30" t="s">
        <v>528</v>
      </c>
      <c r="C18" s="26" t="s">
        <v>29</v>
      </c>
      <c r="D18" s="30" t="s">
        <v>85</v>
      </c>
      <c r="E18" s="30" t="s">
        <v>505</v>
      </c>
      <c r="F18" s="30" t="s">
        <v>29</v>
      </c>
      <c r="G18" s="30" t="s">
        <v>72</v>
      </c>
      <c r="H18" s="30" t="s">
        <v>529</v>
      </c>
      <c r="I18" s="36">
        <v>44358</v>
      </c>
      <c r="J18" s="30">
        <v>6</v>
      </c>
      <c r="K18" s="30">
        <v>119</v>
      </c>
      <c r="L18" s="30">
        <v>119</v>
      </c>
      <c r="M18" s="21">
        <f>((L18*16500)+(L18*16500)*10%)+8250+((0*165))</f>
        <v>2168100</v>
      </c>
      <c r="N18" s="21">
        <f t="shared" si="0"/>
        <v>143990</v>
      </c>
      <c r="O18" s="21">
        <f t="shared" ref="O18:O23" si="4">(L18*2037.2)+3000</f>
        <v>245426.80000000002</v>
      </c>
      <c r="P18" s="21">
        <f>L18*1100</f>
        <v>130900</v>
      </c>
      <c r="Q18" s="14">
        <f t="shared" si="2"/>
        <v>2688416.8</v>
      </c>
      <c r="R18" s="21">
        <v>4071996</v>
      </c>
      <c r="S18" s="32" t="s">
        <v>711</v>
      </c>
      <c r="T18" s="30" t="s">
        <v>27</v>
      </c>
    </row>
    <row r="19" spans="1:20" hidden="1" x14ac:dyDescent="0.25">
      <c r="A19" s="26">
        <v>18</v>
      </c>
      <c r="B19" s="30" t="s">
        <v>530</v>
      </c>
      <c r="C19" s="26" t="s">
        <v>29</v>
      </c>
      <c r="D19" s="30" t="s">
        <v>85</v>
      </c>
      <c r="E19" s="30" t="s">
        <v>505</v>
      </c>
      <c r="F19" s="30" t="s">
        <v>29</v>
      </c>
      <c r="G19" s="30" t="s">
        <v>72</v>
      </c>
      <c r="H19" s="30" t="s">
        <v>529</v>
      </c>
      <c r="I19" s="36">
        <v>44358</v>
      </c>
      <c r="J19" s="30">
        <v>4</v>
      </c>
      <c r="K19" s="30">
        <v>61</v>
      </c>
      <c r="L19" s="30">
        <v>61</v>
      </c>
      <c r="M19" s="21">
        <f>((L19*16500)+(L19*16500)*10%)+8250+((0*165))</f>
        <v>1115400</v>
      </c>
      <c r="N19" s="21">
        <f t="shared" si="0"/>
        <v>73810</v>
      </c>
      <c r="O19" s="21">
        <f t="shared" si="4"/>
        <v>127269.2</v>
      </c>
      <c r="P19" s="21">
        <f>L19*1100</f>
        <v>67100</v>
      </c>
      <c r="Q19" s="14">
        <f t="shared" si="2"/>
        <v>1383579.2</v>
      </c>
      <c r="R19" s="21">
        <v>4071996</v>
      </c>
      <c r="S19" s="32" t="s">
        <v>711</v>
      </c>
      <c r="T19" s="30" t="s">
        <v>27</v>
      </c>
    </row>
    <row r="20" spans="1:20" hidden="1" x14ac:dyDescent="0.25">
      <c r="A20" s="26">
        <v>19</v>
      </c>
      <c r="B20" s="30" t="s">
        <v>531</v>
      </c>
      <c r="C20" s="26" t="s">
        <v>29</v>
      </c>
      <c r="D20" s="30" t="s">
        <v>53</v>
      </c>
      <c r="E20" s="30" t="s">
        <v>532</v>
      </c>
      <c r="F20" s="30" t="s">
        <v>29</v>
      </c>
      <c r="G20" s="30" t="s">
        <v>54</v>
      </c>
      <c r="H20" s="30" t="s">
        <v>533</v>
      </c>
      <c r="I20" s="36">
        <v>44358</v>
      </c>
      <c r="J20" s="30">
        <v>1</v>
      </c>
      <c r="K20" s="30">
        <v>16</v>
      </c>
      <c r="L20" s="30">
        <v>16</v>
      </c>
      <c r="M20" s="21">
        <f>((L20*57000)+(L20*57000)*10%)+8250+((0*165))</f>
        <v>1011450</v>
      </c>
      <c r="N20" s="21">
        <f t="shared" si="0"/>
        <v>19360</v>
      </c>
      <c r="O20" s="21">
        <f t="shared" si="4"/>
        <v>35595.199999999997</v>
      </c>
      <c r="P20" s="21">
        <f>L20*500</f>
        <v>8000</v>
      </c>
      <c r="Q20" s="14">
        <f t="shared" si="2"/>
        <v>1074405.2</v>
      </c>
      <c r="R20" s="21">
        <v>7687485</v>
      </c>
      <c r="S20" s="32" t="s">
        <v>606</v>
      </c>
      <c r="T20" s="30" t="s">
        <v>27</v>
      </c>
    </row>
    <row r="21" spans="1:20" hidden="1" x14ac:dyDescent="0.25">
      <c r="A21" s="26">
        <v>20</v>
      </c>
      <c r="B21" s="30" t="s">
        <v>534</v>
      </c>
      <c r="C21" s="26" t="s">
        <v>29</v>
      </c>
      <c r="D21" s="30" t="s">
        <v>53</v>
      </c>
      <c r="E21" s="30" t="s">
        <v>532</v>
      </c>
      <c r="F21" s="30" t="s">
        <v>29</v>
      </c>
      <c r="G21" s="30" t="s">
        <v>535</v>
      </c>
      <c r="H21" s="30" t="s">
        <v>105</v>
      </c>
      <c r="I21" s="36">
        <v>44358</v>
      </c>
      <c r="J21" s="30">
        <v>4</v>
      </c>
      <c r="K21" s="30">
        <v>60</v>
      </c>
      <c r="L21" s="30">
        <v>60</v>
      </c>
      <c r="M21" s="21">
        <f>((L21*50000)+(L21*50000)*10%)+8250+((0*165))</f>
        <v>3308250</v>
      </c>
      <c r="N21" s="21">
        <f t="shared" si="0"/>
        <v>72600</v>
      </c>
      <c r="O21" s="21">
        <f t="shared" si="4"/>
        <v>125232</v>
      </c>
      <c r="P21" s="21">
        <f>L21*500</f>
        <v>30000</v>
      </c>
      <c r="Q21" s="14">
        <f t="shared" si="2"/>
        <v>3536082</v>
      </c>
      <c r="R21" s="21">
        <v>7687485</v>
      </c>
      <c r="S21" s="32" t="s">
        <v>606</v>
      </c>
      <c r="T21" s="30" t="s">
        <v>27</v>
      </c>
    </row>
    <row r="22" spans="1:20" hidden="1" x14ac:dyDescent="0.25">
      <c r="A22" s="26">
        <v>21</v>
      </c>
      <c r="B22" s="30" t="s">
        <v>537</v>
      </c>
      <c r="C22" s="26" t="s">
        <v>29</v>
      </c>
      <c r="D22" s="30" t="s">
        <v>491</v>
      </c>
      <c r="E22" s="30" t="s">
        <v>49</v>
      </c>
      <c r="F22" s="30" t="s">
        <v>29</v>
      </c>
      <c r="G22" s="30" t="s">
        <v>494</v>
      </c>
      <c r="H22" s="30" t="s">
        <v>110</v>
      </c>
      <c r="I22" s="36">
        <v>44360</v>
      </c>
      <c r="J22" s="30">
        <v>1</v>
      </c>
      <c r="K22" s="30">
        <v>30</v>
      </c>
      <c r="L22" s="30">
        <v>30</v>
      </c>
      <c r="M22" s="23">
        <f>((L22*53500)+(L22*53500)*10%)+8250+((0*165))</f>
        <v>1773750</v>
      </c>
      <c r="N22" s="21">
        <f t="shared" si="0"/>
        <v>36300</v>
      </c>
      <c r="O22" s="21">
        <f t="shared" si="4"/>
        <v>64116</v>
      </c>
      <c r="P22" s="21">
        <f>L22*1100</f>
        <v>33000</v>
      </c>
      <c r="Q22" s="14">
        <f t="shared" si="2"/>
        <v>1907166</v>
      </c>
      <c r="R22" s="21">
        <v>1907166</v>
      </c>
      <c r="S22" s="32" t="s">
        <v>538</v>
      </c>
      <c r="T22" s="30" t="s">
        <v>27</v>
      </c>
    </row>
    <row r="23" spans="1:20" x14ac:dyDescent="0.25">
      <c r="A23" s="26">
        <v>22</v>
      </c>
      <c r="B23" s="30" t="s">
        <v>539</v>
      </c>
      <c r="C23" s="26" t="s">
        <v>29</v>
      </c>
      <c r="D23" s="30" t="s">
        <v>85</v>
      </c>
      <c r="E23" s="30" t="s">
        <v>49</v>
      </c>
      <c r="F23" s="30" t="s">
        <v>29</v>
      </c>
      <c r="G23" s="30" t="s">
        <v>50</v>
      </c>
      <c r="H23" s="30" t="s">
        <v>58</v>
      </c>
      <c r="I23" s="36">
        <v>44362</v>
      </c>
      <c r="J23" s="30">
        <v>7</v>
      </c>
      <c r="K23" s="30">
        <v>141</v>
      </c>
      <c r="L23" s="30">
        <v>141</v>
      </c>
      <c r="M23" s="23">
        <f>((L23*31000)+(L23*31000)*10%)+8250+((0*165))</f>
        <v>4816350</v>
      </c>
      <c r="N23" s="21">
        <f t="shared" ref="N23:N24" si="5">L23*1210</f>
        <v>170610</v>
      </c>
      <c r="O23" s="21">
        <f t="shared" si="4"/>
        <v>290245.2</v>
      </c>
      <c r="P23" s="21">
        <f>L23*1100</f>
        <v>155100</v>
      </c>
      <c r="Q23" s="14">
        <f t="shared" ref="Q23:Q26" si="6">SUM(M23:P23)</f>
        <v>5432305.2000000002</v>
      </c>
      <c r="R23" s="30" t="s">
        <v>94</v>
      </c>
      <c r="S23" s="30" t="s">
        <v>94</v>
      </c>
      <c r="T23" s="30" t="s">
        <v>94</v>
      </c>
    </row>
    <row r="24" spans="1:20" hidden="1" x14ac:dyDescent="0.25">
      <c r="A24" s="26">
        <v>23</v>
      </c>
      <c r="B24" s="30" t="s">
        <v>540</v>
      </c>
      <c r="C24" s="26" t="s">
        <v>29</v>
      </c>
      <c r="D24" s="30" t="s">
        <v>30</v>
      </c>
      <c r="E24" s="30" t="s">
        <v>473</v>
      </c>
      <c r="F24" s="30" t="s">
        <v>29</v>
      </c>
      <c r="G24" s="30" t="s">
        <v>79</v>
      </c>
      <c r="H24" s="30" t="s">
        <v>222</v>
      </c>
      <c r="I24" s="36">
        <v>44362</v>
      </c>
      <c r="J24" s="30">
        <v>4</v>
      </c>
      <c r="K24" s="30">
        <v>66</v>
      </c>
      <c r="L24" s="30">
        <v>66</v>
      </c>
      <c r="M24" s="23">
        <f>((L24*15000)+(L24*15000)*10%)+8250+((0*165))</f>
        <v>1097250</v>
      </c>
      <c r="N24" s="21">
        <f t="shared" si="5"/>
        <v>79860</v>
      </c>
      <c r="O24" s="21">
        <f t="shared" ref="O24:O26" si="7">(L24*2037)+3000</f>
        <v>137442</v>
      </c>
      <c r="P24" s="21">
        <f t="shared" ref="P24" si="8">L24*2100</f>
        <v>138600</v>
      </c>
      <c r="Q24" s="14">
        <f t="shared" si="6"/>
        <v>1453152</v>
      </c>
      <c r="R24" s="122">
        <v>29701000</v>
      </c>
      <c r="S24" s="123" t="s">
        <v>672</v>
      </c>
      <c r="T24" s="123" t="s">
        <v>27</v>
      </c>
    </row>
    <row r="25" spans="1:20" hidden="1" x14ac:dyDescent="0.25">
      <c r="A25" s="26">
        <v>24</v>
      </c>
      <c r="B25" s="30" t="s">
        <v>541</v>
      </c>
      <c r="C25" s="26" t="s">
        <v>29</v>
      </c>
      <c r="D25" s="30" t="s">
        <v>30</v>
      </c>
      <c r="E25" s="30" t="s">
        <v>473</v>
      </c>
      <c r="F25" s="30" t="s">
        <v>29</v>
      </c>
      <c r="G25" s="30" t="s">
        <v>35</v>
      </c>
      <c r="H25" s="30" t="s">
        <v>36</v>
      </c>
      <c r="I25" s="36">
        <v>44362</v>
      </c>
      <c r="J25" s="30">
        <v>3</v>
      </c>
      <c r="K25" s="30">
        <v>46</v>
      </c>
      <c r="L25" s="30">
        <v>46</v>
      </c>
      <c r="M25" s="23">
        <f>((L25*9200)+(L25*9200)*10%)+8250+((0*165))</f>
        <v>473770</v>
      </c>
      <c r="N25" s="21">
        <f t="shared" ref="N25" si="9">L25*1210</f>
        <v>55660</v>
      </c>
      <c r="O25" s="21">
        <f t="shared" si="7"/>
        <v>96702</v>
      </c>
      <c r="P25" s="21">
        <f t="shared" ref="P25" si="10">L25*2100</f>
        <v>96600</v>
      </c>
      <c r="Q25" s="14">
        <f t="shared" si="6"/>
        <v>722732</v>
      </c>
      <c r="R25" s="122">
        <v>29701000</v>
      </c>
      <c r="S25" s="123" t="s">
        <v>672</v>
      </c>
      <c r="T25" s="123" t="s">
        <v>27</v>
      </c>
    </row>
    <row r="26" spans="1:20" hidden="1" x14ac:dyDescent="0.25">
      <c r="A26" s="26">
        <v>25</v>
      </c>
      <c r="B26" s="30" t="s">
        <v>542</v>
      </c>
      <c r="C26" s="26" t="s">
        <v>29</v>
      </c>
      <c r="D26" s="30" t="s">
        <v>30</v>
      </c>
      <c r="E26" s="30" t="s">
        <v>473</v>
      </c>
      <c r="F26" s="30" t="s">
        <v>29</v>
      </c>
      <c r="G26" s="30" t="s">
        <v>60</v>
      </c>
      <c r="H26" s="30" t="s">
        <v>61</v>
      </c>
      <c r="I26" s="36">
        <v>44362</v>
      </c>
      <c r="J26" s="30">
        <v>2</v>
      </c>
      <c r="K26" s="30">
        <v>33</v>
      </c>
      <c r="L26" s="30">
        <v>33</v>
      </c>
      <c r="M26" s="23">
        <f>((L26*14200)+(L26*14200)*10%)+8250+((0*165))</f>
        <v>523710</v>
      </c>
      <c r="N26" s="21">
        <f t="shared" ref="N26:N27" si="11">L26*1210</f>
        <v>39930</v>
      </c>
      <c r="O26" s="21">
        <f t="shared" si="7"/>
        <v>70221</v>
      </c>
      <c r="P26" s="21">
        <f t="shared" ref="P26" si="12">L26*2100</f>
        <v>69300</v>
      </c>
      <c r="Q26" s="14">
        <f t="shared" si="6"/>
        <v>703161</v>
      </c>
      <c r="R26" s="122">
        <v>29701000</v>
      </c>
      <c r="S26" s="123" t="s">
        <v>672</v>
      </c>
      <c r="T26" s="123" t="s">
        <v>27</v>
      </c>
    </row>
    <row r="27" spans="1:20" ht="15" hidden="1" customHeight="1" x14ac:dyDescent="0.25">
      <c r="A27" s="26">
        <v>26</v>
      </c>
      <c r="B27" s="30" t="s">
        <v>544</v>
      </c>
      <c r="C27" s="26" t="s">
        <v>29</v>
      </c>
      <c r="D27" s="30" t="s">
        <v>491</v>
      </c>
      <c r="E27" s="30" t="s">
        <v>49</v>
      </c>
      <c r="F27" s="30" t="s">
        <v>29</v>
      </c>
      <c r="G27" s="30" t="s">
        <v>494</v>
      </c>
      <c r="H27" s="30" t="s">
        <v>495</v>
      </c>
      <c r="I27" s="36">
        <v>44364</v>
      </c>
      <c r="J27" s="30">
        <v>1</v>
      </c>
      <c r="K27" s="30">
        <v>26</v>
      </c>
      <c r="L27" s="30">
        <v>26</v>
      </c>
      <c r="M27" s="23">
        <f>((L27*53500)+(L27*53500)*10%)+8250+((0*165))</f>
        <v>1538350</v>
      </c>
      <c r="N27" s="21">
        <f t="shared" si="11"/>
        <v>31460</v>
      </c>
      <c r="O27" s="21">
        <f t="shared" ref="O27" si="13">(L27*2037.2)+3000</f>
        <v>55967.200000000004</v>
      </c>
      <c r="P27" s="21">
        <f>L27*1100</f>
        <v>28600</v>
      </c>
      <c r="Q27" s="14">
        <f t="shared" ref="Q27:Q35" si="14">SUM(M27:P27)</f>
        <v>1654377.2</v>
      </c>
      <c r="R27" s="27">
        <v>1654377</v>
      </c>
      <c r="S27" s="57" t="s">
        <v>691</v>
      </c>
      <c r="T27" s="26" t="s">
        <v>27</v>
      </c>
    </row>
    <row r="28" spans="1:20" ht="15" hidden="1" customHeight="1" x14ac:dyDescent="0.25">
      <c r="A28" s="26">
        <v>27</v>
      </c>
      <c r="B28" s="30" t="s">
        <v>545</v>
      </c>
      <c r="C28" s="26" t="s">
        <v>29</v>
      </c>
      <c r="D28" s="30" t="s">
        <v>53</v>
      </c>
      <c r="E28" s="30" t="s">
        <v>546</v>
      </c>
      <c r="F28" s="30" t="s">
        <v>29</v>
      </c>
      <c r="G28" s="30" t="s">
        <v>281</v>
      </c>
      <c r="H28" s="30" t="s">
        <v>282</v>
      </c>
      <c r="I28" s="36">
        <v>44364</v>
      </c>
      <c r="J28" s="30">
        <v>3</v>
      </c>
      <c r="K28" s="30">
        <v>30</v>
      </c>
      <c r="L28" s="30">
        <v>30</v>
      </c>
      <c r="M28" s="23">
        <f>((L28*14000)+(L28*14000)*10%)+8250+((0*165))</f>
        <v>470250</v>
      </c>
      <c r="N28" s="21">
        <f>L28*1210</f>
        <v>36300</v>
      </c>
      <c r="O28" s="21">
        <f t="shared" ref="O28" si="15">(L28*2037.2)+3000</f>
        <v>64116</v>
      </c>
      <c r="P28" s="21">
        <f>L28*500</f>
        <v>15000</v>
      </c>
      <c r="Q28" s="14">
        <f t="shared" si="14"/>
        <v>585666</v>
      </c>
      <c r="R28" s="21">
        <v>7687485</v>
      </c>
      <c r="S28" s="32" t="s">
        <v>606</v>
      </c>
      <c r="T28" s="30" t="s">
        <v>27</v>
      </c>
    </row>
    <row r="29" spans="1:20" hidden="1" x14ac:dyDescent="0.25">
      <c r="A29" s="26">
        <v>28</v>
      </c>
      <c r="B29" s="30" t="s">
        <v>547</v>
      </c>
      <c r="C29" s="26" t="s">
        <v>29</v>
      </c>
      <c r="D29" s="30" t="s">
        <v>30</v>
      </c>
      <c r="E29" s="30" t="s">
        <v>473</v>
      </c>
      <c r="F29" s="30" t="s">
        <v>29</v>
      </c>
      <c r="G29" s="30" t="s">
        <v>31</v>
      </c>
      <c r="H29" s="30" t="s">
        <v>351</v>
      </c>
      <c r="I29" s="36">
        <v>44364</v>
      </c>
      <c r="J29" s="30">
        <v>1</v>
      </c>
      <c r="K29" s="30">
        <v>1</v>
      </c>
      <c r="L29" s="30">
        <v>11</v>
      </c>
      <c r="M29" s="23">
        <f>((L29*6000)+(L29*6000)*10%)+8250+((L29*150))</f>
        <v>82500</v>
      </c>
      <c r="N29" s="21">
        <f t="shared" ref="N29" si="16">L29*1210</f>
        <v>13310</v>
      </c>
      <c r="O29" s="21">
        <f t="shared" ref="O29:O35" si="17">(L29*2037)+3000</f>
        <v>25407</v>
      </c>
      <c r="P29" s="21">
        <f t="shared" ref="P29" si="18">L29*2100</f>
        <v>23100</v>
      </c>
      <c r="Q29" s="14">
        <f t="shared" si="14"/>
        <v>144317</v>
      </c>
      <c r="R29" s="122">
        <v>29701000</v>
      </c>
      <c r="S29" s="123" t="s">
        <v>672</v>
      </c>
      <c r="T29" s="123" t="s">
        <v>27</v>
      </c>
    </row>
    <row r="30" spans="1:20" hidden="1" x14ac:dyDescent="0.25">
      <c r="A30" s="26">
        <v>29</v>
      </c>
      <c r="B30" s="30" t="s">
        <v>548</v>
      </c>
      <c r="C30" s="26" t="s">
        <v>29</v>
      </c>
      <c r="D30" s="30" t="s">
        <v>549</v>
      </c>
      <c r="E30" s="30" t="s">
        <v>473</v>
      </c>
      <c r="F30" s="30" t="s">
        <v>452</v>
      </c>
      <c r="G30" s="30" t="s">
        <v>166</v>
      </c>
      <c r="H30" s="30" t="s">
        <v>485</v>
      </c>
      <c r="I30" s="36">
        <v>44364</v>
      </c>
      <c r="J30" s="30">
        <v>1</v>
      </c>
      <c r="K30" s="30">
        <v>1</v>
      </c>
      <c r="L30" s="30">
        <v>11</v>
      </c>
      <c r="M30" s="23">
        <f>((L30*8500)+(L30*8500)*10%)+8250+((0*150))</f>
        <v>111100</v>
      </c>
      <c r="N30" s="21">
        <f t="shared" ref="N30" si="19">L30*1210</f>
        <v>13310</v>
      </c>
      <c r="O30" s="21">
        <f t="shared" si="17"/>
        <v>25407</v>
      </c>
      <c r="P30" s="21">
        <f t="shared" ref="P30" si="20">L30*2100</f>
        <v>23100</v>
      </c>
      <c r="Q30" s="14">
        <f t="shared" si="14"/>
        <v>172917</v>
      </c>
      <c r="R30" s="122">
        <v>29701000</v>
      </c>
      <c r="S30" s="123" t="s">
        <v>672</v>
      </c>
      <c r="T30" s="123" t="s">
        <v>27</v>
      </c>
    </row>
    <row r="31" spans="1:20" hidden="1" x14ac:dyDescent="0.25">
      <c r="A31" s="26">
        <v>30</v>
      </c>
      <c r="B31" s="30" t="s">
        <v>550</v>
      </c>
      <c r="C31" s="26" t="s">
        <v>29</v>
      </c>
      <c r="D31" s="30" t="s">
        <v>30</v>
      </c>
      <c r="E31" s="30" t="s">
        <v>473</v>
      </c>
      <c r="F31" s="30" t="s">
        <v>29</v>
      </c>
      <c r="G31" s="30" t="s">
        <v>35</v>
      </c>
      <c r="H31" s="30" t="s">
        <v>475</v>
      </c>
      <c r="I31" s="36">
        <v>44364</v>
      </c>
      <c r="J31" s="30">
        <v>6</v>
      </c>
      <c r="K31" s="30">
        <v>143</v>
      </c>
      <c r="L31" s="30">
        <v>143</v>
      </c>
      <c r="M31" s="23">
        <f>((L31*9200)+(L31*9200)*10%)+8250+((0*150))</f>
        <v>1455410</v>
      </c>
      <c r="N31" s="21">
        <f t="shared" ref="N31" si="21">L31*1210</f>
        <v>173030</v>
      </c>
      <c r="O31" s="21">
        <f t="shared" si="17"/>
        <v>294291</v>
      </c>
      <c r="P31" s="21">
        <f t="shared" ref="P31" si="22">L31*2100</f>
        <v>300300</v>
      </c>
      <c r="Q31" s="14">
        <f t="shared" si="14"/>
        <v>2223031</v>
      </c>
      <c r="R31" s="122">
        <v>29701000</v>
      </c>
      <c r="S31" s="123" t="s">
        <v>672</v>
      </c>
      <c r="T31" s="123" t="s">
        <v>27</v>
      </c>
    </row>
    <row r="32" spans="1:20" hidden="1" x14ac:dyDescent="0.25">
      <c r="A32" s="26">
        <v>31</v>
      </c>
      <c r="B32" s="30" t="s">
        <v>551</v>
      </c>
      <c r="C32" s="26" t="s">
        <v>29</v>
      </c>
      <c r="D32" s="30" t="s">
        <v>30</v>
      </c>
      <c r="E32" s="30" t="s">
        <v>473</v>
      </c>
      <c r="F32" s="30" t="s">
        <v>29</v>
      </c>
      <c r="G32" s="30" t="s">
        <v>45</v>
      </c>
      <c r="H32" s="30" t="s">
        <v>552</v>
      </c>
      <c r="I32" s="36">
        <v>44364</v>
      </c>
      <c r="J32" s="30">
        <v>5</v>
      </c>
      <c r="K32" s="30">
        <v>117</v>
      </c>
      <c r="L32" s="30">
        <v>117</v>
      </c>
      <c r="M32" s="23">
        <f>((L32*35000)+(L32*35000)*10%)+8250+((L32*150))</f>
        <v>4530300</v>
      </c>
      <c r="N32" s="21">
        <f t="shared" ref="N32" si="23">L32*1210</f>
        <v>141570</v>
      </c>
      <c r="O32" s="21">
        <f t="shared" si="17"/>
        <v>241329</v>
      </c>
      <c r="P32" s="21">
        <f t="shared" ref="P32" si="24">L32*2100</f>
        <v>245700</v>
      </c>
      <c r="Q32" s="14">
        <f t="shared" si="14"/>
        <v>5158899</v>
      </c>
      <c r="R32" s="122">
        <v>29701000</v>
      </c>
      <c r="S32" s="123" t="s">
        <v>672</v>
      </c>
      <c r="T32" s="123" t="s">
        <v>27</v>
      </c>
    </row>
    <row r="33" spans="1:20" hidden="1" x14ac:dyDescent="0.25">
      <c r="A33" s="26">
        <v>32</v>
      </c>
      <c r="B33" s="30" t="s">
        <v>553</v>
      </c>
      <c r="C33" s="26" t="s">
        <v>29</v>
      </c>
      <c r="D33" s="30" t="s">
        <v>30</v>
      </c>
      <c r="E33" s="30" t="s">
        <v>473</v>
      </c>
      <c r="F33" s="30" t="s">
        <v>452</v>
      </c>
      <c r="G33" s="30" t="s">
        <v>40</v>
      </c>
      <c r="H33" s="30" t="s">
        <v>552</v>
      </c>
      <c r="I33" s="36">
        <v>44364</v>
      </c>
      <c r="J33" s="30">
        <v>6</v>
      </c>
      <c r="K33" s="30">
        <v>140</v>
      </c>
      <c r="L33" s="30">
        <v>140</v>
      </c>
      <c r="M33" s="23">
        <f>((L33*6000)+(L33*6000)*10%)+8250+((L33*150))</f>
        <v>953250</v>
      </c>
      <c r="N33" s="21">
        <f t="shared" ref="N33" si="25">L33*1210</f>
        <v>169400</v>
      </c>
      <c r="O33" s="21">
        <f t="shared" si="17"/>
        <v>288180</v>
      </c>
      <c r="P33" s="21">
        <f t="shared" ref="P33" si="26">L33*2100</f>
        <v>294000</v>
      </c>
      <c r="Q33" s="14">
        <f t="shared" si="14"/>
        <v>1704830</v>
      </c>
      <c r="R33" s="122">
        <v>29701000</v>
      </c>
      <c r="S33" s="123" t="s">
        <v>672</v>
      </c>
      <c r="T33" s="123" t="s">
        <v>27</v>
      </c>
    </row>
    <row r="34" spans="1:20" hidden="1" x14ac:dyDescent="0.25">
      <c r="A34" s="26">
        <v>33</v>
      </c>
      <c r="B34" s="30" t="s">
        <v>554</v>
      </c>
      <c r="C34" s="26" t="s">
        <v>29</v>
      </c>
      <c r="D34" s="30" t="s">
        <v>30</v>
      </c>
      <c r="E34" s="30" t="s">
        <v>473</v>
      </c>
      <c r="F34" s="30" t="s">
        <v>29</v>
      </c>
      <c r="G34" s="30" t="s">
        <v>60</v>
      </c>
      <c r="H34" s="30" t="s">
        <v>453</v>
      </c>
      <c r="I34" s="36">
        <v>44364</v>
      </c>
      <c r="J34" s="30">
        <v>6</v>
      </c>
      <c r="K34" s="30">
        <v>140</v>
      </c>
      <c r="L34" s="30">
        <v>140</v>
      </c>
      <c r="M34" s="23">
        <f>((L34*14200)+(L34*14200)*10%)+8250+((0*150))</f>
        <v>2195050</v>
      </c>
      <c r="N34" s="21">
        <f t="shared" ref="N34" si="27">L34*1210</f>
        <v>169400</v>
      </c>
      <c r="O34" s="21">
        <f t="shared" si="17"/>
        <v>288180</v>
      </c>
      <c r="P34" s="21">
        <f t="shared" ref="P34" si="28">L34*2100</f>
        <v>294000</v>
      </c>
      <c r="Q34" s="14">
        <f t="shared" si="14"/>
        <v>2946630</v>
      </c>
      <c r="R34" s="122">
        <v>29701000</v>
      </c>
      <c r="S34" s="123" t="s">
        <v>672</v>
      </c>
      <c r="T34" s="123" t="s">
        <v>27</v>
      </c>
    </row>
    <row r="35" spans="1:20" hidden="1" x14ac:dyDescent="0.25">
      <c r="A35" s="26">
        <v>34</v>
      </c>
      <c r="B35" s="30" t="s">
        <v>555</v>
      </c>
      <c r="C35" s="26" t="s">
        <v>29</v>
      </c>
      <c r="D35" s="30" t="s">
        <v>30</v>
      </c>
      <c r="E35" s="30" t="s">
        <v>473</v>
      </c>
      <c r="F35" s="30" t="s">
        <v>29</v>
      </c>
      <c r="G35" s="30" t="s">
        <v>263</v>
      </c>
      <c r="H35" s="30" t="s">
        <v>556</v>
      </c>
      <c r="I35" s="36">
        <v>44364</v>
      </c>
      <c r="J35" s="30">
        <v>5</v>
      </c>
      <c r="K35" s="30">
        <v>42</v>
      </c>
      <c r="L35" s="30">
        <v>43</v>
      </c>
      <c r="M35" s="23">
        <f>((L35*9000)+(L35*9000)*10%)+8250+((0*150))</f>
        <v>433950</v>
      </c>
      <c r="N35" s="21">
        <f t="shared" ref="N35" si="29">L35*1210</f>
        <v>52030</v>
      </c>
      <c r="O35" s="21">
        <f t="shared" si="17"/>
        <v>90591</v>
      </c>
      <c r="P35" s="21">
        <f t="shared" ref="P35" si="30">L35*2100</f>
        <v>90300</v>
      </c>
      <c r="Q35" s="14">
        <f t="shared" si="14"/>
        <v>666871</v>
      </c>
      <c r="R35" s="122">
        <v>29701000</v>
      </c>
      <c r="S35" s="123" t="s">
        <v>672</v>
      </c>
      <c r="T35" s="123" t="s">
        <v>27</v>
      </c>
    </row>
    <row r="36" spans="1:20" ht="15" hidden="1" customHeight="1" x14ac:dyDescent="0.25">
      <c r="A36" s="26">
        <v>35</v>
      </c>
      <c r="B36" s="69" t="s">
        <v>558</v>
      </c>
      <c r="C36" s="26" t="s">
        <v>21</v>
      </c>
      <c r="D36" s="69" t="s">
        <v>559</v>
      </c>
      <c r="E36" s="30" t="s">
        <v>49</v>
      </c>
      <c r="F36" s="30" t="s">
        <v>21</v>
      </c>
      <c r="G36" s="30" t="s">
        <v>203</v>
      </c>
      <c r="H36" s="69" t="s">
        <v>560</v>
      </c>
      <c r="I36" s="36">
        <v>44364</v>
      </c>
      <c r="J36" s="30">
        <v>1</v>
      </c>
      <c r="K36" s="30">
        <v>10</v>
      </c>
      <c r="L36" s="30">
        <v>10</v>
      </c>
      <c r="M36" s="23">
        <f>((L36*25100)+(L36*25100)*10%)+8250+((0*150))</f>
        <v>284350</v>
      </c>
      <c r="N36" s="21">
        <v>0</v>
      </c>
      <c r="O36" s="21">
        <v>0</v>
      </c>
      <c r="P36" s="21">
        <f>L36*1100</f>
        <v>11000</v>
      </c>
      <c r="Q36" s="14">
        <f t="shared" ref="Q36:Q39" si="31">SUM(M36:P36)</f>
        <v>295350</v>
      </c>
      <c r="R36" s="27">
        <v>1135200</v>
      </c>
      <c r="S36" s="57" t="s">
        <v>691</v>
      </c>
      <c r="T36" s="123" t="s">
        <v>27</v>
      </c>
    </row>
    <row r="37" spans="1:20" ht="15" hidden="1" customHeight="1" x14ac:dyDescent="0.25">
      <c r="A37" s="95">
        <v>36</v>
      </c>
      <c r="B37" s="98" t="s">
        <v>561</v>
      </c>
      <c r="C37" s="95" t="s">
        <v>21</v>
      </c>
      <c r="D37" s="99" t="s">
        <v>565</v>
      </c>
      <c r="E37" s="100" t="s">
        <v>49</v>
      </c>
      <c r="F37" s="101" t="s">
        <v>21</v>
      </c>
      <c r="G37" s="102" t="s">
        <v>171</v>
      </c>
      <c r="H37" s="102" t="s">
        <v>405</v>
      </c>
      <c r="I37" s="103">
        <v>44365</v>
      </c>
      <c r="J37" s="102">
        <v>1</v>
      </c>
      <c r="K37" s="102">
        <v>25</v>
      </c>
      <c r="L37" s="102">
        <v>71</v>
      </c>
      <c r="M37" s="104">
        <f>((L37*6500)+(L37*6500)*10%)+8250+((0*150))</f>
        <v>515900</v>
      </c>
      <c r="N37" s="105">
        <v>0</v>
      </c>
      <c r="O37" s="105">
        <v>0</v>
      </c>
      <c r="P37" s="21">
        <f>L37*1100</f>
        <v>78100</v>
      </c>
      <c r="Q37" s="14">
        <f t="shared" si="31"/>
        <v>594000</v>
      </c>
      <c r="R37" s="147">
        <v>1135200</v>
      </c>
      <c r="S37" s="57" t="s">
        <v>691</v>
      </c>
      <c r="T37" s="123" t="s">
        <v>27</v>
      </c>
    </row>
    <row r="38" spans="1:20" ht="15" hidden="1" customHeight="1" x14ac:dyDescent="0.25">
      <c r="A38" s="26">
        <v>37</v>
      </c>
      <c r="B38" s="96" t="s">
        <v>562</v>
      </c>
      <c r="C38" s="26" t="s">
        <v>21</v>
      </c>
      <c r="D38" s="97" t="s">
        <v>566</v>
      </c>
      <c r="E38" s="30" t="s">
        <v>49</v>
      </c>
      <c r="F38" s="88" t="s">
        <v>21</v>
      </c>
      <c r="G38" s="85" t="s">
        <v>40</v>
      </c>
      <c r="H38" s="85" t="s">
        <v>564</v>
      </c>
      <c r="I38" s="86">
        <v>44365</v>
      </c>
      <c r="J38" s="85">
        <v>1</v>
      </c>
      <c r="K38" s="85">
        <v>36</v>
      </c>
      <c r="L38" s="85">
        <v>36</v>
      </c>
      <c r="M38" s="23">
        <f>((L38*5000)+(L38*5000)*10%)+8250+((0*150))</f>
        <v>206250</v>
      </c>
      <c r="N38" s="21">
        <v>0</v>
      </c>
      <c r="O38" s="21">
        <v>0</v>
      </c>
      <c r="P38" s="21">
        <f>L38*1100</f>
        <v>39600</v>
      </c>
      <c r="Q38" s="14">
        <f t="shared" si="31"/>
        <v>245850</v>
      </c>
      <c r="R38" s="147">
        <v>1135200</v>
      </c>
      <c r="S38" s="57" t="s">
        <v>691</v>
      </c>
      <c r="T38" s="123" t="s">
        <v>27</v>
      </c>
    </row>
    <row r="39" spans="1:20" ht="15" hidden="1" customHeight="1" x14ac:dyDescent="0.25">
      <c r="A39" s="94">
        <v>38</v>
      </c>
      <c r="B39" s="106" t="s">
        <v>563</v>
      </c>
      <c r="C39" s="94" t="s">
        <v>21</v>
      </c>
      <c r="D39" s="107" t="s">
        <v>567</v>
      </c>
      <c r="E39" s="87" t="s">
        <v>49</v>
      </c>
      <c r="F39" s="89" t="s">
        <v>21</v>
      </c>
      <c r="G39" s="91" t="s">
        <v>171</v>
      </c>
      <c r="H39" s="91" t="s">
        <v>405</v>
      </c>
      <c r="I39" s="92">
        <v>44365</v>
      </c>
      <c r="J39" s="91">
        <v>1</v>
      </c>
      <c r="K39" s="91">
        <v>10</v>
      </c>
      <c r="L39" s="91">
        <v>10</v>
      </c>
      <c r="M39" s="108">
        <f>((L39*6500)+(L39*6500)*10%)+8250+((0*150))</f>
        <v>79750</v>
      </c>
      <c r="N39" s="109">
        <v>0</v>
      </c>
      <c r="O39" s="109">
        <v>0</v>
      </c>
      <c r="P39" s="109">
        <f>L39*1100</f>
        <v>11000</v>
      </c>
      <c r="Q39" s="110">
        <f t="shared" si="31"/>
        <v>90750</v>
      </c>
      <c r="R39" s="27">
        <v>90750</v>
      </c>
      <c r="S39" s="57" t="s">
        <v>691</v>
      </c>
      <c r="T39" s="123" t="s">
        <v>27</v>
      </c>
    </row>
    <row r="40" spans="1:20" ht="15" hidden="1" customHeight="1" x14ac:dyDescent="0.25">
      <c r="A40" s="26">
        <v>39</v>
      </c>
      <c r="B40" s="69" t="s">
        <v>568</v>
      </c>
      <c r="C40" s="26" t="s">
        <v>29</v>
      </c>
      <c r="D40" s="69" t="s">
        <v>574</v>
      </c>
      <c r="E40" s="30" t="s">
        <v>137</v>
      </c>
      <c r="F40" s="69" t="s">
        <v>29</v>
      </c>
      <c r="G40" s="69" t="s">
        <v>575</v>
      </c>
      <c r="H40" s="69" t="s">
        <v>576</v>
      </c>
      <c r="I40" s="92">
        <v>44365</v>
      </c>
      <c r="J40" s="69">
        <v>1</v>
      </c>
      <c r="K40" s="69">
        <v>134</v>
      </c>
      <c r="L40" s="69">
        <v>134</v>
      </c>
      <c r="M40" s="23">
        <f>((L40*26000)+(L40*26000)*10%)+8250+((0*150))</f>
        <v>3840650</v>
      </c>
      <c r="N40" s="21">
        <f t="shared" ref="N40" si="32">L40*1210</f>
        <v>162140</v>
      </c>
      <c r="O40" s="21">
        <f t="shared" ref="O40" si="33">(L40*2037)+3000</f>
        <v>275958</v>
      </c>
      <c r="P40" s="21">
        <f>L40*2500</f>
        <v>335000</v>
      </c>
      <c r="Q40" s="14">
        <f t="shared" ref="Q40:Q45" si="34">SUM(M40:P40)</f>
        <v>4613748</v>
      </c>
      <c r="R40" s="213">
        <v>6195544</v>
      </c>
      <c r="S40" s="201" t="s">
        <v>697</v>
      </c>
      <c r="T40" s="123" t="s">
        <v>27</v>
      </c>
    </row>
    <row r="41" spans="1:20" ht="15" hidden="1" customHeight="1" x14ac:dyDescent="0.25">
      <c r="A41" s="26">
        <v>40</v>
      </c>
      <c r="B41" s="69" t="s">
        <v>569</v>
      </c>
      <c r="C41" s="26" t="s">
        <v>29</v>
      </c>
      <c r="D41" s="69" t="s">
        <v>574</v>
      </c>
      <c r="E41" s="30" t="s">
        <v>49</v>
      </c>
      <c r="F41" s="69" t="s">
        <v>29</v>
      </c>
      <c r="G41" s="69" t="s">
        <v>575</v>
      </c>
      <c r="H41" s="69" t="s">
        <v>576</v>
      </c>
      <c r="I41" s="92">
        <v>44365</v>
      </c>
      <c r="J41" s="69">
        <v>1</v>
      </c>
      <c r="K41" s="69">
        <v>5</v>
      </c>
      <c r="L41" s="69">
        <v>11</v>
      </c>
      <c r="M41" s="23">
        <f>((L41*13000)+(L41*13000)*10%)+8250+((0*150))</f>
        <v>165550</v>
      </c>
      <c r="N41" s="21">
        <f t="shared" ref="N41" si="35">L41*1210</f>
        <v>13310</v>
      </c>
      <c r="O41" s="21">
        <f t="shared" ref="O41" si="36">(L41*2037)+3000</f>
        <v>25407</v>
      </c>
      <c r="P41" s="21">
        <f>L41*2500</f>
        <v>27500</v>
      </c>
      <c r="Q41" s="14">
        <f t="shared" si="34"/>
        <v>231767</v>
      </c>
      <c r="R41" s="213"/>
      <c r="S41" s="203"/>
      <c r="T41" s="123" t="s">
        <v>27</v>
      </c>
    </row>
    <row r="42" spans="1:20" hidden="1" x14ac:dyDescent="0.25">
      <c r="A42" s="26">
        <v>41</v>
      </c>
      <c r="B42" s="69" t="s">
        <v>570</v>
      </c>
      <c r="C42" s="26" t="s">
        <v>29</v>
      </c>
      <c r="D42" s="69" t="s">
        <v>30</v>
      </c>
      <c r="E42" s="30" t="s">
        <v>473</v>
      </c>
      <c r="F42" s="69" t="s">
        <v>29</v>
      </c>
      <c r="G42" s="69" t="s">
        <v>79</v>
      </c>
      <c r="H42" s="69" t="s">
        <v>89</v>
      </c>
      <c r="I42" s="92">
        <v>44365</v>
      </c>
      <c r="J42" s="69">
        <v>3</v>
      </c>
      <c r="K42" s="69">
        <v>59</v>
      </c>
      <c r="L42" s="69">
        <v>59</v>
      </c>
      <c r="M42" s="23">
        <f>((L42*15000)+(L42*15000)*10%)+8250+((0*150))</f>
        <v>981750</v>
      </c>
      <c r="N42" s="21">
        <f t="shared" ref="N42" si="37">L42*1210</f>
        <v>71390</v>
      </c>
      <c r="O42" s="21">
        <f t="shared" ref="O42" si="38">(L42*2037)+3000</f>
        <v>123183</v>
      </c>
      <c r="P42" s="21">
        <f t="shared" ref="P42" si="39">L42*2100</f>
        <v>123900</v>
      </c>
      <c r="Q42" s="14">
        <f t="shared" si="34"/>
        <v>1300223</v>
      </c>
      <c r="R42" s="122">
        <v>29701000</v>
      </c>
      <c r="S42" s="123" t="s">
        <v>672</v>
      </c>
      <c r="T42" s="123" t="s">
        <v>27</v>
      </c>
    </row>
    <row r="43" spans="1:20" ht="15" hidden="1" customHeight="1" x14ac:dyDescent="0.25">
      <c r="A43" s="26">
        <v>42</v>
      </c>
      <c r="B43" s="69" t="s">
        <v>571</v>
      </c>
      <c r="C43" s="26" t="s">
        <v>29</v>
      </c>
      <c r="D43" s="69" t="s">
        <v>53</v>
      </c>
      <c r="E43" s="30" t="s">
        <v>532</v>
      </c>
      <c r="F43" s="69" t="s">
        <v>29</v>
      </c>
      <c r="G43" s="69" t="s">
        <v>104</v>
      </c>
      <c r="H43" s="69" t="s">
        <v>105</v>
      </c>
      <c r="I43" s="92">
        <v>44365</v>
      </c>
      <c r="J43" s="69">
        <v>1</v>
      </c>
      <c r="K43" s="69">
        <v>34</v>
      </c>
      <c r="L43" s="69">
        <v>34</v>
      </c>
      <c r="M43" s="23">
        <f>((L43*34000)+(L43*34000)*10%)+8250+((0*150))</f>
        <v>1279850</v>
      </c>
      <c r="N43" s="21">
        <f t="shared" ref="N43:N44" si="40">L43*1210</f>
        <v>41140</v>
      </c>
      <c r="O43" s="21">
        <f>(L43*2037.2)+3000</f>
        <v>72264.800000000003</v>
      </c>
      <c r="P43" s="21">
        <f>L43*500</f>
        <v>17000</v>
      </c>
      <c r="Q43" s="14">
        <f t="shared" si="34"/>
        <v>1410254.8</v>
      </c>
      <c r="R43" s="21">
        <v>7687485</v>
      </c>
      <c r="S43" s="32" t="s">
        <v>606</v>
      </c>
      <c r="T43" s="30" t="s">
        <v>27</v>
      </c>
    </row>
    <row r="44" spans="1:20" ht="15" hidden="1" customHeight="1" x14ac:dyDescent="0.25">
      <c r="A44" s="26">
        <v>43</v>
      </c>
      <c r="B44" s="69" t="s">
        <v>572</v>
      </c>
      <c r="C44" s="26" t="s">
        <v>29</v>
      </c>
      <c r="D44" s="69" t="s">
        <v>53</v>
      </c>
      <c r="E44" s="30" t="s">
        <v>532</v>
      </c>
      <c r="F44" s="69" t="s">
        <v>29</v>
      </c>
      <c r="G44" s="69" t="s">
        <v>104</v>
      </c>
      <c r="H44" s="69" t="s">
        <v>105</v>
      </c>
      <c r="I44" s="92">
        <v>44365</v>
      </c>
      <c r="J44" s="69">
        <v>1</v>
      </c>
      <c r="K44" s="69">
        <v>26</v>
      </c>
      <c r="L44" s="69">
        <v>26</v>
      </c>
      <c r="M44" s="23">
        <f>((L44*34000)+(L44*34000)*10%)+8250+((0*150))</f>
        <v>980650</v>
      </c>
      <c r="N44" s="21">
        <f t="shared" si="40"/>
        <v>31460</v>
      </c>
      <c r="O44" s="21">
        <f>(L44*2037.2)+3000</f>
        <v>55967.200000000004</v>
      </c>
      <c r="P44" s="21">
        <f>L44*500</f>
        <v>13000</v>
      </c>
      <c r="Q44" s="14">
        <f t="shared" si="34"/>
        <v>1081077.2</v>
      </c>
      <c r="R44" s="21">
        <v>7687485</v>
      </c>
      <c r="S44" s="32" t="s">
        <v>606</v>
      </c>
      <c r="T44" s="30" t="s">
        <v>27</v>
      </c>
    </row>
    <row r="45" spans="1:20" hidden="1" x14ac:dyDescent="0.25">
      <c r="A45" s="26">
        <v>44</v>
      </c>
      <c r="B45" s="69" t="s">
        <v>573</v>
      </c>
      <c r="C45" s="26" t="s">
        <v>29</v>
      </c>
      <c r="D45" s="69" t="s">
        <v>30</v>
      </c>
      <c r="E45" s="30" t="s">
        <v>473</v>
      </c>
      <c r="F45" s="69" t="s">
        <v>29</v>
      </c>
      <c r="G45" s="69" t="s">
        <v>35</v>
      </c>
      <c r="H45" s="69" t="s">
        <v>475</v>
      </c>
      <c r="I45" s="111">
        <v>44365</v>
      </c>
      <c r="J45" s="69">
        <v>4</v>
      </c>
      <c r="K45" s="69">
        <v>79</v>
      </c>
      <c r="L45" s="69">
        <v>79</v>
      </c>
      <c r="M45" s="23">
        <f>((L45*9200)+(L45*9200)*10%)+8250+((0*150))</f>
        <v>807730</v>
      </c>
      <c r="N45" s="21">
        <f t="shared" ref="N45" si="41">L45*1210</f>
        <v>95590</v>
      </c>
      <c r="O45" s="21">
        <f t="shared" ref="O45" si="42">(L45*2037)+3000</f>
        <v>163923</v>
      </c>
      <c r="P45" s="21">
        <f t="shared" ref="P45" si="43">L45*2100</f>
        <v>165900</v>
      </c>
      <c r="Q45" s="14">
        <f t="shared" si="34"/>
        <v>1233143</v>
      </c>
      <c r="R45" s="122">
        <v>29701000</v>
      </c>
      <c r="S45" s="123" t="s">
        <v>672</v>
      </c>
      <c r="T45" s="123" t="s">
        <v>27</v>
      </c>
    </row>
    <row r="46" spans="1:20" ht="15" hidden="1" customHeight="1" x14ac:dyDescent="0.25">
      <c r="A46" s="26">
        <v>45</v>
      </c>
      <c r="B46" s="69" t="s">
        <v>577</v>
      </c>
      <c r="C46" s="26" t="s">
        <v>29</v>
      </c>
      <c r="D46" s="69" t="s">
        <v>85</v>
      </c>
      <c r="E46" s="30" t="s">
        <v>581</v>
      </c>
      <c r="F46" s="69" t="s">
        <v>29</v>
      </c>
      <c r="G46" s="69" t="s">
        <v>72</v>
      </c>
      <c r="H46" s="69" t="s">
        <v>582</v>
      </c>
      <c r="I46" s="111">
        <v>44367</v>
      </c>
      <c r="J46" s="69">
        <v>5</v>
      </c>
      <c r="K46" s="69">
        <v>100</v>
      </c>
      <c r="L46" s="69">
        <v>100</v>
      </c>
      <c r="M46" s="23">
        <f>((L46*16500)+(L46*16500)*10%)+8250+((0*150))</f>
        <v>1823250</v>
      </c>
      <c r="N46" s="21">
        <f t="shared" ref="N46:N49" si="44">L46*1210</f>
        <v>121000</v>
      </c>
      <c r="O46" s="21">
        <f>(L46*2037.2)+3000</f>
        <v>206720</v>
      </c>
      <c r="P46" s="21">
        <f>L46*1100</f>
        <v>110000</v>
      </c>
      <c r="Q46" s="14">
        <f>SUM(M46:P46)</f>
        <v>2260970</v>
      </c>
      <c r="R46" s="21">
        <v>2260970</v>
      </c>
      <c r="S46" s="32" t="s">
        <v>711</v>
      </c>
      <c r="T46" s="30" t="s">
        <v>27</v>
      </c>
    </row>
    <row r="47" spans="1:20" hidden="1" x14ac:dyDescent="0.25">
      <c r="A47" s="26">
        <v>46</v>
      </c>
      <c r="B47" s="69" t="s">
        <v>578</v>
      </c>
      <c r="C47" s="26" t="s">
        <v>29</v>
      </c>
      <c r="D47" s="69" t="s">
        <v>30</v>
      </c>
      <c r="E47" s="30" t="s">
        <v>473</v>
      </c>
      <c r="F47" s="69" t="s">
        <v>29</v>
      </c>
      <c r="G47" s="69" t="s">
        <v>40</v>
      </c>
      <c r="H47" s="69" t="s">
        <v>552</v>
      </c>
      <c r="I47" s="111">
        <v>44367</v>
      </c>
      <c r="J47" s="69">
        <v>1</v>
      </c>
      <c r="K47" s="69">
        <v>14</v>
      </c>
      <c r="L47" s="69">
        <v>22</v>
      </c>
      <c r="M47" s="23">
        <f>((L47*6000)+(L47*6000)*10%)+8250+((L47*150))</f>
        <v>156750</v>
      </c>
      <c r="N47" s="21">
        <f t="shared" si="44"/>
        <v>26620</v>
      </c>
      <c r="O47" s="21">
        <f t="shared" ref="O47:O49" si="45">(L47*2037)+3000</f>
        <v>47814</v>
      </c>
      <c r="P47" s="21">
        <f t="shared" ref="P47:P49" si="46">L47*2100</f>
        <v>46200</v>
      </c>
      <c r="Q47" s="14">
        <f t="shared" ref="Q47:Q51" si="47">SUM(M47:P47)</f>
        <v>277384</v>
      </c>
      <c r="R47" s="122">
        <v>29701000</v>
      </c>
      <c r="S47" s="123" t="s">
        <v>672</v>
      </c>
      <c r="T47" s="123" t="s">
        <v>27</v>
      </c>
    </row>
    <row r="48" spans="1:20" hidden="1" x14ac:dyDescent="0.25">
      <c r="A48" s="26">
        <v>47</v>
      </c>
      <c r="B48" s="69" t="s">
        <v>579</v>
      </c>
      <c r="C48" s="26" t="s">
        <v>29</v>
      </c>
      <c r="D48" s="69" t="s">
        <v>30</v>
      </c>
      <c r="E48" s="30" t="s">
        <v>473</v>
      </c>
      <c r="F48" s="69" t="s">
        <v>29</v>
      </c>
      <c r="G48" s="69" t="s">
        <v>231</v>
      </c>
      <c r="H48" s="69" t="s">
        <v>583</v>
      </c>
      <c r="I48" s="111">
        <v>44367</v>
      </c>
      <c r="J48" s="69">
        <v>5</v>
      </c>
      <c r="K48" s="69">
        <v>115</v>
      </c>
      <c r="L48" s="69">
        <v>115</v>
      </c>
      <c r="M48" s="23">
        <f>((L48*23500)+(L48*23500)*10%)+8250+((0*150))</f>
        <v>2981000</v>
      </c>
      <c r="N48" s="21">
        <f t="shared" si="44"/>
        <v>139150</v>
      </c>
      <c r="O48" s="21">
        <f t="shared" si="45"/>
        <v>237255</v>
      </c>
      <c r="P48" s="21">
        <f t="shared" si="46"/>
        <v>241500</v>
      </c>
      <c r="Q48" s="14">
        <f t="shared" si="47"/>
        <v>3598905</v>
      </c>
      <c r="R48" s="122">
        <v>29701000</v>
      </c>
      <c r="S48" s="123" t="s">
        <v>672</v>
      </c>
      <c r="T48" s="123" t="s">
        <v>27</v>
      </c>
    </row>
    <row r="49" spans="1:20" hidden="1" x14ac:dyDescent="0.25">
      <c r="A49" s="26">
        <v>48</v>
      </c>
      <c r="B49" s="69" t="s">
        <v>580</v>
      </c>
      <c r="C49" s="26" t="s">
        <v>29</v>
      </c>
      <c r="D49" s="69" t="s">
        <v>30</v>
      </c>
      <c r="E49" s="30" t="s">
        <v>473</v>
      </c>
      <c r="F49" s="69" t="s">
        <v>29</v>
      </c>
      <c r="G49" s="69" t="s">
        <v>79</v>
      </c>
      <c r="H49" s="69" t="s">
        <v>222</v>
      </c>
      <c r="I49" s="111">
        <v>44367</v>
      </c>
      <c r="J49" s="69">
        <v>7</v>
      </c>
      <c r="K49" s="69">
        <v>161</v>
      </c>
      <c r="L49" s="69">
        <v>161</v>
      </c>
      <c r="M49" s="23">
        <f>((L49*15000)+(L49*15000)*10%)+8250+((0*150))</f>
        <v>2664750</v>
      </c>
      <c r="N49" s="21">
        <f t="shared" si="44"/>
        <v>194810</v>
      </c>
      <c r="O49" s="21">
        <f t="shared" si="45"/>
        <v>330957</v>
      </c>
      <c r="P49" s="21">
        <f t="shared" si="46"/>
        <v>338100</v>
      </c>
      <c r="Q49" s="14">
        <f t="shared" si="47"/>
        <v>3528617</v>
      </c>
      <c r="R49" s="122">
        <v>29701000</v>
      </c>
      <c r="S49" s="123" t="s">
        <v>672</v>
      </c>
      <c r="T49" s="123" t="s">
        <v>27</v>
      </c>
    </row>
    <row r="50" spans="1:20" ht="15" hidden="1" customHeight="1" x14ac:dyDescent="0.25">
      <c r="A50" s="26">
        <v>49</v>
      </c>
      <c r="B50" s="30" t="s">
        <v>584</v>
      </c>
      <c r="C50" s="26" t="s">
        <v>21</v>
      </c>
      <c r="D50" s="30" t="s">
        <v>390</v>
      </c>
      <c r="E50" s="30" t="s">
        <v>49</v>
      </c>
      <c r="F50" s="30" t="s">
        <v>21</v>
      </c>
      <c r="G50" s="30" t="s">
        <v>171</v>
      </c>
      <c r="H50" s="69" t="s">
        <v>405</v>
      </c>
      <c r="I50" s="36">
        <v>44368</v>
      </c>
      <c r="J50" s="30">
        <v>2</v>
      </c>
      <c r="K50" s="30">
        <v>42</v>
      </c>
      <c r="L50" s="30">
        <v>42</v>
      </c>
      <c r="M50" s="104">
        <f>((L50*6500)+(L50*6500)*10%)+8250+((0*150))</f>
        <v>308550</v>
      </c>
      <c r="N50" s="105">
        <v>0</v>
      </c>
      <c r="O50" s="105">
        <v>0</v>
      </c>
      <c r="P50" s="21">
        <f>L50*1100</f>
        <v>46200</v>
      </c>
      <c r="Q50" s="14">
        <f t="shared" si="47"/>
        <v>354750</v>
      </c>
      <c r="R50" s="27">
        <v>354750</v>
      </c>
      <c r="S50" s="57" t="s">
        <v>692</v>
      </c>
      <c r="T50" s="123" t="s">
        <v>27</v>
      </c>
    </row>
    <row r="51" spans="1:20" ht="15" hidden="1" customHeight="1" x14ac:dyDescent="0.25">
      <c r="A51" s="26">
        <v>50</v>
      </c>
      <c r="B51" s="30" t="s">
        <v>585</v>
      </c>
      <c r="C51" s="26" t="s">
        <v>21</v>
      </c>
      <c r="D51" s="30" t="s">
        <v>53</v>
      </c>
      <c r="E51" s="30" t="s">
        <v>49</v>
      </c>
      <c r="F51" s="30" t="s">
        <v>21</v>
      </c>
      <c r="G51" s="30" t="s">
        <v>50</v>
      </c>
      <c r="H51" s="30" t="s">
        <v>25</v>
      </c>
      <c r="I51" s="36">
        <v>44369</v>
      </c>
      <c r="J51" s="30">
        <v>2</v>
      </c>
      <c r="K51" s="30">
        <v>39</v>
      </c>
      <c r="L51" s="30">
        <v>39</v>
      </c>
      <c r="M51" s="23">
        <f>((L51*30600)+(L51*30600)*10%)+8250+((0*150))</f>
        <v>1320990</v>
      </c>
      <c r="N51" s="21">
        <f>L51*869</f>
        <v>33891</v>
      </c>
      <c r="O51" s="21">
        <f>(L51*1153.2)+20000</f>
        <v>64974.8</v>
      </c>
      <c r="P51" s="21">
        <f>L51*500</f>
        <v>19500</v>
      </c>
      <c r="Q51" s="14">
        <f t="shared" si="47"/>
        <v>1439355.8</v>
      </c>
      <c r="R51" s="21">
        <v>7644975</v>
      </c>
      <c r="S51" s="125" t="s">
        <v>716</v>
      </c>
      <c r="T51" s="125" t="s">
        <v>27</v>
      </c>
    </row>
    <row r="52" spans="1:20" ht="15" hidden="1" customHeight="1" x14ac:dyDescent="0.25">
      <c r="A52" s="26">
        <v>51</v>
      </c>
      <c r="B52" s="69" t="s">
        <v>586</v>
      </c>
      <c r="C52" s="26" t="s">
        <v>29</v>
      </c>
      <c r="D52" s="30" t="s">
        <v>85</v>
      </c>
      <c r="E52" s="30" t="s">
        <v>49</v>
      </c>
      <c r="F52" s="30" t="s">
        <v>29</v>
      </c>
      <c r="G52" s="30" t="s">
        <v>35</v>
      </c>
      <c r="H52" s="30" t="s">
        <v>36</v>
      </c>
      <c r="I52" s="36">
        <v>44369</v>
      </c>
      <c r="J52" s="30">
        <v>5</v>
      </c>
      <c r="K52" s="30">
        <v>166</v>
      </c>
      <c r="L52" s="30">
        <v>166</v>
      </c>
      <c r="M52" s="23">
        <f>((L52*9200)+(L52*9200)*10%)+8250+((0*150))</f>
        <v>1688170</v>
      </c>
      <c r="N52" s="21">
        <f t="shared" ref="N52:N53" si="48">L52*1210</f>
        <v>200860</v>
      </c>
      <c r="O52" s="21">
        <f>(L52*2037.2)+3000</f>
        <v>341175.2</v>
      </c>
      <c r="P52" s="21">
        <f>L52*1100</f>
        <v>182600</v>
      </c>
      <c r="Q52" s="14">
        <f t="shared" ref="Q52" si="49">SUM(M52:P52)</f>
        <v>2412805.2000000002</v>
      </c>
      <c r="R52" s="21">
        <v>6079736</v>
      </c>
      <c r="S52" s="32" t="s">
        <v>643</v>
      </c>
      <c r="T52" s="30" t="s">
        <v>126</v>
      </c>
    </row>
    <row r="53" spans="1:20" ht="15" hidden="1" customHeight="1" x14ac:dyDescent="0.25">
      <c r="A53" s="26">
        <v>52</v>
      </c>
      <c r="B53" s="69" t="s">
        <v>587</v>
      </c>
      <c r="C53" s="26" t="s">
        <v>29</v>
      </c>
      <c r="D53" s="30" t="s">
        <v>53</v>
      </c>
      <c r="E53" s="30" t="s">
        <v>49</v>
      </c>
      <c r="F53" s="30" t="s">
        <v>29</v>
      </c>
      <c r="G53" s="30" t="s">
        <v>241</v>
      </c>
      <c r="H53" s="30" t="s">
        <v>110</v>
      </c>
      <c r="I53" s="36">
        <v>44369</v>
      </c>
      <c r="J53" s="30">
        <v>1</v>
      </c>
      <c r="K53" s="30">
        <v>38</v>
      </c>
      <c r="L53" s="30">
        <v>38</v>
      </c>
      <c r="M53" s="23">
        <f>((L53*27500)+(L53*27500)*10%)+8250+((L53*165))</f>
        <v>1164020</v>
      </c>
      <c r="N53" s="21">
        <f t="shared" si="48"/>
        <v>45980</v>
      </c>
      <c r="O53" s="21">
        <f t="shared" ref="O53" si="50">(L53*2037.2)+3000</f>
        <v>80413.600000000006</v>
      </c>
      <c r="P53" s="21">
        <f>L53*500</f>
        <v>19000</v>
      </c>
      <c r="Q53" s="14">
        <f t="shared" ref="Q53" si="51">SUM(M53:P53)</f>
        <v>1309413.6000000001</v>
      </c>
      <c r="R53" s="21">
        <v>7644975</v>
      </c>
      <c r="S53" s="125" t="s">
        <v>716</v>
      </c>
      <c r="T53" s="125" t="s">
        <v>27</v>
      </c>
    </row>
    <row r="54" spans="1:20" ht="15" hidden="1" customHeight="1" x14ac:dyDescent="0.25">
      <c r="A54" s="26">
        <v>53</v>
      </c>
      <c r="B54" s="69" t="s">
        <v>589</v>
      </c>
      <c r="C54" s="26" t="s">
        <v>29</v>
      </c>
      <c r="D54" s="30" t="s">
        <v>574</v>
      </c>
      <c r="E54" s="30" t="s">
        <v>49</v>
      </c>
      <c r="F54" s="69" t="s">
        <v>29</v>
      </c>
      <c r="G54" s="69" t="s">
        <v>45</v>
      </c>
      <c r="H54" s="69" t="s">
        <v>43</v>
      </c>
      <c r="I54" s="36">
        <v>44370</v>
      </c>
      <c r="J54" s="69">
        <v>6</v>
      </c>
      <c r="K54" s="69">
        <v>100</v>
      </c>
      <c r="L54" s="69">
        <v>143</v>
      </c>
      <c r="M54" s="23">
        <f>((L54*35000)+(L54*35000)*10%)+8250+((L54*150))</f>
        <v>5535200</v>
      </c>
      <c r="N54" s="21">
        <f>L54*1210</f>
        <v>173030</v>
      </c>
      <c r="O54" s="21">
        <f>(L54*2037.2)+3000</f>
        <v>294319.60000000003</v>
      </c>
      <c r="P54" s="21">
        <f>L54*2500</f>
        <v>357500</v>
      </c>
      <c r="Q54" s="14">
        <f>SUM(M54:P54)</f>
        <v>6360049.5999999996</v>
      </c>
      <c r="R54" s="27">
        <v>6360050</v>
      </c>
      <c r="S54" s="181" t="s">
        <v>1010</v>
      </c>
      <c r="T54" s="147" t="s">
        <v>27</v>
      </c>
    </row>
    <row r="55" spans="1:20" hidden="1" x14ac:dyDescent="0.25">
      <c r="A55" s="26">
        <v>54</v>
      </c>
      <c r="B55" s="69" t="s">
        <v>590</v>
      </c>
      <c r="C55" s="26" t="s">
        <v>29</v>
      </c>
      <c r="D55" s="30" t="s">
        <v>30</v>
      </c>
      <c r="E55" s="30" t="s">
        <v>473</v>
      </c>
      <c r="F55" s="69" t="s">
        <v>29</v>
      </c>
      <c r="G55" s="69" t="s">
        <v>184</v>
      </c>
      <c r="H55" s="69" t="s">
        <v>334</v>
      </c>
      <c r="I55" s="36">
        <v>44370</v>
      </c>
      <c r="J55" s="69">
        <v>5</v>
      </c>
      <c r="K55" s="69">
        <v>82</v>
      </c>
      <c r="L55" s="69">
        <v>83</v>
      </c>
      <c r="M55" s="23">
        <f>((L55*13500)+(L55*13500)*10%)+8250+((0*165))</f>
        <v>1240800</v>
      </c>
      <c r="N55" s="21">
        <f t="shared" ref="N55:N59" si="52">L55*1210</f>
        <v>100430</v>
      </c>
      <c r="O55" s="21">
        <f>(L55*2037)+3000</f>
        <v>172071</v>
      </c>
      <c r="P55" s="21">
        <f>L55*2100</f>
        <v>174300</v>
      </c>
      <c r="Q55" s="14">
        <f t="shared" ref="Q55:Q59" si="53">SUM(M55:P55)</f>
        <v>1687601</v>
      </c>
      <c r="R55" s="122">
        <v>29701000</v>
      </c>
      <c r="S55" s="123" t="s">
        <v>672</v>
      </c>
      <c r="T55" s="123" t="s">
        <v>27</v>
      </c>
    </row>
    <row r="56" spans="1:20" hidden="1" x14ac:dyDescent="0.25">
      <c r="A56" s="26">
        <v>55</v>
      </c>
      <c r="B56" s="69" t="s">
        <v>591</v>
      </c>
      <c r="C56" s="26" t="s">
        <v>29</v>
      </c>
      <c r="D56" s="30" t="s">
        <v>30</v>
      </c>
      <c r="E56" s="30" t="s">
        <v>473</v>
      </c>
      <c r="F56" s="69" t="s">
        <v>29</v>
      </c>
      <c r="G56" s="69" t="s">
        <v>171</v>
      </c>
      <c r="H56" s="69" t="s">
        <v>592</v>
      </c>
      <c r="I56" s="36">
        <v>44370</v>
      </c>
      <c r="J56" s="69">
        <v>1</v>
      </c>
      <c r="K56" s="69">
        <v>2</v>
      </c>
      <c r="L56" s="69">
        <v>11</v>
      </c>
      <c r="M56" s="23">
        <f>((L56*11000)+(L56*11000)*10%)+8250+((0*165))</f>
        <v>141350</v>
      </c>
      <c r="N56" s="21">
        <f t="shared" si="52"/>
        <v>13310</v>
      </c>
      <c r="O56" s="21">
        <f t="shared" ref="O56:O58" si="54">(L56*2037)+3000</f>
        <v>25407</v>
      </c>
      <c r="P56" s="21">
        <f>L56*2100</f>
        <v>23100</v>
      </c>
      <c r="Q56" s="14">
        <f t="shared" si="53"/>
        <v>203167</v>
      </c>
      <c r="R56" s="122">
        <v>29701000</v>
      </c>
      <c r="S56" s="123" t="s">
        <v>672</v>
      </c>
      <c r="T56" s="123" t="s">
        <v>27</v>
      </c>
    </row>
    <row r="57" spans="1:20" hidden="1" x14ac:dyDescent="0.25">
      <c r="A57" s="26">
        <v>56</v>
      </c>
      <c r="B57" s="69" t="s">
        <v>593</v>
      </c>
      <c r="C57" s="26" t="s">
        <v>29</v>
      </c>
      <c r="D57" s="69" t="s">
        <v>30</v>
      </c>
      <c r="E57" s="30" t="s">
        <v>473</v>
      </c>
      <c r="F57" s="69" t="s">
        <v>29</v>
      </c>
      <c r="G57" s="69" t="s">
        <v>79</v>
      </c>
      <c r="H57" s="69" t="s">
        <v>222</v>
      </c>
      <c r="I57" s="36">
        <v>44370</v>
      </c>
      <c r="J57" s="69">
        <v>1</v>
      </c>
      <c r="K57" s="69">
        <v>2</v>
      </c>
      <c r="L57" s="69">
        <v>11</v>
      </c>
      <c r="M57" s="23">
        <f>((L57*15000)+(L57*15000)*10%)+8250+((0*150))</f>
        <v>189750</v>
      </c>
      <c r="N57" s="21">
        <f t="shared" si="52"/>
        <v>13310</v>
      </c>
      <c r="O57" s="21">
        <f t="shared" si="54"/>
        <v>25407</v>
      </c>
      <c r="P57" s="21">
        <f>L57*2100</f>
        <v>23100</v>
      </c>
      <c r="Q57" s="14">
        <f t="shared" si="53"/>
        <v>251567</v>
      </c>
      <c r="R57" s="122">
        <v>29701000</v>
      </c>
      <c r="S57" s="123" t="s">
        <v>672</v>
      </c>
      <c r="T57" s="123" t="s">
        <v>27</v>
      </c>
    </row>
    <row r="58" spans="1:20" hidden="1" x14ac:dyDescent="0.25">
      <c r="A58" s="26">
        <v>57</v>
      </c>
      <c r="B58" s="69" t="s">
        <v>594</v>
      </c>
      <c r="C58" s="26" t="s">
        <v>29</v>
      </c>
      <c r="D58" s="69" t="s">
        <v>30</v>
      </c>
      <c r="E58" s="30" t="s">
        <v>473</v>
      </c>
      <c r="F58" s="69" t="s">
        <v>29</v>
      </c>
      <c r="G58" s="69" t="s">
        <v>35</v>
      </c>
      <c r="H58" s="69" t="s">
        <v>157</v>
      </c>
      <c r="I58" s="36">
        <v>44370</v>
      </c>
      <c r="J58" s="69">
        <v>2</v>
      </c>
      <c r="K58" s="69">
        <v>29</v>
      </c>
      <c r="L58" s="69">
        <v>33</v>
      </c>
      <c r="M58" s="23">
        <f>((L58*9200)+(L58*9200)*10%)+8250+((0*150))</f>
        <v>342210</v>
      </c>
      <c r="N58" s="21">
        <f t="shared" si="52"/>
        <v>39930</v>
      </c>
      <c r="O58" s="21">
        <f t="shared" si="54"/>
        <v>70221</v>
      </c>
      <c r="P58" s="21">
        <f>L58*2100</f>
        <v>69300</v>
      </c>
      <c r="Q58" s="14">
        <f t="shared" si="53"/>
        <v>521661</v>
      </c>
      <c r="R58" s="122">
        <v>29701000</v>
      </c>
      <c r="S58" s="123" t="s">
        <v>672</v>
      </c>
      <c r="T58" s="123" t="s">
        <v>27</v>
      </c>
    </row>
    <row r="59" spans="1:20" ht="15" hidden="1" customHeight="1" x14ac:dyDescent="0.25">
      <c r="A59" s="26">
        <v>58</v>
      </c>
      <c r="B59" s="69" t="s">
        <v>588</v>
      </c>
      <c r="C59" s="26" t="s">
        <v>29</v>
      </c>
      <c r="D59" s="69" t="s">
        <v>491</v>
      </c>
      <c r="E59" s="30" t="s">
        <v>595</v>
      </c>
      <c r="F59" s="69" t="s">
        <v>29</v>
      </c>
      <c r="G59" s="69" t="s">
        <v>241</v>
      </c>
      <c r="H59" s="69" t="s">
        <v>596</v>
      </c>
      <c r="I59" s="36">
        <v>44370</v>
      </c>
      <c r="J59" s="69">
        <v>1</v>
      </c>
      <c r="K59" s="69">
        <v>30</v>
      </c>
      <c r="L59" s="69">
        <v>30</v>
      </c>
      <c r="M59" s="23">
        <f>((L59*27500)+(L59*27500)*10%)+8250+((L59*165))</f>
        <v>920700</v>
      </c>
      <c r="N59" s="21">
        <f t="shared" si="52"/>
        <v>36300</v>
      </c>
      <c r="O59" s="21">
        <f t="shared" ref="O59" si="55">(L59*2037.2)+3000</f>
        <v>64116</v>
      </c>
      <c r="P59" s="21">
        <f>L59*1100</f>
        <v>33000</v>
      </c>
      <c r="Q59" s="14">
        <f t="shared" si="53"/>
        <v>1054116</v>
      </c>
      <c r="R59" s="27">
        <v>1054116</v>
      </c>
      <c r="S59" s="57" t="s">
        <v>693</v>
      </c>
      <c r="T59" s="123" t="s">
        <v>27</v>
      </c>
    </row>
    <row r="60" spans="1:20" ht="15" hidden="1" customHeight="1" x14ac:dyDescent="0.25">
      <c r="A60" s="26">
        <v>58</v>
      </c>
      <c r="B60" s="30" t="s">
        <v>598</v>
      </c>
      <c r="C60" s="26" t="s">
        <v>21</v>
      </c>
      <c r="D60" s="30" t="s">
        <v>390</v>
      </c>
      <c r="E60" s="30" t="s">
        <v>49</v>
      </c>
      <c r="F60" s="30" t="s">
        <v>21</v>
      </c>
      <c r="G60" s="30" t="s">
        <v>171</v>
      </c>
      <c r="H60" s="30" t="s">
        <v>599</v>
      </c>
      <c r="I60" s="36">
        <v>44370</v>
      </c>
      <c r="J60" s="30">
        <v>2</v>
      </c>
      <c r="K60" s="30">
        <v>35</v>
      </c>
      <c r="L60" s="30">
        <v>35</v>
      </c>
      <c r="M60" s="104">
        <f>((L60*6500)+(L60*6500)*10%)+8250+((0*150))</f>
        <v>258500</v>
      </c>
      <c r="N60" s="105">
        <v>0</v>
      </c>
      <c r="O60" s="105">
        <v>0</v>
      </c>
      <c r="P60" s="21">
        <f>L60*1100</f>
        <v>38500</v>
      </c>
      <c r="Q60" s="14">
        <f t="shared" ref="Q60" si="56">SUM(M60:P60)</f>
        <v>297000</v>
      </c>
      <c r="R60" s="27">
        <v>297000</v>
      </c>
      <c r="S60" s="57" t="s">
        <v>694</v>
      </c>
      <c r="T60" s="123" t="s">
        <v>27</v>
      </c>
    </row>
    <row r="61" spans="1:20" ht="15" hidden="1" customHeight="1" x14ac:dyDescent="0.25">
      <c r="A61" s="26">
        <v>59</v>
      </c>
      <c r="B61" s="30" t="s">
        <v>601</v>
      </c>
      <c r="C61" s="26" t="s">
        <v>29</v>
      </c>
      <c r="D61" s="30" t="s">
        <v>491</v>
      </c>
      <c r="E61" s="30" t="s">
        <v>49</v>
      </c>
      <c r="F61" s="30" t="s">
        <v>29</v>
      </c>
      <c r="G61" s="30" t="s">
        <v>24</v>
      </c>
      <c r="H61" s="30" t="s">
        <v>93</v>
      </c>
      <c r="I61" s="36">
        <v>44371</v>
      </c>
      <c r="J61" s="30">
        <v>1</v>
      </c>
      <c r="K61" s="30">
        <v>21</v>
      </c>
      <c r="L61" s="30">
        <v>21</v>
      </c>
      <c r="M61" s="23">
        <f>((L61*22000)+(L61*22000)*10%)+8250+((L61*165))</f>
        <v>519915</v>
      </c>
      <c r="N61" s="21">
        <f t="shared" ref="N61:N62" si="57">L61*1210</f>
        <v>25410</v>
      </c>
      <c r="O61" s="21">
        <f t="shared" ref="O61" si="58">(L61*2037.2)+3000</f>
        <v>45781.200000000004</v>
      </c>
      <c r="P61" s="21">
        <f>L61*1100</f>
        <v>23100</v>
      </c>
      <c r="Q61" s="14">
        <f t="shared" ref="Q61:Q64" si="59">SUM(M61:P61)</f>
        <v>614206.19999999995</v>
      </c>
      <c r="R61" s="27">
        <v>614206.19999999995</v>
      </c>
      <c r="S61" s="57" t="s">
        <v>693</v>
      </c>
      <c r="T61" s="123" t="s">
        <v>27</v>
      </c>
    </row>
    <row r="62" spans="1:20" hidden="1" x14ac:dyDescent="0.25">
      <c r="A62" s="26">
        <v>60</v>
      </c>
      <c r="B62" s="30" t="s">
        <v>602</v>
      </c>
      <c r="C62" s="26" t="s">
        <v>29</v>
      </c>
      <c r="D62" s="30" t="s">
        <v>30</v>
      </c>
      <c r="E62" s="30" t="s">
        <v>473</v>
      </c>
      <c r="F62" s="30" t="s">
        <v>29</v>
      </c>
      <c r="G62" s="30" t="s">
        <v>35</v>
      </c>
      <c r="H62" s="30" t="s">
        <v>157</v>
      </c>
      <c r="I62" s="36">
        <v>44371</v>
      </c>
      <c r="J62" s="30">
        <v>5</v>
      </c>
      <c r="K62" s="30">
        <v>68</v>
      </c>
      <c r="L62" s="30">
        <v>77</v>
      </c>
      <c r="M62" s="23">
        <f>((L62*9200)+(L62*9200)*10%)+8250+((0*150))</f>
        <v>787490</v>
      </c>
      <c r="N62" s="21">
        <f t="shared" si="57"/>
        <v>93170</v>
      </c>
      <c r="O62" s="21">
        <f>(L62*2037)+3000</f>
        <v>159849</v>
      </c>
      <c r="P62" s="21">
        <f>L62*2100</f>
        <v>161700</v>
      </c>
      <c r="Q62" s="14">
        <f t="shared" si="59"/>
        <v>1202209</v>
      </c>
      <c r="R62" s="122">
        <v>29701000</v>
      </c>
      <c r="S62" s="123" t="s">
        <v>672</v>
      </c>
      <c r="T62" s="123" t="s">
        <v>27</v>
      </c>
    </row>
    <row r="63" spans="1:20" hidden="1" x14ac:dyDescent="0.25">
      <c r="A63" s="26">
        <v>61</v>
      </c>
      <c r="B63" s="30" t="s">
        <v>603</v>
      </c>
      <c r="C63" s="26" t="s">
        <v>21</v>
      </c>
      <c r="D63" s="30" t="s">
        <v>604</v>
      </c>
      <c r="E63" s="30" t="s">
        <v>49</v>
      </c>
      <c r="F63" s="30" t="s">
        <v>21</v>
      </c>
      <c r="G63" s="30" t="s">
        <v>171</v>
      </c>
      <c r="H63" s="30" t="s">
        <v>189</v>
      </c>
      <c r="I63" s="36">
        <v>44371</v>
      </c>
      <c r="J63" s="30">
        <v>4</v>
      </c>
      <c r="K63" s="30">
        <v>42</v>
      </c>
      <c r="L63" s="30">
        <v>42</v>
      </c>
      <c r="M63" s="104">
        <f>((L63*6500)+(L63*6500)*10%)+8250+((0*150))</f>
        <v>308550</v>
      </c>
      <c r="N63" s="105">
        <v>0</v>
      </c>
      <c r="O63" s="105">
        <v>0</v>
      </c>
      <c r="P63" s="21">
        <f>L63*1100</f>
        <v>46200</v>
      </c>
      <c r="Q63" s="14">
        <f t="shared" si="59"/>
        <v>354750</v>
      </c>
      <c r="R63" s="21">
        <v>354750</v>
      </c>
      <c r="S63" s="30" t="s">
        <v>27</v>
      </c>
      <c r="T63" s="32" t="s">
        <v>600</v>
      </c>
    </row>
    <row r="64" spans="1:20" hidden="1" x14ac:dyDescent="0.25">
      <c r="A64" s="26">
        <v>62</v>
      </c>
      <c r="B64" s="30" t="s">
        <v>605</v>
      </c>
      <c r="C64" s="26" t="s">
        <v>29</v>
      </c>
      <c r="D64" s="30" t="s">
        <v>53</v>
      </c>
      <c r="E64" s="30" t="s">
        <v>49</v>
      </c>
      <c r="F64" s="30" t="s">
        <v>29</v>
      </c>
      <c r="G64" s="30" t="s">
        <v>64</v>
      </c>
      <c r="H64" s="30" t="s">
        <v>484</v>
      </c>
      <c r="I64" s="36">
        <v>44372</v>
      </c>
      <c r="J64" s="30">
        <v>1</v>
      </c>
      <c r="K64" s="30">
        <v>4</v>
      </c>
      <c r="L64" s="30">
        <v>10</v>
      </c>
      <c r="M64" s="23">
        <f>((L64*14400)+(L64*14400)*10%)+8250+((0*165))</f>
        <v>166650</v>
      </c>
      <c r="N64" s="21">
        <f t="shared" ref="N64" si="60">L64*1210</f>
        <v>12100</v>
      </c>
      <c r="O64" s="21">
        <f>(L64*2037.2)+3000</f>
        <v>23372</v>
      </c>
      <c r="P64" s="21">
        <f>L64*500</f>
        <v>5000</v>
      </c>
      <c r="Q64" s="14">
        <f t="shared" si="59"/>
        <v>207122</v>
      </c>
      <c r="R64" s="21">
        <v>7644975</v>
      </c>
      <c r="S64" s="125" t="s">
        <v>716</v>
      </c>
      <c r="T64" s="125" t="s">
        <v>27</v>
      </c>
    </row>
    <row r="65" spans="1:20" hidden="1" x14ac:dyDescent="0.25">
      <c r="A65" s="26">
        <v>63</v>
      </c>
      <c r="B65" s="30" t="s">
        <v>607</v>
      </c>
      <c r="C65" s="26" t="s">
        <v>21</v>
      </c>
      <c r="D65" s="30" t="s">
        <v>608</v>
      </c>
      <c r="E65" s="30" t="s">
        <v>49</v>
      </c>
      <c r="F65" s="30" t="s">
        <v>21</v>
      </c>
      <c r="G65" s="30" t="s">
        <v>171</v>
      </c>
      <c r="H65" s="30" t="s">
        <v>189</v>
      </c>
      <c r="I65" s="36">
        <v>44375</v>
      </c>
      <c r="J65" s="30">
        <v>1</v>
      </c>
      <c r="K65" s="30">
        <v>10</v>
      </c>
      <c r="L65" s="30">
        <v>10</v>
      </c>
      <c r="M65" s="104">
        <f>((L65*6500)+(L65*6500)*10%)+8250+((0*150))</f>
        <v>79750</v>
      </c>
      <c r="N65" s="105">
        <v>0</v>
      </c>
      <c r="O65" s="105">
        <v>0</v>
      </c>
      <c r="P65" s="21">
        <f>L65*1100</f>
        <v>11000</v>
      </c>
      <c r="Q65" s="14">
        <f t="shared" ref="Q65" si="61">SUM(M65:P65)</f>
        <v>90750</v>
      </c>
      <c r="R65" s="213">
        <v>603240</v>
      </c>
      <c r="S65" s="214" t="s">
        <v>27</v>
      </c>
      <c r="T65" s="214" t="s">
        <v>606</v>
      </c>
    </row>
    <row r="66" spans="1:20" hidden="1" x14ac:dyDescent="0.25">
      <c r="A66" s="26">
        <v>64</v>
      </c>
      <c r="B66" s="30" t="s">
        <v>609</v>
      </c>
      <c r="C66" s="26" t="s">
        <v>21</v>
      </c>
      <c r="D66" s="30" t="s">
        <v>610</v>
      </c>
      <c r="E66" s="30" t="s">
        <v>49</v>
      </c>
      <c r="F66" s="30" t="s">
        <v>21</v>
      </c>
      <c r="G66" s="30" t="s">
        <v>241</v>
      </c>
      <c r="H66" s="30" t="s">
        <v>560</v>
      </c>
      <c r="I66" s="36">
        <v>44375</v>
      </c>
      <c r="J66" s="30">
        <v>1</v>
      </c>
      <c r="K66" s="30">
        <v>16</v>
      </c>
      <c r="L66" s="30">
        <v>16</v>
      </c>
      <c r="M66" s="104">
        <f>((L66*27500)+(L66*27500)*10%)+8250+((L66*165))</f>
        <v>494890</v>
      </c>
      <c r="N66" s="105">
        <v>0</v>
      </c>
      <c r="O66" s="105">
        <v>0</v>
      </c>
      <c r="P66" s="21">
        <f>L66*1100</f>
        <v>17600</v>
      </c>
      <c r="Q66" s="14">
        <f>SUM(M66:P66)</f>
        <v>512490</v>
      </c>
      <c r="R66" s="213"/>
      <c r="S66" s="214"/>
      <c r="T66" s="214"/>
    </row>
    <row r="67" spans="1:20" hidden="1" x14ac:dyDescent="0.25">
      <c r="A67" s="26">
        <v>65</v>
      </c>
      <c r="B67" s="30" t="s">
        <v>611</v>
      </c>
      <c r="C67" s="26" t="s">
        <v>29</v>
      </c>
      <c r="D67" s="30" t="s">
        <v>450</v>
      </c>
      <c r="E67" s="30" t="s">
        <v>49</v>
      </c>
      <c r="F67" s="30" t="s">
        <v>29</v>
      </c>
      <c r="G67" s="30" t="s">
        <v>241</v>
      </c>
      <c r="H67" s="30" t="s">
        <v>612</v>
      </c>
      <c r="I67" s="36">
        <v>44375</v>
      </c>
      <c r="J67" s="30">
        <v>8</v>
      </c>
      <c r="K67" s="30">
        <v>209</v>
      </c>
      <c r="L67" s="30">
        <v>209</v>
      </c>
      <c r="M67" s="21">
        <f>L67*36500</f>
        <v>7628500</v>
      </c>
      <c r="N67" s="21">
        <v>0</v>
      </c>
      <c r="O67" s="21">
        <v>0</v>
      </c>
      <c r="P67" s="21">
        <v>0</v>
      </c>
      <c r="Q67" s="112">
        <f>M67</f>
        <v>7628500</v>
      </c>
      <c r="R67" s="21">
        <v>7628500</v>
      </c>
      <c r="S67" s="30" t="s">
        <v>623</v>
      </c>
      <c r="T67" s="30" t="s">
        <v>27</v>
      </c>
    </row>
    <row r="68" spans="1:20" hidden="1" x14ac:dyDescent="0.25">
      <c r="A68" s="26">
        <v>66</v>
      </c>
      <c r="B68" s="30" t="s">
        <v>613</v>
      </c>
      <c r="C68" s="26" t="s">
        <v>29</v>
      </c>
      <c r="D68" s="30" t="s">
        <v>85</v>
      </c>
      <c r="E68" s="30" t="s">
        <v>49</v>
      </c>
      <c r="F68" s="30" t="s">
        <v>29</v>
      </c>
      <c r="G68" s="30" t="s">
        <v>72</v>
      </c>
      <c r="H68" s="30" t="s">
        <v>614</v>
      </c>
      <c r="I68" s="36">
        <v>44376</v>
      </c>
      <c r="J68" s="30">
        <v>8</v>
      </c>
      <c r="K68" s="30">
        <v>122</v>
      </c>
      <c r="L68" s="30">
        <v>122</v>
      </c>
      <c r="M68" s="23">
        <f>((L68*16500)+(L68*16500)*10%)+8250+((0*150))</f>
        <v>2222550</v>
      </c>
      <c r="N68" s="21">
        <f t="shared" ref="N68:N69" si="62">L68*1210</f>
        <v>147620</v>
      </c>
      <c r="O68" s="21">
        <f>(L68*2037.2)+3000</f>
        <v>251538.4</v>
      </c>
      <c r="P68" s="21">
        <f>L68*1100</f>
        <v>134200</v>
      </c>
      <c r="Q68" s="14">
        <f>SUM(M68:P68)</f>
        <v>2755908.4</v>
      </c>
      <c r="R68" s="21">
        <v>6079736</v>
      </c>
      <c r="S68" s="32" t="s">
        <v>643</v>
      </c>
      <c r="T68" s="30" t="s">
        <v>126</v>
      </c>
    </row>
    <row r="69" spans="1:20" hidden="1" x14ac:dyDescent="0.25">
      <c r="A69" s="26">
        <v>67</v>
      </c>
      <c r="B69" s="30" t="s">
        <v>615</v>
      </c>
      <c r="C69" s="26" t="s">
        <v>29</v>
      </c>
      <c r="D69" s="30" t="s">
        <v>491</v>
      </c>
      <c r="E69" s="30" t="s">
        <v>49</v>
      </c>
      <c r="F69" s="30" t="s">
        <v>29</v>
      </c>
      <c r="G69" s="30" t="s">
        <v>24</v>
      </c>
      <c r="H69" s="30" t="s">
        <v>93</v>
      </c>
      <c r="I69" s="36">
        <v>44376</v>
      </c>
      <c r="J69" s="30">
        <v>1</v>
      </c>
      <c r="K69" s="30">
        <v>24</v>
      </c>
      <c r="L69" s="30">
        <v>24</v>
      </c>
      <c r="M69" s="23">
        <f>((L69*22000)+(L69*22000)*10%)+8250+((L69*165))</f>
        <v>593010</v>
      </c>
      <c r="N69" s="21">
        <f t="shared" si="62"/>
        <v>29040</v>
      </c>
      <c r="O69" s="21">
        <f t="shared" ref="O69" si="63">(L69*2037.2)+3000</f>
        <v>51892.800000000003</v>
      </c>
      <c r="P69" s="21">
        <f>L69*1100</f>
        <v>26400</v>
      </c>
      <c r="Q69" s="14">
        <f t="shared" ref="Q69" si="64">SUM(M69:P69)</f>
        <v>700342.8</v>
      </c>
      <c r="R69" s="21">
        <v>700343</v>
      </c>
      <c r="S69" s="32" t="s">
        <v>623</v>
      </c>
      <c r="T69" s="30" t="s">
        <v>27</v>
      </c>
    </row>
    <row r="70" spans="1:20" hidden="1" x14ac:dyDescent="0.25">
      <c r="A70" s="26">
        <v>68</v>
      </c>
      <c r="B70" s="30" t="s">
        <v>616</v>
      </c>
      <c r="C70" s="26" t="s">
        <v>29</v>
      </c>
      <c r="D70" s="30" t="s">
        <v>617</v>
      </c>
      <c r="E70" s="30" t="s">
        <v>49</v>
      </c>
      <c r="F70" s="30" t="s">
        <v>29</v>
      </c>
      <c r="G70" s="30" t="s">
        <v>618</v>
      </c>
      <c r="H70" s="30" t="s">
        <v>619</v>
      </c>
      <c r="I70" s="36">
        <v>44377</v>
      </c>
      <c r="J70" s="30">
        <v>1</v>
      </c>
      <c r="K70" s="30">
        <v>20</v>
      </c>
      <c r="L70" s="30">
        <v>20</v>
      </c>
      <c r="M70" s="23">
        <f>((L70*6000)+(L70*6000)*10%)+8250+((0*150))</f>
        <v>140250</v>
      </c>
      <c r="N70" s="21">
        <f t="shared" ref="N70" si="65">L70*1210</f>
        <v>24200</v>
      </c>
      <c r="O70" s="21">
        <f>(L70*2037.2)+3000</f>
        <v>43744</v>
      </c>
      <c r="P70" s="21">
        <f>L70*1100</f>
        <v>22000</v>
      </c>
      <c r="Q70" s="14">
        <f>SUM(M70:P70)</f>
        <v>230194</v>
      </c>
      <c r="R70" s="213">
        <v>422266</v>
      </c>
      <c r="S70" s="215" t="s">
        <v>624</v>
      </c>
      <c r="T70" s="214" t="s">
        <v>27</v>
      </c>
    </row>
    <row r="71" spans="1:20" hidden="1" x14ac:dyDescent="0.25">
      <c r="A71" s="26">
        <v>69</v>
      </c>
      <c r="B71" s="69" t="s">
        <v>620</v>
      </c>
      <c r="C71" s="26" t="s">
        <v>21</v>
      </c>
      <c r="D71" s="30" t="s">
        <v>617</v>
      </c>
      <c r="E71" s="30" t="s">
        <v>49</v>
      </c>
      <c r="F71" s="30" t="s">
        <v>21</v>
      </c>
      <c r="G71" s="30" t="s">
        <v>621</v>
      </c>
      <c r="H71" s="69" t="s">
        <v>622</v>
      </c>
      <c r="I71" s="36">
        <v>44377</v>
      </c>
      <c r="J71" s="30">
        <v>1</v>
      </c>
      <c r="K71" s="30">
        <v>19</v>
      </c>
      <c r="L71" s="30">
        <v>19</v>
      </c>
      <c r="M71" s="23">
        <f>((L71*5000)+(L71*5000)*10%)+8250+((0*150))</f>
        <v>112750</v>
      </c>
      <c r="N71" s="21">
        <f>L71*869</f>
        <v>16511</v>
      </c>
      <c r="O71" s="21">
        <f>(L71*1153.2)+20000</f>
        <v>41910.800000000003</v>
      </c>
      <c r="P71" s="21">
        <f>L71*1100</f>
        <v>20900</v>
      </c>
      <c r="Q71" s="14">
        <f>SUM(M71:P71)</f>
        <v>192071.8</v>
      </c>
      <c r="R71" s="213"/>
      <c r="S71" s="215"/>
      <c r="T71" s="214"/>
    </row>
    <row r="72" spans="1:20" x14ac:dyDescent="0.25">
      <c r="Q72" s="116"/>
    </row>
    <row r="78" spans="1:20" x14ac:dyDescent="0.25">
      <c r="Q78" s="129"/>
    </row>
  </sheetData>
  <autoFilter ref="A1:T71">
    <filterColumn colId="17">
      <filters>
        <filter val="Outstanding"/>
      </filters>
    </filterColumn>
  </autoFilter>
  <mergeCells count="17">
    <mergeCell ref="R40:R41"/>
    <mergeCell ref="R4:R5"/>
    <mergeCell ref="S4:S5"/>
    <mergeCell ref="T4:T5"/>
    <mergeCell ref="R13:R14"/>
    <mergeCell ref="S13:S14"/>
    <mergeCell ref="T13:T14"/>
    <mergeCell ref="R7:R12"/>
    <mergeCell ref="S7:S12"/>
    <mergeCell ref="T7:T12"/>
    <mergeCell ref="S40:S41"/>
    <mergeCell ref="R70:R71"/>
    <mergeCell ref="T70:T71"/>
    <mergeCell ref="S70:S71"/>
    <mergeCell ref="R65:R66"/>
    <mergeCell ref="S65:S66"/>
    <mergeCell ref="T65:T6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>
      <pane xSplit="4" topLeftCell="H1" activePane="topRight" state="frozen"/>
      <selection pane="topRight" activeCell="S51" sqref="S51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18.85546875" style="79" bestFit="1" customWidth="1"/>
    <col min="5" max="5" width="12.7109375" style="79" bestFit="1" customWidth="1"/>
    <col min="6" max="8" width="9.140625" style="79"/>
    <col min="9" max="9" width="9.7109375" style="80" bestFit="1" customWidth="1"/>
    <col min="10" max="12" width="9.140625" style="79"/>
    <col min="13" max="13" width="12.85546875" style="79" customWidth="1"/>
    <col min="14" max="15" width="9.140625" style="79" customWidth="1"/>
    <col min="16" max="16" width="12.85546875" style="79" bestFit="1" customWidth="1"/>
    <col min="17" max="18" width="14" style="79" bestFit="1" customWidth="1"/>
    <col min="19" max="20" width="11.85546875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x14ac:dyDescent="0.25">
      <c r="A2" s="26">
        <v>1</v>
      </c>
      <c r="B2" s="69" t="s">
        <v>625</v>
      </c>
      <c r="C2" s="26" t="s">
        <v>29</v>
      </c>
      <c r="D2" s="69" t="s">
        <v>30</v>
      </c>
      <c r="E2" s="30" t="s">
        <v>473</v>
      </c>
      <c r="F2" s="69" t="s">
        <v>29</v>
      </c>
      <c r="G2" s="88" t="s">
        <v>184</v>
      </c>
      <c r="H2" s="85" t="s">
        <v>219</v>
      </c>
      <c r="I2" s="86">
        <v>44378</v>
      </c>
      <c r="J2" s="85">
        <v>4</v>
      </c>
      <c r="K2" s="85">
        <v>85</v>
      </c>
      <c r="L2" s="85">
        <v>85</v>
      </c>
      <c r="M2" s="23">
        <f>((L2*13500)+(L2*13500)*10%)+8250+((0*150))</f>
        <v>1270500</v>
      </c>
      <c r="N2" s="21">
        <f>L2*1210</f>
        <v>102850</v>
      </c>
      <c r="O2" s="21">
        <f>(L2*2037)+3000</f>
        <v>176145</v>
      </c>
      <c r="P2" s="21">
        <f>L2*2100</f>
        <v>178500</v>
      </c>
      <c r="Q2" s="14">
        <f t="shared" ref="Q2:Q18" si="0">SUM(M2:P2)</f>
        <v>1727995</v>
      </c>
      <c r="R2" s="121">
        <v>14832400</v>
      </c>
      <c r="S2" s="122"/>
      <c r="T2" s="121" t="s">
        <v>27</v>
      </c>
      <c r="U2" s="30"/>
      <c r="V2" s="30"/>
    </row>
    <row r="3" spans="1:22" x14ac:dyDescent="0.25">
      <c r="A3" s="26">
        <v>2</v>
      </c>
      <c r="B3" s="69" t="s">
        <v>626</v>
      </c>
      <c r="C3" s="26" t="s">
        <v>29</v>
      </c>
      <c r="D3" s="69" t="s">
        <v>30</v>
      </c>
      <c r="E3" s="30" t="s">
        <v>473</v>
      </c>
      <c r="F3" s="69" t="s">
        <v>29</v>
      </c>
      <c r="G3" s="88" t="s">
        <v>35</v>
      </c>
      <c r="H3" s="85" t="s">
        <v>157</v>
      </c>
      <c r="I3" s="86">
        <v>44378</v>
      </c>
      <c r="J3" s="85">
        <v>4</v>
      </c>
      <c r="K3" s="85">
        <v>66</v>
      </c>
      <c r="L3" s="85">
        <v>66</v>
      </c>
      <c r="M3" s="23">
        <f>((L3*9200)+(L3*9200)*10%)+8250+((0*150))</f>
        <v>676170</v>
      </c>
      <c r="N3" s="21">
        <f>L3*1210</f>
        <v>79860</v>
      </c>
      <c r="O3" s="21">
        <f>(L3*2037)+3000</f>
        <v>137442</v>
      </c>
      <c r="P3" s="21">
        <f>L3*2100</f>
        <v>138600</v>
      </c>
      <c r="Q3" s="14">
        <f t="shared" si="0"/>
        <v>1032072</v>
      </c>
      <c r="R3" s="121">
        <v>14832400</v>
      </c>
      <c r="S3" s="122"/>
      <c r="T3" s="121" t="s">
        <v>27</v>
      </c>
      <c r="U3" s="30"/>
      <c r="V3" s="30"/>
    </row>
    <row r="4" spans="1:22" x14ac:dyDescent="0.25">
      <c r="A4" s="26">
        <v>3</v>
      </c>
      <c r="B4" s="69" t="s">
        <v>627</v>
      </c>
      <c r="C4" s="26" t="s">
        <v>29</v>
      </c>
      <c r="D4" s="69" t="s">
        <v>30</v>
      </c>
      <c r="E4" s="30" t="s">
        <v>473</v>
      </c>
      <c r="F4" s="69" t="s">
        <v>29</v>
      </c>
      <c r="G4" s="88" t="s">
        <v>166</v>
      </c>
      <c r="H4" s="85" t="s">
        <v>485</v>
      </c>
      <c r="I4" s="86">
        <v>44378</v>
      </c>
      <c r="J4" s="85">
        <v>2</v>
      </c>
      <c r="K4" s="85">
        <v>59</v>
      </c>
      <c r="L4" s="85">
        <v>59</v>
      </c>
      <c r="M4" s="23">
        <f>((L4*8500)+(L4*8500)*10%)+8250+((0*150))</f>
        <v>559900</v>
      </c>
      <c r="N4" s="21">
        <f>L4*1210</f>
        <v>71390</v>
      </c>
      <c r="O4" s="21">
        <f>(L4*2037)+3000</f>
        <v>123183</v>
      </c>
      <c r="P4" s="21">
        <f>L4*2100</f>
        <v>123900</v>
      </c>
      <c r="Q4" s="14">
        <f t="shared" si="0"/>
        <v>878373</v>
      </c>
      <c r="R4" s="121">
        <v>14832400</v>
      </c>
      <c r="S4" s="122"/>
      <c r="T4" s="121" t="s">
        <v>27</v>
      </c>
      <c r="U4" s="30"/>
      <c r="V4" s="30"/>
    </row>
    <row r="5" spans="1:22" x14ac:dyDescent="0.25">
      <c r="A5" s="26">
        <v>4</v>
      </c>
      <c r="B5" s="114" t="s">
        <v>628</v>
      </c>
      <c r="C5" s="113" t="s">
        <v>29</v>
      </c>
      <c r="D5" s="114" t="s">
        <v>30</v>
      </c>
      <c r="E5" s="87" t="s">
        <v>473</v>
      </c>
      <c r="F5" s="114" t="s">
        <v>29</v>
      </c>
      <c r="G5" s="89" t="s">
        <v>31</v>
      </c>
      <c r="H5" s="91" t="s">
        <v>351</v>
      </c>
      <c r="I5" s="92">
        <v>44378</v>
      </c>
      <c r="J5" s="91">
        <v>2</v>
      </c>
      <c r="K5" s="91">
        <v>57</v>
      </c>
      <c r="L5" s="91">
        <v>57</v>
      </c>
      <c r="M5" s="23">
        <f>((L5*6000)+(L5*6000)*10%)+8250+((L5*150))</f>
        <v>393000</v>
      </c>
      <c r="N5" s="21">
        <f>L5*1210</f>
        <v>68970</v>
      </c>
      <c r="O5" s="21">
        <f>(L5*2037)+3000</f>
        <v>119109</v>
      </c>
      <c r="P5" s="21">
        <f>L5*2100</f>
        <v>119700</v>
      </c>
      <c r="Q5" s="14">
        <f t="shared" si="0"/>
        <v>700779</v>
      </c>
      <c r="R5" s="121">
        <v>14832400</v>
      </c>
      <c r="S5" s="122"/>
      <c r="T5" s="121" t="s">
        <v>27</v>
      </c>
      <c r="U5" s="30"/>
      <c r="V5" s="30"/>
    </row>
    <row r="6" spans="1:22" ht="15" customHeight="1" x14ac:dyDescent="0.25">
      <c r="A6" s="26">
        <v>5</v>
      </c>
      <c r="B6" s="69" t="s">
        <v>633</v>
      </c>
      <c r="C6" s="26" t="s">
        <v>21</v>
      </c>
      <c r="D6" s="69" t="s">
        <v>635</v>
      </c>
      <c r="E6" s="30" t="s">
        <v>23</v>
      </c>
      <c r="F6" s="69" t="s">
        <v>21</v>
      </c>
      <c r="G6" s="69" t="s">
        <v>79</v>
      </c>
      <c r="H6" s="69" t="s">
        <v>391</v>
      </c>
      <c r="I6" s="111">
        <v>44378</v>
      </c>
      <c r="J6" s="69">
        <v>1</v>
      </c>
      <c r="K6" s="69">
        <v>14</v>
      </c>
      <c r="L6" s="69">
        <v>14</v>
      </c>
      <c r="M6" s="23">
        <f>((L6*12500)+(L6*12500)*10%)+8250+((0*150))</f>
        <v>200750</v>
      </c>
      <c r="N6" s="21">
        <f>L6*869</f>
        <v>12166</v>
      </c>
      <c r="O6" s="21">
        <f>(L6*1153)+20000</f>
        <v>36142</v>
      </c>
      <c r="P6" s="21">
        <f>L6*1100</f>
        <v>15400</v>
      </c>
      <c r="Q6" s="14">
        <f t="shared" si="0"/>
        <v>264458</v>
      </c>
      <c r="R6" s="120">
        <v>264458</v>
      </c>
      <c r="S6" s="124" t="s">
        <v>690</v>
      </c>
      <c r="T6" s="121" t="s">
        <v>27</v>
      </c>
      <c r="U6" s="30"/>
      <c r="V6" s="30"/>
    </row>
    <row r="7" spans="1:22" ht="15" customHeight="1" x14ac:dyDescent="0.25">
      <c r="A7" s="26">
        <v>6</v>
      </c>
      <c r="B7" s="69" t="s">
        <v>629</v>
      </c>
      <c r="C7" s="26" t="s">
        <v>29</v>
      </c>
      <c r="D7" s="30" t="s">
        <v>631</v>
      </c>
      <c r="E7" s="30" t="s">
        <v>532</v>
      </c>
      <c r="F7" s="69" t="s">
        <v>29</v>
      </c>
      <c r="G7" s="69" t="s">
        <v>104</v>
      </c>
      <c r="H7" s="69" t="s">
        <v>105</v>
      </c>
      <c r="I7" s="111">
        <v>44379</v>
      </c>
      <c r="J7" s="69">
        <v>4</v>
      </c>
      <c r="K7" s="69">
        <v>49</v>
      </c>
      <c r="L7" s="69">
        <v>75</v>
      </c>
      <c r="M7" s="23">
        <f>((L7*34000)+(L7*34000)*10%)+8250+((L7*150))</f>
        <v>2824500</v>
      </c>
      <c r="N7" s="21">
        <f>L7*1210</f>
        <v>90750</v>
      </c>
      <c r="O7" s="21">
        <f>(L7*2037.2)+3000</f>
        <v>155790</v>
      </c>
      <c r="P7" s="21">
        <f>L7*500</f>
        <v>37500</v>
      </c>
      <c r="Q7" s="14">
        <f t="shared" si="0"/>
        <v>3108540</v>
      </c>
      <c r="R7" s="21">
        <v>7644975</v>
      </c>
      <c r="S7" s="115" t="s">
        <v>715</v>
      </c>
      <c r="T7" s="21" t="s">
        <v>27</v>
      </c>
      <c r="U7" s="30"/>
      <c r="V7" s="30"/>
    </row>
    <row r="8" spans="1:22" ht="15" customHeight="1" x14ac:dyDescent="0.25">
      <c r="A8" s="26">
        <v>7</v>
      </c>
      <c r="B8" s="69" t="s">
        <v>630</v>
      </c>
      <c r="C8" s="26" t="s">
        <v>29</v>
      </c>
      <c r="D8" s="30" t="s">
        <v>631</v>
      </c>
      <c r="E8" s="30" t="s">
        <v>532</v>
      </c>
      <c r="F8" s="69" t="s">
        <v>29</v>
      </c>
      <c r="G8" s="69" t="s">
        <v>104</v>
      </c>
      <c r="H8" s="69" t="s">
        <v>105</v>
      </c>
      <c r="I8" s="111">
        <v>44379</v>
      </c>
      <c r="J8" s="69">
        <v>2</v>
      </c>
      <c r="K8" s="69">
        <v>25</v>
      </c>
      <c r="L8" s="69">
        <v>38</v>
      </c>
      <c r="M8" s="23">
        <f>((L8*34000)+(L8*34000)*10%)+8250+((L8*150))</f>
        <v>1435150</v>
      </c>
      <c r="N8" s="21">
        <f>L8*1210</f>
        <v>45980</v>
      </c>
      <c r="O8" s="21">
        <f>(L8*2037.2)+3000</f>
        <v>80413.600000000006</v>
      </c>
      <c r="P8" s="21">
        <f>L8*500</f>
        <v>19000</v>
      </c>
      <c r="Q8" s="14">
        <f t="shared" si="0"/>
        <v>1580543.6</v>
      </c>
      <c r="R8" s="21">
        <v>7644975</v>
      </c>
      <c r="S8" s="115" t="s">
        <v>715</v>
      </c>
      <c r="T8" s="21" t="s">
        <v>27</v>
      </c>
      <c r="U8" s="30"/>
      <c r="V8" s="30"/>
    </row>
    <row r="9" spans="1:22" ht="15" customHeight="1" x14ac:dyDescent="0.25">
      <c r="A9" s="26">
        <v>8</v>
      </c>
      <c r="B9" s="69" t="s">
        <v>632</v>
      </c>
      <c r="C9" s="26" t="s">
        <v>21</v>
      </c>
      <c r="D9" s="69" t="s">
        <v>634</v>
      </c>
      <c r="E9" s="30" t="s">
        <v>23</v>
      </c>
      <c r="F9" s="69" t="s">
        <v>21</v>
      </c>
      <c r="G9" s="69" t="s">
        <v>50</v>
      </c>
      <c r="H9" s="69" t="s">
        <v>25</v>
      </c>
      <c r="I9" s="111">
        <v>44379</v>
      </c>
      <c r="J9" s="69">
        <v>4</v>
      </c>
      <c r="K9" s="69">
        <v>47</v>
      </c>
      <c r="L9" s="69">
        <v>47</v>
      </c>
      <c r="M9" s="23">
        <f>((L9*30600)+(L9*30600)*10%)+8250+((0*150))</f>
        <v>1590270</v>
      </c>
      <c r="N9" s="21">
        <v>0</v>
      </c>
      <c r="O9" s="21">
        <v>0</v>
      </c>
      <c r="P9" s="21">
        <f>L9*1100</f>
        <v>51700</v>
      </c>
      <c r="Q9" s="14">
        <f t="shared" si="0"/>
        <v>1641970</v>
      </c>
      <c r="R9" s="120">
        <v>1641970</v>
      </c>
      <c r="S9" s="124" t="s">
        <v>690</v>
      </c>
      <c r="T9" s="121" t="s">
        <v>27</v>
      </c>
      <c r="U9" s="30"/>
      <c r="V9" s="30"/>
    </row>
    <row r="10" spans="1:22" x14ac:dyDescent="0.25">
      <c r="A10" s="26">
        <v>9</v>
      </c>
      <c r="B10" s="69" t="s">
        <v>636</v>
      </c>
      <c r="C10" s="26" t="s">
        <v>29</v>
      </c>
      <c r="D10" s="30" t="s">
        <v>30</v>
      </c>
      <c r="E10" s="30" t="s">
        <v>473</v>
      </c>
      <c r="F10" s="69" t="s">
        <v>29</v>
      </c>
      <c r="G10" s="69" t="s">
        <v>231</v>
      </c>
      <c r="H10" s="69" t="s">
        <v>638</v>
      </c>
      <c r="I10" s="111">
        <v>44380</v>
      </c>
      <c r="J10" s="69">
        <v>5</v>
      </c>
      <c r="K10" s="69">
        <v>72</v>
      </c>
      <c r="L10" s="69">
        <v>72</v>
      </c>
      <c r="M10" s="23">
        <f>((L10*23500)+(L10*23500)*10%)+8250+((0*150))</f>
        <v>1869450</v>
      </c>
      <c r="N10" s="21">
        <f>L10*1210</f>
        <v>87120</v>
      </c>
      <c r="O10" s="21">
        <f>(L10*2037)+3000</f>
        <v>149664</v>
      </c>
      <c r="P10" s="21">
        <f>L10*2100</f>
        <v>151200</v>
      </c>
      <c r="Q10" s="14">
        <f t="shared" si="0"/>
        <v>2257434</v>
      </c>
      <c r="R10" s="121">
        <v>14832400</v>
      </c>
      <c r="S10" s="122"/>
      <c r="T10" s="121" t="s">
        <v>27</v>
      </c>
      <c r="U10" s="30"/>
      <c r="V10" s="30"/>
    </row>
    <row r="11" spans="1:22" x14ac:dyDescent="0.25">
      <c r="A11" s="26">
        <v>10</v>
      </c>
      <c r="B11" s="69" t="s">
        <v>639</v>
      </c>
      <c r="C11" s="26" t="s">
        <v>29</v>
      </c>
      <c r="D11" s="30" t="s">
        <v>30</v>
      </c>
      <c r="E11" s="30" t="s">
        <v>473</v>
      </c>
      <c r="F11" s="69" t="s">
        <v>29</v>
      </c>
      <c r="G11" s="69" t="s">
        <v>35</v>
      </c>
      <c r="H11" s="69" t="s">
        <v>475</v>
      </c>
      <c r="I11" s="111">
        <v>44380</v>
      </c>
      <c r="J11" s="69">
        <v>15</v>
      </c>
      <c r="K11" s="69">
        <v>344</v>
      </c>
      <c r="L11" s="69">
        <v>344</v>
      </c>
      <c r="M11" s="23">
        <f>((L11*9200)+(L11*9200)*10%)+8250+((0*150))</f>
        <v>3489530</v>
      </c>
      <c r="N11" s="21">
        <f>L11*1210</f>
        <v>416240</v>
      </c>
      <c r="O11" s="21">
        <f>(L11*2037)+3000</f>
        <v>703728</v>
      </c>
      <c r="P11" s="21">
        <f>L11*2100</f>
        <v>722400</v>
      </c>
      <c r="Q11" s="14">
        <f t="shared" si="0"/>
        <v>5331898</v>
      </c>
      <c r="R11" s="121">
        <v>14832400</v>
      </c>
      <c r="S11" s="122"/>
      <c r="T11" s="121" t="s">
        <v>27</v>
      </c>
      <c r="U11" s="30"/>
      <c r="V11" s="30"/>
    </row>
    <row r="12" spans="1:22" x14ac:dyDescent="0.25">
      <c r="A12" s="26">
        <v>11</v>
      </c>
      <c r="B12" s="69" t="s">
        <v>640</v>
      </c>
      <c r="C12" s="26" t="s">
        <v>29</v>
      </c>
      <c r="D12" s="30" t="s">
        <v>30</v>
      </c>
      <c r="E12" s="30" t="s">
        <v>473</v>
      </c>
      <c r="F12" s="69" t="s">
        <v>29</v>
      </c>
      <c r="G12" s="69" t="s">
        <v>35</v>
      </c>
      <c r="H12" s="69" t="s">
        <v>475</v>
      </c>
      <c r="I12" s="111">
        <v>44380</v>
      </c>
      <c r="J12" s="69">
        <v>1</v>
      </c>
      <c r="K12" s="69">
        <v>27</v>
      </c>
      <c r="L12" s="69">
        <v>27</v>
      </c>
      <c r="M12" s="23">
        <f>((L12*9200)+(L12*9200)*10%)+8250+((0*150))</f>
        <v>281490</v>
      </c>
      <c r="N12" s="21">
        <f>L12*1210</f>
        <v>32670</v>
      </c>
      <c r="O12" s="21">
        <f>(L12*2037)+3000</f>
        <v>57999</v>
      </c>
      <c r="P12" s="21">
        <f>L12*2100</f>
        <v>56700</v>
      </c>
      <c r="Q12" s="14">
        <f t="shared" si="0"/>
        <v>428859</v>
      </c>
      <c r="R12" s="121">
        <v>14832400</v>
      </c>
      <c r="S12" s="122"/>
      <c r="T12" s="121" t="s">
        <v>27</v>
      </c>
      <c r="U12" s="30"/>
      <c r="V12" s="30"/>
    </row>
    <row r="13" spans="1:22" x14ac:dyDescent="0.25">
      <c r="A13" s="26">
        <v>12</v>
      </c>
      <c r="B13" s="69" t="s">
        <v>637</v>
      </c>
      <c r="C13" s="26" t="s">
        <v>29</v>
      </c>
      <c r="D13" s="30" t="s">
        <v>30</v>
      </c>
      <c r="E13" s="30" t="s">
        <v>473</v>
      </c>
      <c r="F13" s="69" t="s">
        <v>29</v>
      </c>
      <c r="G13" s="69" t="s">
        <v>45</v>
      </c>
      <c r="H13" s="69" t="s">
        <v>43</v>
      </c>
      <c r="I13" s="111">
        <v>44381</v>
      </c>
      <c r="J13" s="69">
        <v>2</v>
      </c>
      <c r="K13" s="69">
        <v>56</v>
      </c>
      <c r="L13" s="69">
        <v>56</v>
      </c>
      <c r="M13" s="23">
        <f>((L13*35000)+(L13*35000)*10%)+8250+((L13*150))</f>
        <v>2172650</v>
      </c>
      <c r="N13" s="21">
        <f>L13*1210</f>
        <v>67760</v>
      </c>
      <c r="O13" s="21">
        <f>(L13*2037)+3000</f>
        <v>117072</v>
      </c>
      <c r="P13" s="21">
        <f>L13*2100</f>
        <v>117600</v>
      </c>
      <c r="Q13" s="14">
        <f t="shared" si="0"/>
        <v>2475082</v>
      </c>
      <c r="R13" s="121">
        <v>14832400</v>
      </c>
      <c r="S13" s="122"/>
      <c r="T13" s="121" t="s">
        <v>27</v>
      </c>
      <c r="U13" s="30"/>
      <c r="V13" s="30"/>
    </row>
    <row r="14" spans="1:22" x14ac:dyDescent="0.25">
      <c r="A14" s="26">
        <v>13</v>
      </c>
      <c r="B14" s="30" t="s">
        <v>641</v>
      </c>
      <c r="C14" s="26" t="s">
        <v>21</v>
      </c>
      <c r="D14" s="30" t="s">
        <v>642</v>
      </c>
      <c r="E14" s="30" t="s">
        <v>23</v>
      </c>
      <c r="F14" s="30" t="s">
        <v>21</v>
      </c>
      <c r="G14" s="30" t="s">
        <v>241</v>
      </c>
      <c r="H14" s="30" t="s">
        <v>560</v>
      </c>
      <c r="I14" s="36">
        <v>44382</v>
      </c>
      <c r="J14" s="30">
        <v>15</v>
      </c>
      <c r="K14" s="30">
        <v>88</v>
      </c>
      <c r="L14" s="30">
        <v>144</v>
      </c>
      <c r="M14" s="23">
        <f>((L14*27500)+(L14*27500)*10%)+8250+((L14*150))</f>
        <v>4385850</v>
      </c>
      <c r="N14" s="21">
        <v>0</v>
      </c>
      <c r="O14" s="21">
        <v>0</v>
      </c>
      <c r="P14" s="21">
        <f>L14*1100</f>
        <v>158400</v>
      </c>
      <c r="Q14" s="14">
        <f t="shared" si="0"/>
        <v>4544250</v>
      </c>
      <c r="R14" s="21">
        <v>4620751</v>
      </c>
      <c r="S14" s="115" t="s">
        <v>644</v>
      </c>
      <c r="T14" s="21" t="s">
        <v>27</v>
      </c>
      <c r="U14" s="30"/>
      <c r="V14" s="30"/>
    </row>
    <row r="15" spans="1:22" x14ac:dyDescent="0.25">
      <c r="A15" s="26">
        <v>14</v>
      </c>
      <c r="B15" s="30" t="s">
        <v>645</v>
      </c>
      <c r="C15" s="26" t="s">
        <v>29</v>
      </c>
      <c r="D15" s="37" t="s">
        <v>648</v>
      </c>
      <c r="E15" s="30" t="s">
        <v>23</v>
      </c>
      <c r="F15" s="30" t="s">
        <v>29</v>
      </c>
      <c r="G15" s="30" t="s">
        <v>45</v>
      </c>
      <c r="H15" s="30" t="s">
        <v>43</v>
      </c>
      <c r="I15" s="111">
        <v>44385</v>
      </c>
      <c r="J15" s="30">
        <v>1</v>
      </c>
      <c r="K15" s="30">
        <v>10</v>
      </c>
      <c r="L15" s="30">
        <v>10</v>
      </c>
      <c r="M15" s="23">
        <f>((L15*35000)+(L15*35000)*10%)+8250+((L15*150))</f>
        <v>394750</v>
      </c>
      <c r="N15" s="21">
        <f>L15*1210</f>
        <v>12100</v>
      </c>
      <c r="O15" s="21">
        <f>(L15*2037)+3000</f>
        <v>23370</v>
      </c>
      <c r="P15" s="21">
        <f>L15*1200</f>
        <v>12000</v>
      </c>
      <c r="Q15" s="14">
        <f t="shared" si="0"/>
        <v>442220</v>
      </c>
      <c r="R15" s="21">
        <v>745328</v>
      </c>
      <c r="S15" s="21" t="s">
        <v>777</v>
      </c>
      <c r="T15" s="21" t="s">
        <v>27</v>
      </c>
      <c r="U15" s="30"/>
      <c r="V15" s="30"/>
    </row>
    <row r="16" spans="1:22" x14ac:dyDescent="0.25">
      <c r="A16" s="26">
        <v>15</v>
      </c>
      <c r="B16" s="69" t="s">
        <v>646</v>
      </c>
      <c r="C16" s="26" t="s">
        <v>29</v>
      </c>
      <c r="D16" s="37" t="s">
        <v>649</v>
      </c>
      <c r="E16" s="30" t="s">
        <v>23</v>
      </c>
      <c r="F16" s="30" t="s">
        <v>29</v>
      </c>
      <c r="G16" s="30" t="s">
        <v>54</v>
      </c>
      <c r="H16" s="30" t="s">
        <v>110</v>
      </c>
      <c r="I16" s="111">
        <v>44387</v>
      </c>
      <c r="J16" s="30">
        <v>12</v>
      </c>
      <c r="K16" s="30">
        <v>240</v>
      </c>
      <c r="L16" s="30">
        <v>240</v>
      </c>
      <c r="M16" s="23">
        <f>((L16*57000)+(L16*57000)*10%)+8250+((0*150))</f>
        <v>15056250</v>
      </c>
      <c r="N16" s="21">
        <f>L16*1210</f>
        <v>290400</v>
      </c>
      <c r="O16" s="21">
        <f>(L16*2037.2)+3000</f>
        <v>491928</v>
      </c>
      <c r="P16" s="21">
        <f>L16*2500</f>
        <v>600000</v>
      </c>
      <c r="Q16" s="14">
        <f t="shared" si="0"/>
        <v>16438578</v>
      </c>
      <c r="R16" s="117">
        <v>16438578</v>
      </c>
      <c r="S16" s="21" t="s">
        <v>650</v>
      </c>
      <c r="T16" s="21" t="s">
        <v>27</v>
      </c>
      <c r="U16" s="30"/>
      <c r="V16" s="30"/>
    </row>
    <row r="17" spans="1:22" x14ac:dyDescent="0.25">
      <c r="A17" s="26">
        <v>16</v>
      </c>
      <c r="B17" s="30" t="s">
        <v>647</v>
      </c>
      <c r="C17" s="26" t="s">
        <v>29</v>
      </c>
      <c r="D17" s="37" t="s">
        <v>491</v>
      </c>
      <c r="E17" s="30" t="s">
        <v>23</v>
      </c>
      <c r="F17" s="30" t="s">
        <v>29</v>
      </c>
      <c r="G17" s="30" t="s">
        <v>241</v>
      </c>
      <c r="H17" s="30" t="s">
        <v>110</v>
      </c>
      <c r="I17" s="111">
        <v>44388</v>
      </c>
      <c r="J17" s="30">
        <v>1</v>
      </c>
      <c r="K17" s="30">
        <v>33</v>
      </c>
      <c r="L17" s="30">
        <v>33</v>
      </c>
      <c r="M17" s="23">
        <f>((L17*27500)+(L17*27500)*10%)+8250+((L17*150))</f>
        <v>1011450</v>
      </c>
      <c r="N17" s="21">
        <f>L17*1210</f>
        <v>39930</v>
      </c>
      <c r="O17" s="21">
        <f>(L17*2037)+3000</f>
        <v>70221</v>
      </c>
      <c r="P17" s="21">
        <f>L17*1100</f>
        <v>36300</v>
      </c>
      <c r="Q17" s="14">
        <f t="shared" si="0"/>
        <v>1157901</v>
      </c>
      <c r="R17" s="21">
        <v>1157901</v>
      </c>
      <c r="S17" s="115" t="s">
        <v>659</v>
      </c>
      <c r="T17" s="21" t="s">
        <v>27</v>
      </c>
      <c r="U17" s="30"/>
      <c r="V17" s="30"/>
    </row>
    <row r="18" spans="1:22" x14ac:dyDescent="0.25">
      <c r="A18" s="26">
        <v>17</v>
      </c>
      <c r="B18" s="30" t="s">
        <v>651</v>
      </c>
      <c r="C18" s="26" t="s">
        <v>29</v>
      </c>
      <c r="D18" s="30" t="s">
        <v>85</v>
      </c>
      <c r="E18" s="30" t="s">
        <v>23</v>
      </c>
      <c r="F18" s="30" t="s">
        <v>29</v>
      </c>
      <c r="G18" s="30" t="s">
        <v>54</v>
      </c>
      <c r="H18" s="30" t="s">
        <v>110</v>
      </c>
      <c r="I18" s="111">
        <v>44388</v>
      </c>
      <c r="J18" s="30">
        <v>1</v>
      </c>
      <c r="K18" s="30">
        <v>11</v>
      </c>
      <c r="L18" s="30">
        <v>11</v>
      </c>
      <c r="M18" s="23">
        <f>((L18*57000)+(L18*57000)*10%)+8250+((0*150))</f>
        <v>697950</v>
      </c>
      <c r="N18" s="21">
        <v>0</v>
      </c>
      <c r="O18" s="21">
        <f>(L18*2037.2)+3000</f>
        <v>25409.200000000001</v>
      </c>
      <c r="P18" s="21">
        <f>L18*1100</f>
        <v>12100</v>
      </c>
      <c r="Q18" s="14">
        <f t="shared" si="0"/>
        <v>735459.2</v>
      </c>
      <c r="R18" s="21">
        <v>735459</v>
      </c>
      <c r="S18" s="115" t="s">
        <v>652</v>
      </c>
      <c r="T18" s="21" t="s">
        <v>27</v>
      </c>
      <c r="U18" s="30"/>
      <c r="V18" s="30"/>
    </row>
    <row r="19" spans="1:22" x14ac:dyDescent="0.25">
      <c r="A19" s="26">
        <v>18</v>
      </c>
      <c r="B19" s="30" t="s">
        <v>653</v>
      </c>
      <c r="C19" s="26" t="s">
        <v>29</v>
      </c>
      <c r="D19" s="30" t="s">
        <v>635</v>
      </c>
      <c r="E19" s="30" t="s">
        <v>23</v>
      </c>
      <c r="F19" s="30" t="s">
        <v>29</v>
      </c>
      <c r="G19" s="30" t="s">
        <v>79</v>
      </c>
      <c r="H19" s="30" t="s">
        <v>654</v>
      </c>
      <c r="I19" s="36">
        <v>44390</v>
      </c>
      <c r="J19" s="30">
        <v>1</v>
      </c>
      <c r="K19" s="30">
        <v>14</v>
      </c>
      <c r="L19" s="30">
        <v>14</v>
      </c>
      <c r="M19" s="23">
        <f>((L19*15000)+(L19*15000)*10%)+8250+((0*150))</f>
        <v>239250</v>
      </c>
      <c r="N19" s="21">
        <f t="shared" ref="N19:N25" si="1">L19*1210</f>
        <v>16940</v>
      </c>
      <c r="O19" s="21">
        <f t="shared" ref="O19:O25" si="2">(L19*2037)+3000</f>
        <v>31518</v>
      </c>
      <c r="P19" s="21">
        <f>L19*1100</f>
        <v>15400</v>
      </c>
      <c r="Q19" s="14">
        <f>SUM(M19:P19)</f>
        <v>303108</v>
      </c>
      <c r="R19" s="21">
        <v>745328</v>
      </c>
      <c r="S19" s="21" t="s">
        <v>777</v>
      </c>
      <c r="T19" s="21" t="s">
        <v>27</v>
      </c>
      <c r="U19" s="30"/>
      <c r="V19" s="30"/>
    </row>
    <row r="20" spans="1:22" x14ac:dyDescent="0.25">
      <c r="A20" s="26">
        <v>19</v>
      </c>
      <c r="B20" s="30" t="s">
        <v>655</v>
      </c>
      <c r="C20" s="26" t="s">
        <v>29</v>
      </c>
      <c r="D20" s="30" t="s">
        <v>491</v>
      </c>
      <c r="E20" s="30" t="s">
        <v>23</v>
      </c>
      <c r="F20" s="30" t="s">
        <v>29</v>
      </c>
      <c r="G20" s="30" t="s">
        <v>235</v>
      </c>
      <c r="H20" s="30" t="s">
        <v>242</v>
      </c>
      <c r="I20" s="36">
        <v>44391</v>
      </c>
      <c r="J20" s="30">
        <v>1</v>
      </c>
      <c r="K20" s="30">
        <v>23</v>
      </c>
      <c r="L20" s="30">
        <v>32</v>
      </c>
      <c r="M20" s="23">
        <f>((L20*35000)+(L20*35000)*10%)+8250+((L20*150))</f>
        <v>1245050</v>
      </c>
      <c r="N20" s="21">
        <f t="shared" si="1"/>
        <v>38720</v>
      </c>
      <c r="O20" s="21">
        <f t="shared" si="2"/>
        <v>68184</v>
      </c>
      <c r="P20" s="21">
        <f>L20*1100</f>
        <v>35200</v>
      </c>
      <c r="Q20" s="14">
        <f>SUM(M20:P20)</f>
        <v>1387154</v>
      </c>
      <c r="R20" s="21">
        <v>1387154</v>
      </c>
      <c r="S20" s="115" t="s">
        <v>657</v>
      </c>
      <c r="T20" s="21" t="s">
        <v>27</v>
      </c>
      <c r="U20" s="30"/>
      <c r="V20" s="30"/>
    </row>
    <row r="21" spans="1:22" x14ac:dyDescent="0.25">
      <c r="A21" s="26">
        <v>20</v>
      </c>
      <c r="B21" s="30" t="s">
        <v>656</v>
      </c>
      <c r="C21" s="26" t="s">
        <v>29</v>
      </c>
      <c r="D21" s="30" t="s">
        <v>491</v>
      </c>
      <c r="E21" s="30" t="s">
        <v>23</v>
      </c>
      <c r="F21" s="30" t="s">
        <v>29</v>
      </c>
      <c r="G21" s="30" t="s">
        <v>72</v>
      </c>
      <c r="H21" s="30" t="s">
        <v>73</v>
      </c>
      <c r="I21" s="36">
        <v>44392</v>
      </c>
      <c r="J21" s="30">
        <v>1</v>
      </c>
      <c r="K21" s="30">
        <v>10</v>
      </c>
      <c r="L21" s="30">
        <v>17</v>
      </c>
      <c r="M21" s="23">
        <f>((L21*16500)+(L21*16500)*10%)+8250+((0*150))</f>
        <v>316800</v>
      </c>
      <c r="N21" s="21">
        <f t="shared" si="1"/>
        <v>20570</v>
      </c>
      <c r="O21" s="21">
        <f t="shared" si="2"/>
        <v>37629</v>
      </c>
      <c r="P21" s="21">
        <f>L21*1100</f>
        <v>18700</v>
      </c>
      <c r="Q21" s="14">
        <f>SUM(M21:P21)</f>
        <v>393699</v>
      </c>
      <c r="R21" s="21">
        <v>393699</v>
      </c>
      <c r="S21" s="115" t="s">
        <v>658</v>
      </c>
      <c r="T21" s="21" t="s">
        <v>27</v>
      </c>
      <c r="U21" s="30"/>
      <c r="V21" s="30"/>
    </row>
    <row r="22" spans="1:22" x14ac:dyDescent="0.25">
      <c r="A22" s="26">
        <v>21</v>
      </c>
      <c r="B22" s="30" t="s">
        <v>660</v>
      </c>
      <c r="C22" s="26" t="s">
        <v>29</v>
      </c>
      <c r="D22" s="37" t="s">
        <v>30</v>
      </c>
      <c r="E22" s="30" t="s">
        <v>473</v>
      </c>
      <c r="F22" s="30" t="s">
        <v>29</v>
      </c>
      <c r="G22" s="30" t="s">
        <v>184</v>
      </c>
      <c r="H22" s="30" t="s">
        <v>219</v>
      </c>
      <c r="I22" s="36">
        <v>44392</v>
      </c>
      <c r="J22" s="30">
        <v>4</v>
      </c>
      <c r="K22" s="30">
        <v>84</v>
      </c>
      <c r="L22" s="30">
        <v>84</v>
      </c>
      <c r="M22" s="23">
        <f>((L22*13500)+(L22*13500)*10%)+8250+((0*150))</f>
        <v>1255650</v>
      </c>
      <c r="N22" s="21">
        <f t="shared" si="1"/>
        <v>101640</v>
      </c>
      <c r="O22" s="21">
        <f t="shared" si="2"/>
        <v>174108</v>
      </c>
      <c r="P22" s="21">
        <f>L22*2100</f>
        <v>176400</v>
      </c>
      <c r="Q22" s="14">
        <f t="shared" ref="Q22" si="3">SUM(M22:P22)</f>
        <v>1707798</v>
      </c>
      <c r="R22" s="21">
        <v>21316000</v>
      </c>
      <c r="S22" s="21" t="s">
        <v>740</v>
      </c>
      <c r="T22" s="21" t="s">
        <v>27</v>
      </c>
      <c r="U22" s="30"/>
      <c r="V22" s="30"/>
    </row>
    <row r="23" spans="1:22" x14ac:dyDescent="0.25">
      <c r="A23" s="26">
        <v>22</v>
      </c>
      <c r="B23" s="30" t="s">
        <v>661</v>
      </c>
      <c r="C23" s="26" t="s">
        <v>29</v>
      </c>
      <c r="D23" s="37" t="s">
        <v>491</v>
      </c>
      <c r="E23" s="30" t="s">
        <v>23</v>
      </c>
      <c r="F23" s="30" t="s">
        <v>29</v>
      </c>
      <c r="G23" s="30" t="s">
        <v>235</v>
      </c>
      <c r="H23" s="30" t="s">
        <v>110</v>
      </c>
      <c r="I23" s="36">
        <v>44393</v>
      </c>
      <c r="J23" s="30">
        <v>1</v>
      </c>
      <c r="K23" s="30">
        <v>24</v>
      </c>
      <c r="L23" s="30">
        <v>24</v>
      </c>
      <c r="M23" s="23">
        <f>((L23*35000)+(L23*35000)*10%)+8250+((L23*150))</f>
        <v>935850</v>
      </c>
      <c r="N23" s="21">
        <f t="shared" si="1"/>
        <v>29040</v>
      </c>
      <c r="O23" s="21">
        <f t="shared" si="2"/>
        <v>51888</v>
      </c>
      <c r="P23" s="21">
        <f>L23*1100</f>
        <v>26400</v>
      </c>
      <c r="Q23" s="14">
        <f>SUM(M23:P23)</f>
        <v>1043178</v>
      </c>
      <c r="R23" s="21">
        <v>1043178</v>
      </c>
      <c r="S23" s="115" t="s">
        <v>662</v>
      </c>
      <c r="T23" s="21" t="s">
        <v>27</v>
      </c>
      <c r="U23" s="30"/>
      <c r="V23" s="30"/>
    </row>
    <row r="24" spans="1:22" x14ac:dyDescent="0.25">
      <c r="A24" s="26">
        <v>23</v>
      </c>
      <c r="B24" s="30" t="s">
        <v>663</v>
      </c>
      <c r="C24" s="26" t="s">
        <v>29</v>
      </c>
      <c r="D24" s="37" t="s">
        <v>30</v>
      </c>
      <c r="E24" s="30" t="s">
        <v>473</v>
      </c>
      <c r="F24" s="30" t="s">
        <v>29</v>
      </c>
      <c r="G24" s="30" t="s">
        <v>35</v>
      </c>
      <c r="H24" s="30" t="s">
        <v>664</v>
      </c>
      <c r="I24" s="36">
        <v>44393</v>
      </c>
      <c r="J24" s="30">
        <v>7</v>
      </c>
      <c r="K24" s="30">
        <v>109</v>
      </c>
      <c r="L24" s="30">
        <v>118</v>
      </c>
      <c r="M24" s="23">
        <f>((L24*9200)+(L24*9200)*10%)+8250+((0*150))</f>
        <v>1202410</v>
      </c>
      <c r="N24" s="21">
        <f t="shared" si="1"/>
        <v>142780</v>
      </c>
      <c r="O24" s="21">
        <f t="shared" si="2"/>
        <v>243366</v>
      </c>
      <c r="P24" s="21">
        <f>L24*2100</f>
        <v>247800</v>
      </c>
      <c r="Q24" s="14">
        <f t="shared" ref="Q24:Q28" si="4">SUM(M24:P24)</f>
        <v>1836356</v>
      </c>
      <c r="R24" s="21">
        <v>21316000</v>
      </c>
      <c r="S24" s="21" t="s">
        <v>740</v>
      </c>
      <c r="T24" s="21" t="s">
        <v>27</v>
      </c>
      <c r="U24" s="30"/>
      <c r="V24" s="30"/>
    </row>
    <row r="25" spans="1:22" x14ac:dyDescent="0.25">
      <c r="A25" s="26">
        <v>24</v>
      </c>
      <c r="B25" s="30" t="s">
        <v>665</v>
      </c>
      <c r="C25" s="26" t="s">
        <v>29</v>
      </c>
      <c r="D25" s="37" t="s">
        <v>491</v>
      </c>
      <c r="E25" s="30" t="s">
        <v>473</v>
      </c>
      <c r="F25" s="30" t="s">
        <v>29</v>
      </c>
      <c r="G25" s="30" t="s">
        <v>153</v>
      </c>
      <c r="H25" s="30" t="s">
        <v>110</v>
      </c>
      <c r="I25" s="36">
        <v>44394</v>
      </c>
      <c r="J25" s="30">
        <v>2</v>
      </c>
      <c r="K25" s="30">
        <v>62</v>
      </c>
      <c r="L25" s="30">
        <v>62</v>
      </c>
      <c r="M25" s="23">
        <f>((L25*34000)+(L25*34000)*10%)+8250+((0*150))</f>
        <v>2327050</v>
      </c>
      <c r="N25" s="21">
        <f t="shared" si="1"/>
        <v>75020</v>
      </c>
      <c r="O25" s="21">
        <f t="shared" si="2"/>
        <v>129294</v>
      </c>
      <c r="P25" s="21">
        <f>L25*1100</f>
        <v>68200</v>
      </c>
      <c r="Q25" s="14">
        <f t="shared" si="4"/>
        <v>2599564</v>
      </c>
      <c r="R25" s="21">
        <v>2599564</v>
      </c>
      <c r="S25" s="115" t="s">
        <v>671</v>
      </c>
      <c r="T25" s="21" t="s">
        <v>27</v>
      </c>
      <c r="U25" s="30"/>
      <c r="V25" s="30"/>
    </row>
    <row r="26" spans="1:22" x14ac:dyDescent="0.25">
      <c r="A26" s="26">
        <v>25</v>
      </c>
      <c r="B26" s="30" t="s">
        <v>666</v>
      </c>
      <c r="C26" s="26" t="s">
        <v>29</v>
      </c>
      <c r="D26" s="37" t="s">
        <v>30</v>
      </c>
      <c r="E26" s="30" t="s">
        <v>473</v>
      </c>
      <c r="F26" s="30" t="s">
        <v>29</v>
      </c>
      <c r="G26" s="30" t="s">
        <v>60</v>
      </c>
      <c r="H26" s="30" t="s">
        <v>61</v>
      </c>
      <c r="I26" s="36">
        <v>44394</v>
      </c>
      <c r="J26" s="30">
        <v>12</v>
      </c>
      <c r="K26" s="30">
        <v>325</v>
      </c>
      <c r="L26" s="30">
        <v>325</v>
      </c>
      <c r="M26" s="23">
        <f>((L26*14200)+(L26*14200)*10%)+8250+((0*150))</f>
        <v>5084750</v>
      </c>
      <c r="N26" s="21">
        <f t="shared" ref="N26:N27" si="5">L26*1210</f>
        <v>393250</v>
      </c>
      <c r="O26" s="21">
        <f t="shared" ref="O26:O27" si="6">(L26*2037)+3000</f>
        <v>665025</v>
      </c>
      <c r="P26" s="21">
        <f t="shared" ref="P26:P27" si="7">L26*2100</f>
        <v>682500</v>
      </c>
      <c r="Q26" s="14">
        <f t="shared" si="4"/>
        <v>6825525</v>
      </c>
      <c r="R26" s="21">
        <v>21316000</v>
      </c>
      <c r="S26" s="21" t="s">
        <v>740</v>
      </c>
      <c r="T26" s="21" t="s">
        <v>27</v>
      </c>
      <c r="U26" s="30"/>
      <c r="V26" s="30"/>
    </row>
    <row r="27" spans="1:22" x14ac:dyDescent="0.25">
      <c r="A27" s="26">
        <v>26</v>
      </c>
      <c r="B27" s="30" t="s">
        <v>667</v>
      </c>
      <c r="C27" s="118" t="s">
        <v>29</v>
      </c>
      <c r="D27" s="126" t="s">
        <v>30</v>
      </c>
      <c r="E27" s="87" t="s">
        <v>473</v>
      </c>
      <c r="F27" s="87" t="s">
        <v>29</v>
      </c>
      <c r="G27" s="87" t="s">
        <v>60</v>
      </c>
      <c r="H27" s="87" t="s">
        <v>61</v>
      </c>
      <c r="I27" s="119">
        <v>44394</v>
      </c>
      <c r="J27" s="87">
        <v>13</v>
      </c>
      <c r="K27" s="87">
        <v>338</v>
      </c>
      <c r="L27" s="87">
        <v>338</v>
      </c>
      <c r="M27" s="23">
        <f>((L27*14200)+(L27*14200)*10%)+8250+((0*150))</f>
        <v>5287810</v>
      </c>
      <c r="N27" s="21">
        <f t="shared" si="5"/>
        <v>408980</v>
      </c>
      <c r="O27" s="21">
        <f t="shared" si="6"/>
        <v>691506</v>
      </c>
      <c r="P27" s="21">
        <f t="shared" si="7"/>
        <v>709800</v>
      </c>
      <c r="Q27" s="14">
        <f t="shared" si="4"/>
        <v>7098096</v>
      </c>
      <c r="R27" s="21">
        <v>21316000</v>
      </c>
      <c r="S27" s="21" t="s">
        <v>740</v>
      </c>
      <c r="T27" s="21" t="s">
        <v>27</v>
      </c>
      <c r="U27" s="30"/>
      <c r="V27" s="30"/>
    </row>
    <row r="28" spans="1:22" x14ac:dyDescent="0.25">
      <c r="A28" s="26">
        <v>27</v>
      </c>
      <c r="B28" s="30" t="s">
        <v>668</v>
      </c>
      <c r="C28" s="26" t="s">
        <v>29</v>
      </c>
      <c r="D28" s="37" t="s">
        <v>30</v>
      </c>
      <c r="E28" s="30" t="s">
        <v>473</v>
      </c>
      <c r="F28" s="30" t="s">
        <v>29</v>
      </c>
      <c r="G28" s="30" t="s">
        <v>166</v>
      </c>
      <c r="H28" s="30" t="s">
        <v>485</v>
      </c>
      <c r="I28" s="36">
        <v>44394</v>
      </c>
      <c r="J28" s="30">
        <v>3</v>
      </c>
      <c r="K28" s="30">
        <v>55</v>
      </c>
      <c r="L28" s="30">
        <v>55</v>
      </c>
      <c r="M28" s="23">
        <f>((L28*8500)+(L28*8500)*10%)+8250+((0*150))</f>
        <v>522500</v>
      </c>
      <c r="N28" s="21">
        <f t="shared" ref="N28" si="8">L28*1210</f>
        <v>66550</v>
      </c>
      <c r="O28" s="21">
        <f t="shared" ref="O28" si="9">(L28*2037)+3000</f>
        <v>115035</v>
      </c>
      <c r="P28" s="21">
        <f t="shared" ref="P28" si="10">L28*2100</f>
        <v>115500</v>
      </c>
      <c r="Q28" s="14">
        <f t="shared" si="4"/>
        <v>819585</v>
      </c>
      <c r="R28" s="21">
        <v>21316000</v>
      </c>
      <c r="S28" s="21" t="s">
        <v>740</v>
      </c>
      <c r="T28" s="21" t="s">
        <v>27</v>
      </c>
      <c r="U28" s="30"/>
      <c r="V28" s="30"/>
    </row>
    <row r="29" spans="1:22" x14ac:dyDescent="0.25">
      <c r="A29" s="26">
        <v>28</v>
      </c>
      <c r="B29" s="30" t="s">
        <v>669</v>
      </c>
      <c r="C29" s="26" t="s">
        <v>29</v>
      </c>
      <c r="D29" s="37" t="s">
        <v>30</v>
      </c>
      <c r="E29" s="30" t="s">
        <v>473</v>
      </c>
      <c r="F29" s="30" t="s">
        <v>29</v>
      </c>
      <c r="G29" s="30" t="s">
        <v>171</v>
      </c>
      <c r="H29" s="30" t="s">
        <v>246</v>
      </c>
      <c r="I29" s="36">
        <v>44395</v>
      </c>
      <c r="J29" s="30">
        <v>5</v>
      </c>
      <c r="K29" s="30">
        <v>73</v>
      </c>
      <c r="L29" s="30">
        <v>73</v>
      </c>
      <c r="M29" s="23">
        <f>((L29*11000)+(L29*11000)*10%)+8250+((0*150))</f>
        <v>891550</v>
      </c>
      <c r="N29" s="21">
        <f t="shared" ref="N29:N31" si="11">L29*1210</f>
        <v>88330</v>
      </c>
      <c r="O29" s="21">
        <f t="shared" ref="O29:O31" si="12">(L29*2037)+3000</f>
        <v>151701</v>
      </c>
      <c r="P29" s="21">
        <f t="shared" ref="P29:P30" si="13">L29*2100</f>
        <v>153300</v>
      </c>
      <c r="Q29" s="14">
        <f t="shared" ref="Q29:Q31" si="14">SUM(M29:P29)</f>
        <v>1284881</v>
      </c>
      <c r="R29" s="21">
        <v>21316000</v>
      </c>
      <c r="S29" s="21" t="s">
        <v>740</v>
      </c>
      <c r="T29" s="21" t="s">
        <v>27</v>
      </c>
      <c r="U29" s="30"/>
      <c r="V29" s="30"/>
    </row>
    <row r="30" spans="1:22" x14ac:dyDescent="0.25">
      <c r="A30" s="26">
        <v>29</v>
      </c>
      <c r="B30" s="30" t="s">
        <v>670</v>
      </c>
      <c r="C30" s="26" t="s">
        <v>29</v>
      </c>
      <c r="D30" s="37" t="s">
        <v>30</v>
      </c>
      <c r="E30" s="30" t="s">
        <v>473</v>
      </c>
      <c r="F30" s="30" t="s">
        <v>29</v>
      </c>
      <c r="G30" s="30" t="s">
        <v>171</v>
      </c>
      <c r="H30" s="30" t="s">
        <v>246</v>
      </c>
      <c r="I30" s="36">
        <v>44395</v>
      </c>
      <c r="J30" s="30">
        <v>4</v>
      </c>
      <c r="K30" s="30">
        <v>82</v>
      </c>
      <c r="L30" s="30">
        <v>85</v>
      </c>
      <c r="M30" s="23">
        <f>((L30*11000)+(L30*11000)*10%)+8250+((0*150))</f>
        <v>1036750</v>
      </c>
      <c r="N30" s="21">
        <f t="shared" si="11"/>
        <v>102850</v>
      </c>
      <c r="O30" s="21">
        <f t="shared" si="12"/>
        <v>176145</v>
      </c>
      <c r="P30" s="21">
        <f t="shared" si="13"/>
        <v>178500</v>
      </c>
      <c r="Q30" s="14">
        <f t="shared" si="14"/>
        <v>1494245</v>
      </c>
      <c r="R30" s="21">
        <v>21316000</v>
      </c>
      <c r="S30" s="21" t="s">
        <v>740</v>
      </c>
      <c r="T30" s="21" t="s">
        <v>27</v>
      </c>
      <c r="U30" s="30"/>
      <c r="V30" s="30"/>
    </row>
    <row r="31" spans="1:22" x14ac:dyDescent="0.25">
      <c r="A31" s="26">
        <v>30</v>
      </c>
      <c r="B31" s="30" t="s">
        <v>673</v>
      </c>
      <c r="C31" s="26" t="s">
        <v>29</v>
      </c>
      <c r="D31" s="30" t="s">
        <v>491</v>
      </c>
      <c r="E31" s="30" t="s">
        <v>23</v>
      </c>
      <c r="F31" s="30" t="s">
        <v>29</v>
      </c>
      <c r="G31" s="30" t="s">
        <v>153</v>
      </c>
      <c r="H31" s="30" t="s">
        <v>110</v>
      </c>
      <c r="I31" s="36">
        <v>44397</v>
      </c>
      <c r="J31" s="30">
        <v>1</v>
      </c>
      <c r="K31" s="30">
        <v>19</v>
      </c>
      <c r="L31" s="30">
        <v>19</v>
      </c>
      <c r="M31" s="23">
        <f>((L31*34000)+(L31*34000)*10%)+8250+((0*150))</f>
        <v>718850</v>
      </c>
      <c r="N31" s="21">
        <f t="shared" si="11"/>
        <v>22990</v>
      </c>
      <c r="O31" s="21">
        <f t="shared" si="12"/>
        <v>41703</v>
      </c>
      <c r="P31" s="21">
        <f>L31*1100</f>
        <v>20900</v>
      </c>
      <c r="Q31" s="14">
        <f t="shared" si="14"/>
        <v>804443</v>
      </c>
      <c r="R31" s="21">
        <v>804443</v>
      </c>
      <c r="S31" s="115" t="s">
        <v>688</v>
      </c>
      <c r="T31" s="21" t="s">
        <v>27</v>
      </c>
      <c r="U31" s="30"/>
      <c r="V31" s="30"/>
    </row>
    <row r="32" spans="1:22" x14ac:dyDescent="0.25">
      <c r="A32" s="26">
        <v>31</v>
      </c>
      <c r="B32" s="69" t="s">
        <v>674</v>
      </c>
      <c r="C32" s="26" t="s">
        <v>29</v>
      </c>
      <c r="D32" s="37" t="s">
        <v>491</v>
      </c>
      <c r="E32" s="30" t="s">
        <v>23</v>
      </c>
      <c r="F32" s="69" t="s">
        <v>29</v>
      </c>
      <c r="G32" s="69" t="s">
        <v>112</v>
      </c>
      <c r="H32" s="69" t="s">
        <v>113</v>
      </c>
      <c r="I32" s="111">
        <v>44399</v>
      </c>
      <c r="J32" s="69">
        <v>1</v>
      </c>
      <c r="K32" s="69">
        <v>13</v>
      </c>
      <c r="L32" s="69">
        <v>13</v>
      </c>
      <c r="M32" s="23">
        <f>((L32*40800)+(L32*40800)*10%)+8250+((L32*150))</f>
        <v>593640</v>
      </c>
      <c r="N32" s="21">
        <f t="shared" ref="N32:N34" si="15">L32*1210</f>
        <v>15730</v>
      </c>
      <c r="O32" s="21">
        <f t="shared" ref="O32:O34" si="16">(L32*2037)+3000</f>
        <v>29481</v>
      </c>
      <c r="P32" s="21">
        <f t="shared" ref="P32:P33" si="17">L32*1100</f>
        <v>14300</v>
      </c>
      <c r="Q32" s="14">
        <f t="shared" ref="Q32:Q35" si="18">SUM(M32:P32)</f>
        <v>653151</v>
      </c>
      <c r="R32" s="198">
        <v>2255290</v>
      </c>
      <c r="S32" s="219" t="s">
        <v>689</v>
      </c>
      <c r="T32" s="198" t="s">
        <v>27</v>
      </c>
      <c r="U32" s="30"/>
      <c r="V32" s="30"/>
    </row>
    <row r="33" spans="1:22" x14ac:dyDescent="0.25">
      <c r="A33" s="26">
        <v>32</v>
      </c>
      <c r="B33" s="69" t="s">
        <v>675</v>
      </c>
      <c r="C33" s="26" t="s">
        <v>29</v>
      </c>
      <c r="D33" s="37" t="s">
        <v>491</v>
      </c>
      <c r="E33" s="30" t="s">
        <v>23</v>
      </c>
      <c r="F33" s="69" t="s">
        <v>29</v>
      </c>
      <c r="G33" s="69" t="s">
        <v>235</v>
      </c>
      <c r="H33" s="69" t="s">
        <v>110</v>
      </c>
      <c r="I33" s="111">
        <v>44399</v>
      </c>
      <c r="J33" s="69">
        <v>2</v>
      </c>
      <c r="K33" s="69">
        <v>32</v>
      </c>
      <c r="L33" s="69">
        <v>37</v>
      </c>
      <c r="M33" s="23">
        <f>((L33*35000)+(L33*35000)*10%)+8250+((L33*150))</f>
        <v>1438300</v>
      </c>
      <c r="N33" s="21">
        <f t="shared" si="15"/>
        <v>44770</v>
      </c>
      <c r="O33" s="21">
        <f t="shared" si="16"/>
        <v>78369</v>
      </c>
      <c r="P33" s="21">
        <f t="shared" si="17"/>
        <v>40700</v>
      </c>
      <c r="Q33" s="14">
        <f t="shared" si="18"/>
        <v>1602139</v>
      </c>
      <c r="R33" s="200"/>
      <c r="S33" s="220"/>
      <c r="T33" s="200"/>
      <c r="U33" s="30"/>
      <c r="V33" s="30"/>
    </row>
    <row r="34" spans="1:22" x14ac:dyDescent="0.25">
      <c r="A34" s="26">
        <v>33</v>
      </c>
      <c r="B34" s="69" t="s">
        <v>676</v>
      </c>
      <c r="C34" s="26" t="s">
        <v>29</v>
      </c>
      <c r="D34" s="37" t="s">
        <v>30</v>
      </c>
      <c r="E34" s="30" t="s">
        <v>473</v>
      </c>
      <c r="F34" s="69" t="s">
        <v>29</v>
      </c>
      <c r="G34" s="69" t="s">
        <v>40</v>
      </c>
      <c r="H34" s="69" t="s">
        <v>685</v>
      </c>
      <c r="I34" s="111">
        <v>44399</v>
      </c>
      <c r="J34" s="69">
        <v>3</v>
      </c>
      <c r="K34" s="69">
        <v>55</v>
      </c>
      <c r="L34" s="69">
        <v>56</v>
      </c>
      <c r="M34" s="23">
        <f>((L34*6000)+(L34*6000)*10%)+8250+((L34*150))</f>
        <v>386250</v>
      </c>
      <c r="N34" s="21">
        <f t="shared" si="15"/>
        <v>67760</v>
      </c>
      <c r="O34" s="21">
        <f t="shared" si="16"/>
        <v>117072</v>
      </c>
      <c r="P34" s="21">
        <f t="shared" ref="P34" si="19">L34*2100</f>
        <v>117600</v>
      </c>
      <c r="Q34" s="14">
        <f t="shared" si="18"/>
        <v>688682</v>
      </c>
      <c r="R34" s="21">
        <v>20420000</v>
      </c>
      <c r="S34" s="115" t="s">
        <v>841</v>
      </c>
      <c r="T34" s="21" t="s">
        <v>27</v>
      </c>
      <c r="U34" s="30"/>
      <c r="V34" s="30"/>
    </row>
    <row r="35" spans="1:22" x14ac:dyDescent="0.25">
      <c r="A35" s="26">
        <v>34</v>
      </c>
      <c r="B35" s="127" t="s">
        <v>677</v>
      </c>
      <c r="C35" s="26" t="s">
        <v>29</v>
      </c>
      <c r="D35" s="30" t="s">
        <v>85</v>
      </c>
      <c r="E35" s="30" t="s">
        <v>23</v>
      </c>
      <c r="F35" s="69" t="s">
        <v>29</v>
      </c>
      <c r="G35" s="69" t="s">
        <v>104</v>
      </c>
      <c r="H35" s="69" t="s">
        <v>105</v>
      </c>
      <c r="I35" s="111">
        <v>44401</v>
      </c>
      <c r="J35" s="69">
        <v>1</v>
      </c>
      <c r="K35" s="69">
        <v>10</v>
      </c>
      <c r="L35" s="69">
        <v>10</v>
      </c>
      <c r="M35" s="23">
        <f>((L35*34000)+(L35*34000)*10%)+8250+((L35*150))</f>
        <v>383750</v>
      </c>
      <c r="N35" s="21">
        <f>L35*1210</f>
        <v>12100</v>
      </c>
      <c r="O35" s="21">
        <f>(L35*2037)+3000</f>
        <v>23370</v>
      </c>
      <c r="P35" s="21">
        <f>L35*1100</f>
        <v>11000</v>
      </c>
      <c r="Q35" s="14">
        <f t="shared" si="18"/>
        <v>430220</v>
      </c>
      <c r="R35" s="21">
        <v>6084982</v>
      </c>
      <c r="S35" s="115" t="s">
        <v>889</v>
      </c>
      <c r="T35" s="21" t="s">
        <v>27</v>
      </c>
      <c r="U35" s="30"/>
      <c r="V35" s="30"/>
    </row>
    <row r="36" spans="1:22" x14ac:dyDescent="0.25">
      <c r="A36" s="26">
        <v>35</v>
      </c>
      <c r="B36" s="127" t="s">
        <v>678</v>
      </c>
      <c r="C36" s="26" t="s">
        <v>29</v>
      </c>
      <c r="D36" s="30" t="s">
        <v>85</v>
      </c>
      <c r="E36" s="30" t="s">
        <v>505</v>
      </c>
      <c r="F36" s="69" t="s">
        <v>29</v>
      </c>
      <c r="G36" s="69" t="s">
        <v>112</v>
      </c>
      <c r="H36" s="69" t="s">
        <v>113</v>
      </c>
      <c r="I36" s="111">
        <v>44401</v>
      </c>
      <c r="J36" s="69">
        <v>3</v>
      </c>
      <c r="K36" s="69">
        <v>33</v>
      </c>
      <c r="L36" s="69">
        <v>33</v>
      </c>
      <c r="M36" s="23">
        <f>((L36*41500)+(L36*41500)*10%)+8250+((L36*150))</f>
        <v>1519650</v>
      </c>
      <c r="N36" s="21">
        <f t="shared" ref="N36" si="20">L36*1210</f>
        <v>39930</v>
      </c>
      <c r="O36" s="21">
        <f>(L36*2037)+3000</f>
        <v>70221</v>
      </c>
      <c r="P36" s="21">
        <f t="shared" ref="P36" si="21">L36*1100</f>
        <v>36300</v>
      </c>
      <c r="Q36" s="14">
        <f t="shared" ref="Q36" si="22">SUM(M36:P36)</f>
        <v>1666101</v>
      </c>
      <c r="R36" s="21">
        <v>6084982</v>
      </c>
      <c r="S36" s="115" t="s">
        <v>889</v>
      </c>
      <c r="T36" s="21" t="s">
        <v>27</v>
      </c>
      <c r="U36" s="30"/>
      <c r="V36" s="30"/>
    </row>
    <row r="37" spans="1:22" x14ac:dyDescent="0.25">
      <c r="A37" s="26">
        <v>36</v>
      </c>
      <c r="B37" s="69" t="s">
        <v>679</v>
      </c>
      <c r="C37" s="26" t="s">
        <v>29</v>
      </c>
      <c r="D37" s="30" t="s">
        <v>686</v>
      </c>
      <c r="E37" s="30" t="s">
        <v>595</v>
      </c>
      <c r="F37" s="69" t="s">
        <v>29</v>
      </c>
      <c r="G37" s="69" t="s">
        <v>79</v>
      </c>
      <c r="H37" s="69" t="s">
        <v>222</v>
      </c>
      <c r="I37" s="111">
        <v>44401</v>
      </c>
      <c r="J37" s="69">
        <v>2</v>
      </c>
      <c r="K37" s="69">
        <v>52</v>
      </c>
      <c r="L37" s="69">
        <v>52</v>
      </c>
      <c r="M37" s="23">
        <f>((L37*15000)+(L37*15000)*10%)+8250+((0*150))</f>
        <v>866250</v>
      </c>
      <c r="N37" s="21">
        <f t="shared" ref="N37:N38" si="23">L37*1210</f>
        <v>62920</v>
      </c>
      <c r="O37" s="21">
        <f t="shared" ref="O37" si="24">(L37*2037)+3000</f>
        <v>108924</v>
      </c>
      <c r="P37" s="21">
        <f>L37*5000</f>
        <v>260000</v>
      </c>
      <c r="Q37" s="14">
        <f t="shared" ref="Q37" si="25">SUM(M37:P37)</f>
        <v>1298094</v>
      </c>
      <c r="R37" s="21">
        <v>1798104</v>
      </c>
      <c r="S37" s="115" t="s">
        <v>886</v>
      </c>
      <c r="T37" s="21" t="s">
        <v>27</v>
      </c>
      <c r="U37" s="30"/>
      <c r="V37" s="30"/>
    </row>
    <row r="38" spans="1:22" x14ac:dyDescent="0.25">
      <c r="A38" s="26">
        <v>37</v>
      </c>
      <c r="B38" s="69" t="s">
        <v>680</v>
      </c>
      <c r="C38" s="26" t="s">
        <v>29</v>
      </c>
      <c r="D38" s="30" t="s">
        <v>687</v>
      </c>
      <c r="E38" s="30" t="s">
        <v>595</v>
      </c>
      <c r="F38" s="69" t="s">
        <v>29</v>
      </c>
      <c r="G38" s="69" t="s">
        <v>494</v>
      </c>
      <c r="H38" s="69" t="s">
        <v>110</v>
      </c>
      <c r="I38" s="111">
        <v>44401</v>
      </c>
      <c r="J38" s="69">
        <v>2</v>
      </c>
      <c r="K38" s="69">
        <v>66</v>
      </c>
      <c r="L38" s="69">
        <v>66</v>
      </c>
      <c r="M38" s="23">
        <f>((L38*53500)+(L38*53500)*10%)+8250+((0*165))</f>
        <v>3892350</v>
      </c>
      <c r="N38" s="21">
        <f t="shared" si="23"/>
        <v>79860</v>
      </c>
      <c r="O38" s="21">
        <f t="shared" ref="O38" si="26">(L38*2037.2)+3000</f>
        <v>137455.20000000001</v>
      </c>
      <c r="P38" s="21">
        <f>L38*1100</f>
        <v>72600</v>
      </c>
      <c r="Q38" s="14">
        <f t="shared" ref="Q38" si="27">SUM(M38:P38)</f>
        <v>4182265.2</v>
      </c>
      <c r="R38" s="21">
        <v>4182265</v>
      </c>
      <c r="S38" s="115" t="s">
        <v>710</v>
      </c>
      <c r="T38" s="21" t="s">
        <v>27</v>
      </c>
      <c r="U38" s="30"/>
      <c r="V38" s="30"/>
    </row>
    <row r="39" spans="1:22" x14ac:dyDescent="0.25">
      <c r="A39" s="26">
        <v>38</v>
      </c>
      <c r="B39" s="69" t="s">
        <v>681</v>
      </c>
      <c r="C39" s="26" t="s">
        <v>29</v>
      </c>
      <c r="D39" s="37" t="s">
        <v>30</v>
      </c>
      <c r="E39" s="30" t="s">
        <v>473</v>
      </c>
      <c r="F39" s="69" t="s">
        <v>29</v>
      </c>
      <c r="G39" s="69" t="s">
        <v>79</v>
      </c>
      <c r="H39" s="69" t="s">
        <v>208</v>
      </c>
      <c r="I39" s="111">
        <v>44402</v>
      </c>
      <c r="J39" s="69">
        <v>3</v>
      </c>
      <c r="K39" s="69">
        <v>72</v>
      </c>
      <c r="L39" s="69">
        <v>72</v>
      </c>
      <c r="M39" s="23">
        <f>((L39*15000)+(L39*15000)*10%)+8250+((0*150))</f>
        <v>1196250</v>
      </c>
      <c r="N39" s="21">
        <f t="shared" ref="N39" si="28">L39*1210</f>
        <v>87120</v>
      </c>
      <c r="O39" s="21">
        <f t="shared" ref="O39" si="29">(L39*2037)+3000</f>
        <v>149664</v>
      </c>
      <c r="P39" s="21">
        <f>L39*2100</f>
        <v>151200</v>
      </c>
      <c r="Q39" s="14">
        <f t="shared" ref="Q39" si="30">SUM(M39:P39)</f>
        <v>1584234</v>
      </c>
      <c r="R39" s="21">
        <v>20420000</v>
      </c>
      <c r="S39" s="115" t="s">
        <v>841</v>
      </c>
      <c r="T39" s="21" t="s">
        <v>27</v>
      </c>
      <c r="U39" s="30"/>
      <c r="V39" s="30"/>
    </row>
    <row r="40" spans="1:22" x14ac:dyDescent="0.25">
      <c r="A40" s="26">
        <v>39</v>
      </c>
      <c r="B40" s="69" t="s">
        <v>682</v>
      </c>
      <c r="C40" s="26" t="s">
        <v>29</v>
      </c>
      <c r="D40" s="37" t="s">
        <v>30</v>
      </c>
      <c r="E40" s="30" t="s">
        <v>473</v>
      </c>
      <c r="F40" s="69" t="s">
        <v>29</v>
      </c>
      <c r="G40" s="69" t="s">
        <v>263</v>
      </c>
      <c r="H40" s="69" t="s">
        <v>264</v>
      </c>
      <c r="I40" s="111">
        <v>44402</v>
      </c>
      <c r="J40" s="69">
        <v>1</v>
      </c>
      <c r="K40" s="69">
        <v>18</v>
      </c>
      <c r="L40" s="69">
        <v>24</v>
      </c>
      <c r="M40" s="23">
        <f>((L40*10500)+(L40*10500)*10%)+8250+((0*150))</f>
        <v>285450</v>
      </c>
      <c r="N40" s="21">
        <f t="shared" ref="N40:N42" si="31">L40*1210</f>
        <v>29040</v>
      </c>
      <c r="O40" s="21">
        <f t="shared" ref="O40:O42" si="32">(L40*2037)+3000</f>
        <v>51888</v>
      </c>
      <c r="P40" s="21">
        <f t="shared" ref="P40:P42" si="33">L40*2100</f>
        <v>50400</v>
      </c>
      <c r="Q40" s="14">
        <f t="shared" ref="Q40:Q42" si="34">SUM(M40:P40)</f>
        <v>416778</v>
      </c>
      <c r="R40" s="21">
        <v>20420000</v>
      </c>
      <c r="S40" s="115" t="s">
        <v>841</v>
      </c>
      <c r="T40" s="21" t="s">
        <v>27</v>
      </c>
      <c r="U40" s="30"/>
      <c r="V40" s="30"/>
    </row>
    <row r="41" spans="1:22" x14ac:dyDescent="0.25">
      <c r="A41" s="26">
        <v>40</v>
      </c>
      <c r="B41" s="69" t="s">
        <v>683</v>
      </c>
      <c r="C41" s="26" t="s">
        <v>29</v>
      </c>
      <c r="D41" s="37" t="s">
        <v>30</v>
      </c>
      <c r="E41" s="30" t="s">
        <v>473</v>
      </c>
      <c r="F41" s="69" t="s">
        <v>29</v>
      </c>
      <c r="G41" s="69" t="s">
        <v>166</v>
      </c>
      <c r="H41" s="69" t="s">
        <v>485</v>
      </c>
      <c r="I41" s="111">
        <v>44402</v>
      </c>
      <c r="J41" s="69">
        <v>1</v>
      </c>
      <c r="K41" s="69">
        <v>28</v>
      </c>
      <c r="L41" s="69">
        <v>35</v>
      </c>
      <c r="M41" s="23">
        <f>((L41*9000)+(L41*9000)*10%)+8250+((0*150))</f>
        <v>354750</v>
      </c>
      <c r="N41" s="21">
        <f t="shared" si="31"/>
        <v>42350</v>
      </c>
      <c r="O41" s="21">
        <f t="shared" si="32"/>
        <v>74295</v>
      </c>
      <c r="P41" s="21">
        <f t="shared" si="33"/>
        <v>73500</v>
      </c>
      <c r="Q41" s="14">
        <f t="shared" si="34"/>
        <v>544895</v>
      </c>
      <c r="R41" s="21">
        <v>20420000</v>
      </c>
      <c r="S41" s="115" t="s">
        <v>841</v>
      </c>
      <c r="T41" s="21" t="s">
        <v>27</v>
      </c>
      <c r="U41" s="30"/>
      <c r="V41" s="30"/>
    </row>
    <row r="42" spans="1:22" x14ac:dyDescent="0.25">
      <c r="A42" s="26">
        <v>41</v>
      </c>
      <c r="B42" s="69" t="s">
        <v>684</v>
      </c>
      <c r="C42" s="26" t="s">
        <v>29</v>
      </c>
      <c r="D42" s="37" t="s">
        <v>30</v>
      </c>
      <c r="E42" s="30" t="s">
        <v>473</v>
      </c>
      <c r="F42" s="69" t="s">
        <v>29</v>
      </c>
      <c r="G42" s="69" t="s">
        <v>35</v>
      </c>
      <c r="H42" s="69" t="s">
        <v>664</v>
      </c>
      <c r="I42" s="111">
        <v>44402</v>
      </c>
      <c r="J42" s="69">
        <v>9</v>
      </c>
      <c r="K42" s="69">
        <v>251</v>
      </c>
      <c r="L42" s="69">
        <v>251</v>
      </c>
      <c r="M42" s="23">
        <f>((L42*10000)+(L42*10000)*10%)+8250+((0*150))</f>
        <v>2769250</v>
      </c>
      <c r="N42" s="21">
        <f t="shared" si="31"/>
        <v>303710</v>
      </c>
      <c r="O42" s="21">
        <f t="shared" si="32"/>
        <v>514287</v>
      </c>
      <c r="P42" s="21">
        <f t="shared" si="33"/>
        <v>527100</v>
      </c>
      <c r="Q42" s="14">
        <f t="shared" si="34"/>
        <v>4114347</v>
      </c>
      <c r="R42" s="21">
        <v>20420000</v>
      </c>
      <c r="S42" s="115" t="s">
        <v>841</v>
      </c>
      <c r="T42" s="21" t="s">
        <v>27</v>
      </c>
      <c r="U42" s="30"/>
      <c r="V42" s="30"/>
    </row>
    <row r="43" spans="1:22" x14ac:dyDescent="0.25">
      <c r="A43" s="26">
        <v>42</v>
      </c>
      <c r="B43" s="30" t="s">
        <v>695</v>
      </c>
      <c r="C43" s="26" t="s">
        <v>29</v>
      </c>
      <c r="D43" s="30" t="s">
        <v>30</v>
      </c>
      <c r="E43" s="30" t="s">
        <v>473</v>
      </c>
      <c r="F43" s="30" t="s">
        <v>29</v>
      </c>
      <c r="G43" s="30" t="s">
        <v>184</v>
      </c>
      <c r="H43" s="30" t="s">
        <v>219</v>
      </c>
      <c r="I43" s="111">
        <v>44403</v>
      </c>
      <c r="J43" s="30">
        <v>5</v>
      </c>
      <c r="K43" s="30">
        <v>132</v>
      </c>
      <c r="L43" s="30">
        <v>132</v>
      </c>
      <c r="M43" s="23">
        <f>((L43*14000)+(L43*14000)*10%)+8250+((0*150))</f>
        <v>2041050</v>
      </c>
      <c r="N43" s="21">
        <f t="shared" ref="N43:N44" si="35">L43*1210</f>
        <v>159720</v>
      </c>
      <c r="O43" s="21">
        <f t="shared" ref="O43:O44" si="36">(L43*2037)+3000</f>
        <v>271884</v>
      </c>
      <c r="P43" s="21">
        <f t="shared" ref="P43:P44" si="37">L43*2100</f>
        <v>277200</v>
      </c>
      <c r="Q43" s="14">
        <f t="shared" ref="Q43:Q44" si="38">SUM(M43:P43)</f>
        <v>2749854</v>
      </c>
      <c r="R43" s="21">
        <v>20420000</v>
      </c>
      <c r="S43" s="115" t="s">
        <v>841</v>
      </c>
      <c r="T43" s="21" t="s">
        <v>27</v>
      </c>
      <c r="U43" s="30"/>
      <c r="V43" s="30"/>
    </row>
    <row r="44" spans="1:22" x14ac:dyDescent="0.25">
      <c r="A44" s="26">
        <v>43</v>
      </c>
      <c r="B44" s="30" t="s">
        <v>696</v>
      </c>
      <c r="C44" s="26" t="s">
        <v>29</v>
      </c>
      <c r="D44" s="30" t="s">
        <v>30</v>
      </c>
      <c r="E44" s="30" t="s">
        <v>473</v>
      </c>
      <c r="F44" s="30" t="s">
        <v>29</v>
      </c>
      <c r="G44" s="37" t="s">
        <v>171</v>
      </c>
      <c r="H44" s="30" t="s">
        <v>246</v>
      </c>
      <c r="I44" s="111">
        <v>44403</v>
      </c>
      <c r="J44" s="30">
        <v>5</v>
      </c>
      <c r="K44" s="30">
        <v>130</v>
      </c>
      <c r="L44" s="30">
        <v>130</v>
      </c>
      <c r="M44" s="23">
        <f>((L44*12000)+(L44*12000)*10%)+8250+((0*150))</f>
        <v>1724250</v>
      </c>
      <c r="N44" s="21">
        <f t="shared" si="35"/>
        <v>157300</v>
      </c>
      <c r="O44" s="21">
        <f t="shared" si="36"/>
        <v>267810</v>
      </c>
      <c r="P44" s="21">
        <f t="shared" si="37"/>
        <v>273000</v>
      </c>
      <c r="Q44" s="14">
        <f t="shared" si="38"/>
        <v>2422360</v>
      </c>
      <c r="R44" s="21">
        <v>20420000</v>
      </c>
      <c r="S44" s="115" t="s">
        <v>841</v>
      </c>
      <c r="T44" s="21" t="s">
        <v>27</v>
      </c>
      <c r="U44" s="30"/>
      <c r="V44" s="30"/>
    </row>
    <row r="45" spans="1:22" x14ac:dyDescent="0.25">
      <c r="A45" s="26">
        <v>44</v>
      </c>
      <c r="B45" s="30" t="s">
        <v>698</v>
      </c>
      <c r="C45" s="26" t="s">
        <v>29</v>
      </c>
      <c r="D45" s="30" t="s">
        <v>30</v>
      </c>
      <c r="E45" s="30" t="s">
        <v>473</v>
      </c>
      <c r="F45" s="30" t="s">
        <v>29</v>
      </c>
      <c r="G45" s="37" t="s">
        <v>517</v>
      </c>
      <c r="H45" s="30" t="s">
        <v>699</v>
      </c>
      <c r="I45" s="111">
        <v>44403</v>
      </c>
      <c r="J45" s="30">
        <v>1</v>
      </c>
      <c r="K45" s="30">
        <v>19</v>
      </c>
      <c r="L45" s="30">
        <v>26</v>
      </c>
      <c r="M45" s="23">
        <f>((L45*6000)+(L45*6000)*10%)+8250+((0*150))</f>
        <v>179850</v>
      </c>
      <c r="N45" s="21">
        <f t="shared" ref="N45" si="39">L45*1210</f>
        <v>31460</v>
      </c>
      <c r="O45" s="21">
        <f t="shared" ref="O45" si="40">(L45*2037)+3000</f>
        <v>55962</v>
      </c>
      <c r="P45" s="21">
        <f t="shared" ref="P45" si="41">L45*2100</f>
        <v>54600</v>
      </c>
      <c r="Q45" s="14">
        <f t="shared" ref="Q45" si="42">SUM(M45:P45)</f>
        <v>321872</v>
      </c>
      <c r="R45" s="21">
        <v>20420000</v>
      </c>
      <c r="S45" s="115" t="s">
        <v>841</v>
      </c>
      <c r="T45" s="21" t="s">
        <v>27</v>
      </c>
      <c r="U45" s="30"/>
      <c r="V45" s="30"/>
    </row>
    <row r="46" spans="1:22" x14ac:dyDescent="0.25">
      <c r="A46" s="26">
        <v>45</v>
      </c>
      <c r="B46" s="30" t="s">
        <v>700</v>
      </c>
      <c r="C46" s="26" t="s">
        <v>29</v>
      </c>
      <c r="D46" s="30" t="s">
        <v>30</v>
      </c>
      <c r="E46" s="30" t="s">
        <v>473</v>
      </c>
      <c r="F46" s="69" t="s">
        <v>29</v>
      </c>
      <c r="G46" s="127" t="s">
        <v>231</v>
      </c>
      <c r="H46" s="69" t="s">
        <v>638</v>
      </c>
      <c r="I46" s="111">
        <v>44406</v>
      </c>
      <c r="J46" s="69">
        <v>1</v>
      </c>
      <c r="K46" s="69">
        <v>29</v>
      </c>
      <c r="L46" s="69">
        <v>29</v>
      </c>
      <c r="M46" s="23">
        <f>((L46*24000)+(L46*24000)*10%)+8250+((0*150))</f>
        <v>773850</v>
      </c>
      <c r="N46" s="21">
        <f t="shared" ref="N46" si="43">L46*1210</f>
        <v>35090</v>
      </c>
      <c r="O46" s="21">
        <f t="shared" ref="O46" si="44">(L46*2037)+3000</f>
        <v>62073</v>
      </c>
      <c r="P46" s="21">
        <f t="shared" ref="P46" si="45">L46*2100</f>
        <v>60900</v>
      </c>
      <c r="Q46" s="14">
        <f t="shared" ref="Q46" si="46">SUM(M46:P46)</f>
        <v>931913</v>
      </c>
      <c r="R46" s="21">
        <v>20420000</v>
      </c>
      <c r="S46" s="115" t="s">
        <v>841</v>
      </c>
      <c r="T46" s="21" t="s">
        <v>27</v>
      </c>
      <c r="U46" s="30"/>
      <c r="V46" s="30"/>
    </row>
    <row r="47" spans="1:22" x14ac:dyDescent="0.25">
      <c r="A47" s="26">
        <v>46</v>
      </c>
      <c r="B47" s="69" t="s">
        <v>701</v>
      </c>
      <c r="C47" s="26" t="s">
        <v>29</v>
      </c>
      <c r="D47" s="30" t="s">
        <v>30</v>
      </c>
      <c r="E47" s="30" t="s">
        <v>473</v>
      </c>
      <c r="F47" s="30" t="s">
        <v>29</v>
      </c>
      <c r="G47" s="37" t="s">
        <v>31</v>
      </c>
      <c r="H47" s="30" t="s">
        <v>351</v>
      </c>
      <c r="I47" s="36">
        <v>44406</v>
      </c>
      <c r="J47" s="30">
        <v>1</v>
      </c>
      <c r="K47" s="30">
        <v>2</v>
      </c>
      <c r="L47" s="30">
        <v>10</v>
      </c>
      <c r="M47" s="23">
        <f>((L47*6000)+(L47*6000)*10%)+8250+((L47*150))</f>
        <v>75750</v>
      </c>
      <c r="N47" s="21">
        <f t="shared" ref="N47:N48" si="47">L47*1210</f>
        <v>12100</v>
      </c>
      <c r="O47" s="21">
        <f t="shared" ref="O47:O48" si="48">(L47*2037)+3000</f>
        <v>23370</v>
      </c>
      <c r="P47" s="21">
        <f t="shared" ref="P47:P48" si="49">L47*2100</f>
        <v>21000</v>
      </c>
      <c r="Q47" s="14">
        <f t="shared" ref="Q47:Q48" si="50">SUM(M47:P47)</f>
        <v>132220</v>
      </c>
      <c r="R47" s="21">
        <v>20420000</v>
      </c>
      <c r="S47" s="115" t="s">
        <v>841</v>
      </c>
      <c r="T47" s="21" t="s">
        <v>27</v>
      </c>
      <c r="U47" s="30"/>
      <c r="V47" s="30"/>
    </row>
    <row r="48" spans="1:22" x14ac:dyDescent="0.25">
      <c r="A48" s="26">
        <v>47</v>
      </c>
      <c r="B48" s="69" t="s">
        <v>702</v>
      </c>
      <c r="C48" s="26" t="s">
        <v>29</v>
      </c>
      <c r="D48" s="30" t="s">
        <v>30</v>
      </c>
      <c r="E48" s="30" t="s">
        <v>473</v>
      </c>
      <c r="F48" s="30" t="s">
        <v>29</v>
      </c>
      <c r="G48" s="37" t="s">
        <v>79</v>
      </c>
      <c r="H48" s="30" t="s">
        <v>705</v>
      </c>
      <c r="I48" s="36">
        <v>44406</v>
      </c>
      <c r="J48" s="30">
        <v>10</v>
      </c>
      <c r="K48" s="30">
        <v>321</v>
      </c>
      <c r="L48" s="30">
        <v>321</v>
      </c>
      <c r="M48" s="23">
        <f>((L48*15000)+(L48*15000)*10%)+8250+((0*150))</f>
        <v>5304750</v>
      </c>
      <c r="N48" s="21">
        <f t="shared" si="47"/>
        <v>388410</v>
      </c>
      <c r="O48" s="21">
        <f t="shared" si="48"/>
        <v>656877</v>
      </c>
      <c r="P48" s="21">
        <f t="shared" si="49"/>
        <v>674100</v>
      </c>
      <c r="Q48" s="14">
        <f t="shared" si="50"/>
        <v>7024137</v>
      </c>
      <c r="R48" s="21">
        <v>20420000</v>
      </c>
      <c r="S48" s="115" t="s">
        <v>841</v>
      </c>
      <c r="T48" s="21" t="s">
        <v>27</v>
      </c>
      <c r="U48" s="30"/>
      <c r="V48" s="30"/>
    </row>
    <row r="49" spans="1:22" x14ac:dyDescent="0.25">
      <c r="A49" s="26">
        <v>48</v>
      </c>
      <c r="B49" s="127" t="s">
        <v>703</v>
      </c>
      <c r="C49" s="26" t="s">
        <v>29</v>
      </c>
      <c r="D49" s="30" t="s">
        <v>85</v>
      </c>
      <c r="E49" s="30" t="s">
        <v>23</v>
      </c>
      <c r="F49" s="30" t="s">
        <v>29</v>
      </c>
      <c r="G49" s="30" t="s">
        <v>153</v>
      </c>
      <c r="H49" s="30" t="s">
        <v>110</v>
      </c>
      <c r="I49" s="36">
        <v>44406</v>
      </c>
      <c r="J49" s="30">
        <v>1</v>
      </c>
      <c r="K49" s="30">
        <v>3</v>
      </c>
      <c r="L49" s="30">
        <v>10</v>
      </c>
      <c r="M49" s="23">
        <f>((L49*35500)+(L49*35500)*10%)+8250+((0*150))</f>
        <v>398750</v>
      </c>
      <c r="N49" s="21">
        <f t="shared" ref="N49:N50" si="51">L49*1210</f>
        <v>12100</v>
      </c>
      <c r="O49" s="21">
        <f>(L49*2037)+3000</f>
        <v>23370</v>
      </c>
      <c r="P49" s="21">
        <f>L49*1100</f>
        <v>11000</v>
      </c>
      <c r="Q49" s="14">
        <f t="shared" ref="Q49:Q50" si="52">SUM(M49:P49)</f>
        <v>445220</v>
      </c>
      <c r="R49" s="21">
        <v>6084982</v>
      </c>
      <c r="S49" s="115" t="s">
        <v>889</v>
      </c>
      <c r="T49" s="21" t="s">
        <v>27</v>
      </c>
      <c r="U49" s="30"/>
      <c r="V49" s="30"/>
    </row>
    <row r="50" spans="1:22" x14ac:dyDescent="0.25">
      <c r="A50" s="26">
        <v>49</v>
      </c>
      <c r="B50" s="69" t="s">
        <v>704</v>
      </c>
      <c r="C50" s="26" t="s">
        <v>29</v>
      </c>
      <c r="D50" s="30" t="s">
        <v>491</v>
      </c>
      <c r="E50" s="30" t="s">
        <v>23</v>
      </c>
      <c r="F50" s="30" t="s">
        <v>29</v>
      </c>
      <c r="G50" s="30" t="s">
        <v>45</v>
      </c>
      <c r="H50" s="30" t="s">
        <v>238</v>
      </c>
      <c r="I50" s="36">
        <v>44406</v>
      </c>
      <c r="J50" s="30">
        <v>1</v>
      </c>
      <c r="K50" s="30">
        <v>22</v>
      </c>
      <c r="L50" s="30">
        <v>23</v>
      </c>
      <c r="M50" s="23">
        <f>((L50*35000)+(L50*35000)*10%)+8250+((L50*150))</f>
        <v>897200</v>
      </c>
      <c r="N50" s="21">
        <f t="shared" si="51"/>
        <v>27830</v>
      </c>
      <c r="O50" s="21">
        <f t="shared" ref="O50" si="53">(L50*2037)+3000</f>
        <v>49851</v>
      </c>
      <c r="P50" s="21">
        <f>L50*1100</f>
        <v>25300</v>
      </c>
      <c r="Q50" s="14">
        <f t="shared" si="52"/>
        <v>1000181</v>
      </c>
      <c r="R50" s="21">
        <v>1000181</v>
      </c>
      <c r="S50" s="115" t="s">
        <v>706</v>
      </c>
      <c r="T50" s="21" t="s">
        <v>27</v>
      </c>
      <c r="U50" s="30"/>
      <c r="V50" s="30"/>
    </row>
    <row r="51" spans="1:22" x14ac:dyDescent="0.25">
      <c r="A51" s="26">
        <v>50</v>
      </c>
      <c r="B51" s="30" t="s">
        <v>707</v>
      </c>
      <c r="C51" s="26" t="s">
        <v>29</v>
      </c>
      <c r="D51" s="30" t="s">
        <v>574</v>
      </c>
      <c r="E51" s="30" t="s">
        <v>23</v>
      </c>
      <c r="F51" s="30" t="s">
        <v>29</v>
      </c>
      <c r="G51" s="30" t="s">
        <v>115</v>
      </c>
      <c r="H51" s="30" t="s">
        <v>233</v>
      </c>
      <c r="I51" s="36">
        <v>44407</v>
      </c>
      <c r="J51" s="30">
        <v>13</v>
      </c>
      <c r="K51" s="30">
        <v>203</v>
      </c>
      <c r="L51" s="30">
        <v>203</v>
      </c>
      <c r="M51" s="23">
        <f>((L51*60500)+(L51*60500)*10%)+8250+((0*150))</f>
        <v>13517900</v>
      </c>
      <c r="N51" s="21">
        <f t="shared" ref="N51:N52" si="54">L51*1210</f>
        <v>245630</v>
      </c>
      <c r="O51" s="21">
        <f t="shared" ref="O51:O52" si="55">(L51*2037)+3000</f>
        <v>416511</v>
      </c>
      <c r="P51" s="21">
        <f>L51*2500</f>
        <v>507500</v>
      </c>
      <c r="Q51" s="14">
        <f t="shared" ref="Q51:Q52" si="56">SUM(M51:P51)</f>
        <v>14687541</v>
      </c>
      <c r="R51" s="21">
        <v>14352591</v>
      </c>
      <c r="S51" s="115" t="s">
        <v>1031</v>
      </c>
      <c r="T51" s="21" t="s">
        <v>27</v>
      </c>
      <c r="U51" s="30"/>
      <c r="V51" s="30"/>
    </row>
    <row r="52" spans="1:22" x14ac:dyDescent="0.25">
      <c r="A52" s="26">
        <v>51</v>
      </c>
      <c r="B52" s="30" t="s">
        <v>708</v>
      </c>
      <c r="C52" s="26" t="s">
        <v>29</v>
      </c>
      <c r="D52" s="30" t="s">
        <v>491</v>
      </c>
      <c r="E52" s="30" t="s">
        <v>23</v>
      </c>
      <c r="F52" s="30" t="s">
        <v>29</v>
      </c>
      <c r="G52" s="30" t="s">
        <v>709</v>
      </c>
      <c r="H52" s="30" t="s">
        <v>533</v>
      </c>
      <c r="I52" s="36">
        <v>44408</v>
      </c>
      <c r="J52" s="30">
        <v>4</v>
      </c>
      <c r="K52" s="30">
        <v>51</v>
      </c>
      <c r="L52" s="30">
        <v>51</v>
      </c>
      <c r="M52" s="23">
        <f>((L52*32000)+(L52*32000)*10%)+8250+((0*150))</f>
        <v>1803450</v>
      </c>
      <c r="N52" s="21">
        <f t="shared" si="54"/>
        <v>61710</v>
      </c>
      <c r="O52" s="21">
        <f t="shared" si="55"/>
        <v>106887</v>
      </c>
      <c r="P52" s="21">
        <f>L52*1100</f>
        <v>56100</v>
      </c>
      <c r="Q52" s="14">
        <f t="shared" si="56"/>
        <v>2028147</v>
      </c>
      <c r="R52" s="21">
        <v>2434867</v>
      </c>
      <c r="S52" s="21" t="s">
        <v>717</v>
      </c>
      <c r="T52" s="21" t="s">
        <v>27</v>
      </c>
      <c r="U52" s="30"/>
      <c r="V52" s="30"/>
    </row>
    <row r="53" spans="1:22" x14ac:dyDescent="0.25">
      <c r="A53" s="26">
        <v>52</v>
      </c>
      <c r="B53" s="30" t="s">
        <v>708</v>
      </c>
      <c r="C53" s="26" t="s">
        <v>29</v>
      </c>
      <c r="D53" s="30" t="s">
        <v>491</v>
      </c>
      <c r="E53" s="30" t="s">
        <v>23</v>
      </c>
      <c r="F53" s="30" t="s">
        <v>29</v>
      </c>
      <c r="G53" s="30" t="s">
        <v>709</v>
      </c>
      <c r="H53" s="30" t="s">
        <v>533</v>
      </c>
      <c r="I53" s="36">
        <v>44408</v>
      </c>
      <c r="J53" s="30">
        <v>4</v>
      </c>
      <c r="K53" s="30">
        <v>10</v>
      </c>
      <c r="L53" s="30">
        <v>10</v>
      </c>
      <c r="M53" s="23">
        <f>((L53*32000)+(L53*32000)*10%)+8250+((0*150))</f>
        <v>360250</v>
      </c>
      <c r="N53" s="21">
        <f t="shared" ref="N53" si="57">L53*1210</f>
        <v>12100</v>
      </c>
      <c r="O53" s="21">
        <f t="shared" ref="O53" si="58">(L53*2037)+3000</f>
        <v>23370</v>
      </c>
      <c r="P53" s="21">
        <f>L53*1100</f>
        <v>11000</v>
      </c>
      <c r="Q53" s="14">
        <f t="shared" ref="Q53" si="59">SUM(M53:P53)</f>
        <v>406720</v>
      </c>
      <c r="R53" s="21">
        <v>2434867</v>
      </c>
      <c r="S53" s="21" t="s">
        <v>717</v>
      </c>
      <c r="T53" s="21" t="s">
        <v>27</v>
      </c>
      <c r="U53" s="30"/>
      <c r="V53" s="30"/>
    </row>
    <row r="54" spans="1:22" x14ac:dyDescent="0.25">
      <c r="A54" s="26">
        <v>53</v>
      </c>
      <c r="B54" s="37" t="s">
        <v>712</v>
      </c>
      <c r="C54" s="26" t="s">
        <v>29</v>
      </c>
      <c r="D54" s="30" t="s">
        <v>85</v>
      </c>
      <c r="E54" s="30" t="s">
        <v>737</v>
      </c>
      <c r="F54" s="30" t="s">
        <v>29</v>
      </c>
      <c r="G54" s="30" t="s">
        <v>713</v>
      </c>
      <c r="H54" s="30" t="s">
        <v>714</v>
      </c>
      <c r="I54" s="36">
        <v>44408</v>
      </c>
      <c r="J54" s="30">
        <v>1</v>
      </c>
      <c r="K54" s="30">
        <v>2</v>
      </c>
      <c r="L54" s="30">
        <v>10</v>
      </c>
      <c r="M54" s="23">
        <f>((L54*28000)+(L54*28000)*10%)+8250+((0*150))</f>
        <v>316250</v>
      </c>
      <c r="N54" s="21">
        <f t="shared" ref="N54" si="60">L54*1210</f>
        <v>12100</v>
      </c>
      <c r="O54" s="21">
        <f>(L54*2037)+3000</f>
        <v>23370</v>
      </c>
      <c r="P54" s="21">
        <f>L54*1100</f>
        <v>11000</v>
      </c>
      <c r="Q54" s="14">
        <f t="shared" ref="Q54" si="61">SUM(M54:P54)</f>
        <v>362720</v>
      </c>
      <c r="R54" s="21">
        <v>6084982</v>
      </c>
      <c r="S54" s="115" t="s">
        <v>889</v>
      </c>
      <c r="T54" s="21" t="s">
        <v>27</v>
      </c>
      <c r="U54" s="30"/>
      <c r="V54" s="30"/>
    </row>
    <row r="55" spans="1:22" x14ac:dyDescent="0.25">
      <c r="P55" s="93"/>
      <c r="Q55" s="81"/>
    </row>
    <row r="58" spans="1:22" x14ac:dyDescent="0.25">
      <c r="M58" s="129"/>
      <c r="N58" s="129"/>
    </row>
    <row r="59" spans="1:22" x14ac:dyDescent="0.25">
      <c r="M59" s="129"/>
      <c r="N59" s="129"/>
    </row>
    <row r="60" spans="1:22" x14ac:dyDescent="0.25">
      <c r="M60" s="129"/>
      <c r="N60" s="129"/>
    </row>
    <row r="61" spans="1:22" x14ac:dyDescent="0.25">
      <c r="M61" s="129"/>
      <c r="N61" s="129"/>
    </row>
    <row r="62" spans="1:22" x14ac:dyDescent="0.25">
      <c r="M62" s="129"/>
      <c r="N62" s="129"/>
    </row>
    <row r="63" spans="1:22" x14ac:dyDescent="0.25">
      <c r="M63" s="129"/>
      <c r="N63" s="129"/>
    </row>
    <row r="65" spans="13:18" x14ac:dyDescent="0.25">
      <c r="M65" s="81"/>
      <c r="N65" s="81"/>
      <c r="O65" s="81"/>
      <c r="P65" s="81"/>
      <c r="Q65" s="81"/>
      <c r="R65" s="81"/>
    </row>
  </sheetData>
  <autoFilter ref="A1:V56">
    <sortState ref="A2:V44">
      <sortCondition ref="I1:I14"/>
    </sortState>
  </autoFilter>
  <mergeCells count="3">
    <mergeCell ref="R32:R33"/>
    <mergeCell ref="S32:S33"/>
    <mergeCell ref="T32:T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15"/>
  <sheetViews>
    <sheetView topLeftCell="A56" workbookViewId="0">
      <pane xSplit="4" topLeftCell="K1" activePane="topRight" state="frozen"/>
      <selection pane="topRight" activeCell="U114" sqref="U114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24.5703125" style="79" bestFit="1" customWidth="1"/>
    <col min="5" max="5" width="12.7109375" style="79" bestFit="1" customWidth="1"/>
    <col min="6" max="8" width="10.42578125" style="79" bestFit="1" customWidth="1"/>
    <col min="9" max="9" width="10.42578125" style="80" bestFit="1" customWidth="1"/>
    <col min="10" max="12" width="10.5703125" style="79" bestFit="1" customWidth="1"/>
    <col min="13" max="13" width="12.85546875" style="79" customWidth="1"/>
    <col min="14" max="15" width="9.140625" style="79" customWidth="1"/>
    <col min="16" max="16" width="13.140625" style="79" bestFit="1" customWidth="1"/>
    <col min="17" max="19" width="14.140625" style="79" bestFit="1" customWidth="1"/>
    <col min="20" max="20" width="12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hidden="1" x14ac:dyDescent="0.25">
      <c r="A2" s="26">
        <v>1</v>
      </c>
      <c r="B2" s="69" t="s">
        <v>718</v>
      </c>
      <c r="C2" s="26" t="s">
        <v>29</v>
      </c>
      <c r="D2" s="69" t="s">
        <v>30</v>
      </c>
      <c r="E2" s="30" t="s">
        <v>473</v>
      </c>
      <c r="F2" s="69" t="s">
        <v>29</v>
      </c>
      <c r="G2" s="88" t="s">
        <v>35</v>
      </c>
      <c r="H2" s="85" t="s">
        <v>664</v>
      </c>
      <c r="I2" s="86">
        <v>44412</v>
      </c>
      <c r="J2" s="85">
        <v>7</v>
      </c>
      <c r="K2" s="85">
        <v>174</v>
      </c>
      <c r="L2" s="85">
        <v>174</v>
      </c>
      <c r="M2" s="23">
        <f>((L2*10000)+(L2*10000)*10%)+8250+((0*150))</f>
        <v>1922250</v>
      </c>
      <c r="N2" s="21">
        <f t="shared" ref="N2:N37" si="0">L2*1210</f>
        <v>210540</v>
      </c>
      <c r="O2" s="21">
        <f t="shared" ref="O2:O37" si="1">(L2*2037)+3000</f>
        <v>357438</v>
      </c>
      <c r="P2" s="21">
        <f>L2*2100</f>
        <v>365400</v>
      </c>
      <c r="Q2" s="14">
        <f t="shared" ref="Q2:Q33" si="2">SUM(M2:P2)</f>
        <v>2855628</v>
      </c>
      <c r="R2" s="121">
        <v>86168500</v>
      </c>
      <c r="S2" s="128" t="s">
        <v>1075</v>
      </c>
      <c r="T2" s="121" t="s">
        <v>27</v>
      </c>
      <c r="U2" s="30"/>
      <c r="V2" s="30"/>
    </row>
    <row r="3" spans="1:22" hidden="1" x14ac:dyDescent="0.25">
      <c r="A3" s="26">
        <v>2</v>
      </c>
      <c r="B3" s="69" t="s">
        <v>719</v>
      </c>
      <c r="C3" s="26" t="s">
        <v>29</v>
      </c>
      <c r="D3" s="69" t="s">
        <v>30</v>
      </c>
      <c r="E3" s="30" t="s">
        <v>473</v>
      </c>
      <c r="F3" s="69" t="s">
        <v>29</v>
      </c>
      <c r="G3" s="88" t="s">
        <v>171</v>
      </c>
      <c r="H3" s="85" t="s">
        <v>246</v>
      </c>
      <c r="I3" s="86">
        <v>44412</v>
      </c>
      <c r="J3" s="85">
        <v>1</v>
      </c>
      <c r="K3" s="85">
        <v>11</v>
      </c>
      <c r="L3" s="85">
        <v>18</v>
      </c>
      <c r="M3" s="23">
        <f>((L3*12000)+(L3*12000)*10%)+8250+((0*150))</f>
        <v>245850</v>
      </c>
      <c r="N3" s="21">
        <f t="shared" si="0"/>
        <v>21780</v>
      </c>
      <c r="O3" s="21">
        <f t="shared" si="1"/>
        <v>39666</v>
      </c>
      <c r="P3" s="21">
        <f>L3*2100</f>
        <v>37800</v>
      </c>
      <c r="Q3" s="14">
        <f t="shared" si="2"/>
        <v>345096</v>
      </c>
      <c r="R3" s="121">
        <v>86168500</v>
      </c>
      <c r="S3" s="128" t="s">
        <v>1075</v>
      </c>
      <c r="T3" s="121" t="s">
        <v>27</v>
      </c>
      <c r="U3" s="30"/>
      <c r="V3" s="30"/>
    </row>
    <row r="4" spans="1:22" hidden="1" x14ac:dyDescent="0.25">
      <c r="A4" s="26">
        <v>3</v>
      </c>
      <c r="B4" s="69" t="s">
        <v>720</v>
      </c>
      <c r="C4" s="26" t="s">
        <v>29</v>
      </c>
      <c r="D4" s="69" t="s">
        <v>30</v>
      </c>
      <c r="E4" s="30" t="s">
        <v>473</v>
      </c>
      <c r="F4" s="69" t="s">
        <v>29</v>
      </c>
      <c r="G4" s="88" t="s">
        <v>184</v>
      </c>
      <c r="H4" s="85" t="s">
        <v>724</v>
      </c>
      <c r="I4" s="86">
        <v>44412</v>
      </c>
      <c r="J4" s="85">
        <v>9</v>
      </c>
      <c r="K4" s="85">
        <v>154</v>
      </c>
      <c r="L4" s="85">
        <v>191</v>
      </c>
      <c r="M4" s="23">
        <f>((L4*14000)+(L4*14000)*10%)+8250+((0*150))</f>
        <v>2949650</v>
      </c>
      <c r="N4" s="21">
        <f t="shared" si="0"/>
        <v>231110</v>
      </c>
      <c r="O4" s="21">
        <f t="shared" si="1"/>
        <v>392067</v>
      </c>
      <c r="P4" s="21">
        <f>L4*2100</f>
        <v>401100</v>
      </c>
      <c r="Q4" s="14">
        <f t="shared" si="2"/>
        <v>3973927</v>
      </c>
      <c r="R4" s="121">
        <v>86168500</v>
      </c>
      <c r="S4" s="128" t="s">
        <v>1075</v>
      </c>
      <c r="T4" s="121" t="s">
        <v>27</v>
      </c>
      <c r="U4" s="30"/>
      <c r="V4" s="30"/>
    </row>
    <row r="5" spans="1:22" hidden="1" x14ac:dyDescent="0.25">
      <c r="A5" s="26">
        <v>4</v>
      </c>
      <c r="B5" s="114" t="s">
        <v>721</v>
      </c>
      <c r="C5" s="146" t="s">
        <v>29</v>
      </c>
      <c r="D5" s="114" t="s">
        <v>30</v>
      </c>
      <c r="E5" s="87" t="s">
        <v>473</v>
      </c>
      <c r="F5" s="114" t="s">
        <v>29</v>
      </c>
      <c r="G5" s="89" t="s">
        <v>79</v>
      </c>
      <c r="H5" s="91" t="s">
        <v>638</v>
      </c>
      <c r="I5" s="86">
        <v>44412</v>
      </c>
      <c r="J5" s="91">
        <v>3</v>
      </c>
      <c r="K5" s="91">
        <v>67</v>
      </c>
      <c r="L5" s="91">
        <v>68</v>
      </c>
      <c r="M5" s="23">
        <f>((L5*15000)+(L5*15000)*10%)+8250+((0*150))</f>
        <v>1130250</v>
      </c>
      <c r="N5" s="21">
        <f t="shared" si="0"/>
        <v>82280</v>
      </c>
      <c r="O5" s="21">
        <f t="shared" si="1"/>
        <v>141516</v>
      </c>
      <c r="P5" s="21">
        <f>L5*2100</f>
        <v>142800</v>
      </c>
      <c r="Q5" s="14">
        <f t="shared" si="2"/>
        <v>1496846</v>
      </c>
      <c r="R5" s="121">
        <v>86168500</v>
      </c>
      <c r="S5" s="128" t="s">
        <v>1075</v>
      </c>
      <c r="T5" s="121" t="s">
        <v>27</v>
      </c>
      <c r="U5" s="30"/>
      <c r="V5" s="30"/>
    </row>
    <row r="6" spans="1:22" ht="15" hidden="1" customHeight="1" x14ac:dyDescent="0.25">
      <c r="A6" s="26">
        <v>5</v>
      </c>
      <c r="B6" s="69" t="s">
        <v>722</v>
      </c>
      <c r="C6" s="26" t="s">
        <v>29</v>
      </c>
      <c r="D6" s="87" t="s">
        <v>687</v>
      </c>
      <c r="E6" s="87" t="s">
        <v>23</v>
      </c>
      <c r="F6" s="114" t="s">
        <v>29</v>
      </c>
      <c r="G6" s="114" t="s">
        <v>231</v>
      </c>
      <c r="H6" s="114" t="s">
        <v>638</v>
      </c>
      <c r="I6" s="92">
        <v>44412</v>
      </c>
      <c r="J6" s="114">
        <v>1</v>
      </c>
      <c r="K6" s="114">
        <v>19</v>
      </c>
      <c r="L6" s="114">
        <v>19</v>
      </c>
      <c r="M6" s="23">
        <f>((L6*24000)+(L6*24000)*10%)+8250+((0*150))</f>
        <v>509850</v>
      </c>
      <c r="N6" s="21">
        <f t="shared" si="0"/>
        <v>22990</v>
      </c>
      <c r="O6" s="21">
        <f t="shared" si="1"/>
        <v>41703</v>
      </c>
      <c r="P6" s="21">
        <f t="shared" ref="P6:P15" si="3">L6*1100</f>
        <v>20900</v>
      </c>
      <c r="Q6" s="14">
        <f t="shared" si="2"/>
        <v>595443</v>
      </c>
      <c r="R6" s="121">
        <v>595443</v>
      </c>
      <c r="S6" s="128" t="s">
        <v>736</v>
      </c>
      <c r="T6" s="121" t="s">
        <v>27</v>
      </c>
      <c r="U6" s="30"/>
      <c r="V6" s="30"/>
    </row>
    <row r="7" spans="1:22" hidden="1" x14ac:dyDescent="0.25">
      <c r="A7" s="26">
        <v>6</v>
      </c>
      <c r="B7" s="30" t="s">
        <v>723</v>
      </c>
      <c r="C7" s="26" t="s">
        <v>29</v>
      </c>
      <c r="D7" s="30" t="s">
        <v>491</v>
      </c>
      <c r="E7" s="30" t="s">
        <v>23</v>
      </c>
      <c r="F7" s="30" t="s">
        <v>29</v>
      </c>
      <c r="G7" s="30" t="s">
        <v>79</v>
      </c>
      <c r="H7" s="30" t="s">
        <v>725</v>
      </c>
      <c r="I7" s="111">
        <v>44413</v>
      </c>
      <c r="J7" s="30">
        <v>7</v>
      </c>
      <c r="K7" s="30">
        <v>138</v>
      </c>
      <c r="L7" s="30">
        <v>139</v>
      </c>
      <c r="M7" s="23">
        <f>((L7*15000)+(L7*15000)*10%)+8250+((0*150))</f>
        <v>2301750</v>
      </c>
      <c r="N7" s="21">
        <f t="shared" si="0"/>
        <v>168190</v>
      </c>
      <c r="O7" s="21">
        <f t="shared" si="1"/>
        <v>286143</v>
      </c>
      <c r="P7" s="21">
        <f t="shared" si="3"/>
        <v>152900</v>
      </c>
      <c r="Q7" s="14">
        <f t="shared" si="2"/>
        <v>2908983</v>
      </c>
      <c r="R7" s="122">
        <v>5189142</v>
      </c>
      <c r="S7" s="130" t="s">
        <v>740</v>
      </c>
      <c r="T7" s="122" t="s">
        <v>27</v>
      </c>
      <c r="U7" s="30"/>
      <c r="V7" s="30"/>
    </row>
    <row r="8" spans="1:22" hidden="1" x14ac:dyDescent="0.25">
      <c r="A8" s="26">
        <v>7</v>
      </c>
      <c r="B8" s="182" t="s">
        <v>726</v>
      </c>
      <c r="C8" s="26" t="s">
        <v>29</v>
      </c>
      <c r="D8" s="30" t="s">
        <v>85</v>
      </c>
      <c r="E8" s="30" t="s">
        <v>23</v>
      </c>
      <c r="F8" s="30" t="s">
        <v>29</v>
      </c>
      <c r="G8" s="30" t="s">
        <v>104</v>
      </c>
      <c r="H8" s="30" t="s">
        <v>105</v>
      </c>
      <c r="I8" s="111">
        <v>44414</v>
      </c>
      <c r="J8" s="30">
        <v>3</v>
      </c>
      <c r="K8" s="30">
        <v>52</v>
      </c>
      <c r="L8" s="30">
        <v>52</v>
      </c>
      <c r="M8" s="23">
        <f>((L8*35000)+(L8*35000)*10%)+8250+((L8*150))</f>
        <v>2018050</v>
      </c>
      <c r="N8" s="21">
        <f t="shared" si="0"/>
        <v>62920</v>
      </c>
      <c r="O8" s="21">
        <f t="shared" si="1"/>
        <v>108924</v>
      </c>
      <c r="P8" s="21">
        <f t="shared" si="3"/>
        <v>57200</v>
      </c>
      <c r="Q8" s="14">
        <f t="shared" si="2"/>
        <v>2247094</v>
      </c>
      <c r="R8" s="21">
        <v>6084982</v>
      </c>
      <c r="S8" s="115" t="s">
        <v>889</v>
      </c>
      <c r="T8" s="21" t="s">
        <v>27</v>
      </c>
      <c r="U8" s="30"/>
      <c r="V8" s="30"/>
    </row>
    <row r="9" spans="1:22" hidden="1" x14ac:dyDescent="0.25">
      <c r="A9" s="26">
        <v>8</v>
      </c>
      <c r="B9" s="182" t="s">
        <v>727</v>
      </c>
      <c r="C9" s="26" t="s">
        <v>29</v>
      </c>
      <c r="D9" s="30" t="s">
        <v>85</v>
      </c>
      <c r="E9" s="30" t="s">
        <v>23</v>
      </c>
      <c r="F9" s="30" t="s">
        <v>29</v>
      </c>
      <c r="G9" s="30" t="s">
        <v>72</v>
      </c>
      <c r="H9" s="30" t="s">
        <v>284</v>
      </c>
      <c r="I9" s="111">
        <v>44414</v>
      </c>
      <c r="J9" s="30">
        <v>3</v>
      </c>
      <c r="K9" s="30">
        <v>41</v>
      </c>
      <c r="L9" s="30">
        <v>41</v>
      </c>
      <c r="M9" s="23">
        <f>((L9*16500)+(L9*16500)*10%)+8250+((0*150))</f>
        <v>752400</v>
      </c>
      <c r="N9" s="21">
        <f t="shared" si="0"/>
        <v>49610</v>
      </c>
      <c r="O9" s="21">
        <f t="shared" si="1"/>
        <v>86517</v>
      </c>
      <c r="P9" s="21">
        <f t="shared" si="3"/>
        <v>45100</v>
      </c>
      <c r="Q9" s="14">
        <f t="shared" si="2"/>
        <v>933627</v>
      </c>
      <c r="R9" s="21">
        <v>6084982</v>
      </c>
      <c r="S9" s="115" t="s">
        <v>889</v>
      </c>
      <c r="T9" s="21" t="s">
        <v>27</v>
      </c>
      <c r="U9" s="30"/>
      <c r="V9" s="30"/>
    </row>
    <row r="10" spans="1:22" hidden="1" x14ac:dyDescent="0.25">
      <c r="A10" s="26">
        <v>9</v>
      </c>
      <c r="B10" s="30" t="s">
        <v>729</v>
      </c>
      <c r="C10" s="26" t="s">
        <v>29</v>
      </c>
      <c r="D10" s="30" t="s">
        <v>491</v>
      </c>
      <c r="E10" s="30" t="s">
        <v>23</v>
      </c>
      <c r="F10" s="30" t="s">
        <v>29</v>
      </c>
      <c r="G10" s="30" t="s">
        <v>24</v>
      </c>
      <c r="H10" s="30" t="s">
        <v>128</v>
      </c>
      <c r="I10" s="111">
        <v>44415</v>
      </c>
      <c r="J10" s="30">
        <v>2</v>
      </c>
      <c r="K10" s="30">
        <v>30</v>
      </c>
      <c r="L10" s="30">
        <v>30</v>
      </c>
      <c r="M10" s="23">
        <f>((L10*22000)+(L10*22000)*10%)+8250+((L10*150))</f>
        <v>738750</v>
      </c>
      <c r="N10" s="21">
        <f t="shared" si="0"/>
        <v>36300</v>
      </c>
      <c r="O10" s="21">
        <f t="shared" si="1"/>
        <v>64110</v>
      </c>
      <c r="P10" s="21">
        <f t="shared" si="3"/>
        <v>33000</v>
      </c>
      <c r="Q10" s="14">
        <f t="shared" si="2"/>
        <v>872160</v>
      </c>
      <c r="R10" s="122">
        <v>5189142</v>
      </c>
      <c r="S10" s="130" t="s">
        <v>740</v>
      </c>
      <c r="T10" s="122" t="s">
        <v>27</v>
      </c>
      <c r="U10" s="30"/>
      <c r="V10" s="30"/>
    </row>
    <row r="11" spans="1:22" hidden="1" x14ac:dyDescent="0.25">
      <c r="A11" s="26">
        <v>10</v>
      </c>
      <c r="B11" s="30" t="s">
        <v>731</v>
      </c>
      <c r="C11" s="26" t="s">
        <v>29</v>
      </c>
      <c r="D11" s="30" t="s">
        <v>491</v>
      </c>
      <c r="E11" s="30" t="s">
        <v>23</v>
      </c>
      <c r="F11" s="30" t="s">
        <v>29</v>
      </c>
      <c r="G11" s="30" t="s">
        <v>79</v>
      </c>
      <c r="H11" s="30" t="s">
        <v>725</v>
      </c>
      <c r="I11" s="111">
        <v>44415</v>
      </c>
      <c r="J11" s="30">
        <v>2</v>
      </c>
      <c r="K11" s="30">
        <v>67</v>
      </c>
      <c r="L11" s="30">
        <v>67</v>
      </c>
      <c r="M11" s="23">
        <f>((L11*15000)+(L11*15000)*10%)+8250+((0*150))</f>
        <v>1113750</v>
      </c>
      <c r="N11" s="21">
        <f t="shared" si="0"/>
        <v>81070</v>
      </c>
      <c r="O11" s="21">
        <f t="shared" si="1"/>
        <v>139479</v>
      </c>
      <c r="P11" s="21">
        <f t="shared" si="3"/>
        <v>73700</v>
      </c>
      <c r="Q11" s="14">
        <f t="shared" si="2"/>
        <v>1407999</v>
      </c>
      <c r="R11" s="122">
        <v>5189142</v>
      </c>
      <c r="S11" s="130" t="s">
        <v>740</v>
      </c>
      <c r="T11" s="122" t="s">
        <v>27</v>
      </c>
      <c r="U11" s="30"/>
      <c r="V11" s="30"/>
    </row>
    <row r="12" spans="1:22" hidden="1" x14ac:dyDescent="0.25">
      <c r="A12" s="26">
        <v>11</v>
      </c>
      <c r="B12" s="69" t="s">
        <v>728</v>
      </c>
      <c r="C12" s="26" t="s">
        <v>29</v>
      </c>
      <c r="D12" s="30" t="s">
        <v>687</v>
      </c>
      <c r="E12" s="30" t="s">
        <v>23</v>
      </c>
      <c r="F12" s="69" t="s">
        <v>29</v>
      </c>
      <c r="G12" s="69" t="s">
        <v>231</v>
      </c>
      <c r="H12" s="69" t="s">
        <v>638</v>
      </c>
      <c r="I12" s="111">
        <v>44415</v>
      </c>
      <c r="J12" s="30">
        <v>1</v>
      </c>
      <c r="K12" s="30">
        <v>20</v>
      </c>
      <c r="L12" s="30">
        <v>20</v>
      </c>
      <c r="M12" s="23">
        <f>((L12*24000)+(L12*24000)*10%)+8250+((0*150))</f>
        <v>536250</v>
      </c>
      <c r="N12" s="21">
        <f t="shared" si="0"/>
        <v>24200</v>
      </c>
      <c r="O12" s="21">
        <f t="shared" si="1"/>
        <v>43740</v>
      </c>
      <c r="P12" s="21">
        <f t="shared" si="3"/>
        <v>22000</v>
      </c>
      <c r="Q12" s="14">
        <f t="shared" si="2"/>
        <v>626190</v>
      </c>
      <c r="R12" s="122">
        <v>2608843</v>
      </c>
      <c r="S12" s="130" t="s">
        <v>823</v>
      </c>
      <c r="T12" s="122" t="s">
        <v>27</v>
      </c>
      <c r="U12" s="30"/>
      <c r="V12" s="30"/>
    </row>
    <row r="13" spans="1:22" hidden="1" x14ac:dyDescent="0.25">
      <c r="A13" s="26">
        <v>12</v>
      </c>
      <c r="B13" s="30" t="s">
        <v>730</v>
      </c>
      <c r="C13" s="26" t="s">
        <v>29</v>
      </c>
      <c r="D13" s="30" t="s">
        <v>687</v>
      </c>
      <c r="E13" s="30" t="s">
        <v>23</v>
      </c>
      <c r="F13" s="30" t="s">
        <v>29</v>
      </c>
      <c r="G13" s="30" t="s">
        <v>24</v>
      </c>
      <c r="H13" s="30" t="s">
        <v>128</v>
      </c>
      <c r="I13" s="111">
        <v>44415</v>
      </c>
      <c r="J13" s="30">
        <v>1</v>
      </c>
      <c r="K13" s="30">
        <v>20</v>
      </c>
      <c r="L13" s="30">
        <v>20</v>
      </c>
      <c r="M13" s="23">
        <f>((L13*22000)+(L13*22000)*10%)+8250+((L13*150))</f>
        <v>495250</v>
      </c>
      <c r="N13" s="21">
        <f t="shared" si="0"/>
        <v>24200</v>
      </c>
      <c r="O13" s="21">
        <f t="shared" si="1"/>
        <v>43740</v>
      </c>
      <c r="P13" s="21">
        <f t="shared" si="3"/>
        <v>22000</v>
      </c>
      <c r="Q13" s="14">
        <f t="shared" si="2"/>
        <v>585190</v>
      </c>
      <c r="R13" s="122">
        <v>2608843</v>
      </c>
      <c r="S13" s="130" t="s">
        <v>823</v>
      </c>
      <c r="T13" s="122" t="s">
        <v>27</v>
      </c>
      <c r="U13" s="30"/>
      <c r="V13" s="30"/>
    </row>
    <row r="14" spans="1:22" hidden="1" x14ac:dyDescent="0.25">
      <c r="A14" s="26">
        <v>13</v>
      </c>
      <c r="B14" s="30" t="s">
        <v>732</v>
      </c>
      <c r="C14" s="26" t="s">
        <v>29</v>
      </c>
      <c r="D14" s="30" t="s">
        <v>734</v>
      </c>
      <c r="E14" s="30" t="s">
        <v>23</v>
      </c>
      <c r="F14" s="30" t="s">
        <v>29</v>
      </c>
      <c r="G14" s="30" t="s">
        <v>60</v>
      </c>
      <c r="H14" s="30" t="s">
        <v>61</v>
      </c>
      <c r="I14" s="111">
        <v>44416</v>
      </c>
      <c r="J14" s="30">
        <v>4</v>
      </c>
      <c r="K14" s="30">
        <v>131</v>
      </c>
      <c r="L14" s="30">
        <v>131</v>
      </c>
      <c r="M14" s="23">
        <f>((L14*14200)+(L14*14200)*10%)+8250+((0*150))</f>
        <v>2054470</v>
      </c>
      <c r="N14" s="21">
        <f t="shared" si="0"/>
        <v>158510</v>
      </c>
      <c r="O14" s="21">
        <f t="shared" si="1"/>
        <v>269847</v>
      </c>
      <c r="P14" s="21">
        <f t="shared" si="3"/>
        <v>144100</v>
      </c>
      <c r="Q14" s="14">
        <f t="shared" si="2"/>
        <v>2626927</v>
      </c>
      <c r="R14" s="122">
        <v>4132211</v>
      </c>
      <c r="S14" s="122" t="s">
        <v>841</v>
      </c>
      <c r="T14" s="122" t="s">
        <v>27</v>
      </c>
      <c r="U14" s="30"/>
      <c r="V14" s="30"/>
    </row>
    <row r="15" spans="1:22" hidden="1" x14ac:dyDescent="0.25">
      <c r="A15" s="26">
        <v>14</v>
      </c>
      <c r="B15" s="30" t="s">
        <v>733</v>
      </c>
      <c r="C15" s="26" t="s">
        <v>29</v>
      </c>
      <c r="D15" s="30" t="s">
        <v>687</v>
      </c>
      <c r="E15" s="30" t="s">
        <v>23</v>
      </c>
      <c r="F15" s="30" t="s">
        <v>29</v>
      </c>
      <c r="G15" s="30" t="s">
        <v>171</v>
      </c>
      <c r="H15" s="30" t="s">
        <v>735</v>
      </c>
      <c r="I15" s="111">
        <v>44416</v>
      </c>
      <c r="J15" s="30">
        <v>5</v>
      </c>
      <c r="K15" s="30">
        <v>79</v>
      </c>
      <c r="L15" s="30">
        <v>79</v>
      </c>
      <c r="M15" s="23">
        <f>((L15*12000)+(L15*12000)*10%)+8250+((0*150))</f>
        <v>1051050</v>
      </c>
      <c r="N15" s="21">
        <f t="shared" si="0"/>
        <v>95590</v>
      </c>
      <c r="O15" s="21">
        <f t="shared" si="1"/>
        <v>163923</v>
      </c>
      <c r="P15" s="21">
        <f t="shared" si="3"/>
        <v>86900</v>
      </c>
      <c r="Q15" s="14">
        <f t="shared" si="2"/>
        <v>1397463</v>
      </c>
      <c r="R15" s="122">
        <v>2608843</v>
      </c>
      <c r="S15" s="130" t="s">
        <v>823</v>
      </c>
      <c r="T15" s="122" t="s">
        <v>27</v>
      </c>
      <c r="U15" s="30"/>
      <c r="V15" s="30"/>
    </row>
    <row r="16" spans="1:22" hidden="1" x14ac:dyDescent="0.25">
      <c r="A16" s="26">
        <v>15</v>
      </c>
      <c r="B16" s="30" t="s">
        <v>739</v>
      </c>
      <c r="C16" s="26" t="s">
        <v>29</v>
      </c>
      <c r="D16" s="30" t="s">
        <v>30</v>
      </c>
      <c r="E16" s="30" t="s">
        <v>473</v>
      </c>
      <c r="F16" s="30" t="s">
        <v>29</v>
      </c>
      <c r="G16" s="30" t="s">
        <v>79</v>
      </c>
      <c r="H16" s="30" t="s">
        <v>89</v>
      </c>
      <c r="I16" s="111">
        <v>44418</v>
      </c>
      <c r="J16" s="30">
        <v>6</v>
      </c>
      <c r="K16" s="30">
        <v>132</v>
      </c>
      <c r="L16" s="30">
        <v>132</v>
      </c>
      <c r="M16" s="23">
        <f>((L16*15000)+(L16*15000)*10%)+8250+((0*150))</f>
        <v>2186250</v>
      </c>
      <c r="N16" s="21">
        <f t="shared" si="0"/>
        <v>159720</v>
      </c>
      <c r="O16" s="21">
        <f t="shared" si="1"/>
        <v>271884</v>
      </c>
      <c r="P16" s="21">
        <f>L16*2100</f>
        <v>277200</v>
      </c>
      <c r="Q16" s="14">
        <f t="shared" si="2"/>
        <v>2895054</v>
      </c>
      <c r="R16" s="121">
        <v>86168500</v>
      </c>
      <c r="S16" s="128" t="s">
        <v>1075</v>
      </c>
      <c r="T16" s="121" t="s">
        <v>27</v>
      </c>
      <c r="U16" s="30"/>
      <c r="V16" s="30"/>
    </row>
    <row r="17" spans="1:23" hidden="1" x14ac:dyDescent="0.25">
      <c r="A17" s="26">
        <v>16</v>
      </c>
      <c r="B17" s="30" t="s">
        <v>738</v>
      </c>
      <c r="C17" s="26" t="s">
        <v>29</v>
      </c>
      <c r="D17" s="30" t="s">
        <v>53</v>
      </c>
      <c r="E17" s="30" t="s">
        <v>595</v>
      </c>
      <c r="F17" s="30" t="s">
        <v>29</v>
      </c>
      <c r="G17" s="30" t="s">
        <v>79</v>
      </c>
      <c r="H17" s="30" t="s">
        <v>89</v>
      </c>
      <c r="I17" s="111">
        <v>44418</v>
      </c>
      <c r="J17" s="30">
        <v>3</v>
      </c>
      <c r="K17" s="30">
        <v>27</v>
      </c>
      <c r="L17" s="30">
        <v>27</v>
      </c>
      <c r="M17" s="23">
        <f>((L17*15000)+(L17*15000)*10%)+8250+((0*150))</f>
        <v>453750</v>
      </c>
      <c r="N17" s="21">
        <f t="shared" si="0"/>
        <v>32670</v>
      </c>
      <c r="O17" s="21">
        <f t="shared" si="1"/>
        <v>57999</v>
      </c>
      <c r="P17" s="21">
        <f>L17*500</f>
        <v>13500</v>
      </c>
      <c r="Q17" s="14">
        <f t="shared" si="2"/>
        <v>557919</v>
      </c>
      <c r="R17" s="122">
        <v>557919</v>
      </c>
      <c r="S17" s="130" t="s">
        <v>790</v>
      </c>
      <c r="T17" s="122" t="s">
        <v>27</v>
      </c>
      <c r="U17" s="30"/>
      <c r="V17" s="30"/>
    </row>
    <row r="18" spans="1:23" hidden="1" x14ac:dyDescent="0.25">
      <c r="A18" s="26">
        <v>17</v>
      </c>
      <c r="B18" s="30" t="s">
        <v>741</v>
      </c>
      <c r="C18" s="26" t="s">
        <v>29</v>
      </c>
      <c r="D18" s="30" t="s">
        <v>574</v>
      </c>
      <c r="E18" s="30" t="s">
        <v>23</v>
      </c>
      <c r="F18" s="30" t="s">
        <v>29</v>
      </c>
      <c r="G18" s="30" t="s">
        <v>241</v>
      </c>
      <c r="H18" s="30" t="s">
        <v>242</v>
      </c>
      <c r="I18" s="111">
        <v>44419</v>
      </c>
      <c r="J18" s="30">
        <v>1</v>
      </c>
      <c r="K18" s="30">
        <v>34</v>
      </c>
      <c r="L18" s="30">
        <v>34</v>
      </c>
      <c r="M18" s="23">
        <f>((L18*27500)+(L18*27500)*10%)+8250+((L18*165))</f>
        <v>1042360</v>
      </c>
      <c r="N18" s="21">
        <f t="shared" si="0"/>
        <v>41140</v>
      </c>
      <c r="O18" s="21">
        <f t="shared" si="1"/>
        <v>72258</v>
      </c>
      <c r="P18" s="21">
        <f>L18*2500</f>
        <v>85000</v>
      </c>
      <c r="Q18" s="14">
        <f t="shared" si="2"/>
        <v>1240758</v>
      </c>
      <c r="R18" s="122">
        <v>27569147</v>
      </c>
      <c r="S18" s="130" t="s">
        <v>967</v>
      </c>
      <c r="T18" s="122" t="s">
        <v>27</v>
      </c>
      <c r="U18" s="30"/>
      <c r="V18" s="30"/>
    </row>
    <row r="19" spans="1:23" x14ac:dyDescent="0.25">
      <c r="A19" s="26">
        <v>18</v>
      </c>
      <c r="B19" s="30" t="s">
        <v>742</v>
      </c>
      <c r="C19" s="26" t="s">
        <v>29</v>
      </c>
      <c r="D19" s="30" t="s">
        <v>744</v>
      </c>
      <c r="E19" s="30" t="s">
        <v>23</v>
      </c>
      <c r="F19" s="30" t="s">
        <v>29</v>
      </c>
      <c r="G19" s="30" t="s">
        <v>45</v>
      </c>
      <c r="H19" s="30" t="s">
        <v>238</v>
      </c>
      <c r="I19" s="111">
        <v>44419</v>
      </c>
      <c r="J19" s="30">
        <v>1</v>
      </c>
      <c r="K19" s="30">
        <v>13</v>
      </c>
      <c r="L19" s="30">
        <v>14</v>
      </c>
      <c r="M19" s="23">
        <f>((L19*35500)+(L19*35500)*10%)+8250+((L19*165))</f>
        <v>557260</v>
      </c>
      <c r="N19" s="21">
        <f t="shared" si="0"/>
        <v>16940</v>
      </c>
      <c r="O19" s="21">
        <f t="shared" si="1"/>
        <v>31518</v>
      </c>
      <c r="P19" s="21">
        <f>L19*1200</f>
        <v>16800</v>
      </c>
      <c r="Q19" s="14">
        <f t="shared" si="2"/>
        <v>622518</v>
      </c>
      <c r="R19" s="122" t="s">
        <v>94</v>
      </c>
      <c r="S19" s="122" t="s">
        <v>94</v>
      </c>
      <c r="T19" s="122" t="s">
        <v>94</v>
      </c>
      <c r="U19" s="30"/>
      <c r="V19" s="30"/>
    </row>
    <row r="20" spans="1:23" hidden="1" x14ac:dyDescent="0.25">
      <c r="A20" s="26">
        <v>19</v>
      </c>
      <c r="B20" s="30" t="s">
        <v>743</v>
      </c>
      <c r="C20" s="26" t="s">
        <v>29</v>
      </c>
      <c r="D20" s="30" t="s">
        <v>734</v>
      </c>
      <c r="E20" s="30" t="s">
        <v>23</v>
      </c>
      <c r="F20" s="30" t="s">
        <v>29</v>
      </c>
      <c r="G20" s="30" t="s">
        <v>69</v>
      </c>
      <c r="H20" s="30" t="s">
        <v>488</v>
      </c>
      <c r="I20" s="111">
        <v>44419</v>
      </c>
      <c r="J20" s="30">
        <v>1</v>
      </c>
      <c r="K20" s="30">
        <v>4</v>
      </c>
      <c r="L20" s="30">
        <v>10</v>
      </c>
      <c r="M20" s="23">
        <f>((L20*11000)+(L20*11000)*10%)+8250+((0*150))</f>
        <v>129250</v>
      </c>
      <c r="N20" s="21">
        <f t="shared" si="0"/>
        <v>12100</v>
      </c>
      <c r="O20" s="21">
        <f t="shared" si="1"/>
        <v>23370</v>
      </c>
      <c r="P20" s="21">
        <f t="shared" ref="P20:P25" si="4">L20*1100</f>
        <v>11000</v>
      </c>
      <c r="Q20" s="14">
        <f t="shared" si="2"/>
        <v>175720</v>
      </c>
      <c r="R20" s="122">
        <v>4132211</v>
      </c>
      <c r="S20" s="122" t="s">
        <v>841</v>
      </c>
      <c r="T20" s="122" t="s">
        <v>27</v>
      </c>
      <c r="U20" s="30"/>
      <c r="V20" s="30"/>
    </row>
    <row r="21" spans="1:23" hidden="1" x14ac:dyDescent="0.25">
      <c r="A21" s="26">
        <v>20</v>
      </c>
      <c r="B21" s="30" t="s">
        <v>745</v>
      </c>
      <c r="C21" s="26" t="s">
        <v>29</v>
      </c>
      <c r="D21" s="30" t="s">
        <v>747</v>
      </c>
      <c r="E21" s="30" t="s">
        <v>23</v>
      </c>
      <c r="F21" s="30" t="s">
        <v>29</v>
      </c>
      <c r="G21" s="30" t="s">
        <v>241</v>
      </c>
      <c r="H21" s="30" t="s">
        <v>110</v>
      </c>
      <c r="I21" s="111">
        <v>44420</v>
      </c>
      <c r="J21" s="30">
        <v>2</v>
      </c>
      <c r="K21" s="30">
        <v>80</v>
      </c>
      <c r="L21" s="30">
        <v>90</v>
      </c>
      <c r="M21" s="23">
        <f>((L21*27500)+(L21*27500)*10%)+8250+((L21*165))</f>
        <v>2745600</v>
      </c>
      <c r="N21" s="21">
        <f t="shared" si="0"/>
        <v>108900</v>
      </c>
      <c r="O21" s="21">
        <f t="shared" si="1"/>
        <v>186330</v>
      </c>
      <c r="P21" s="21">
        <f t="shared" si="4"/>
        <v>99000</v>
      </c>
      <c r="Q21" s="14">
        <f t="shared" si="2"/>
        <v>3139830</v>
      </c>
      <c r="R21" s="122">
        <v>3138480</v>
      </c>
      <c r="S21" s="130" t="s">
        <v>749</v>
      </c>
      <c r="T21" s="122" t="s">
        <v>27</v>
      </c>
      <c r="U21" s="30"/>
      <c r="V21" s="30"/>
    </row>
    <row r="22" spans="1:23" hidden="1" x14ac:dyDescent="0.25">
      <c r="A22" s="26">
        <v>21</v>
      </c>
      <c r="B22" s="30" t="s">
        <v>746</v>
      </c>
      <c r="C22" s="26" t="s">
        <v>29</v>
      </c>
      <c r="D22" s="30" t="s">
        <v>748</v>
      </c>
      <c r="E22" s="30" t="s">
        <v>23</v>
      </c>
      <c r="F22" s="30" t="s">
        <v>29</v>
      </c>
      <c r="G22" s="30" t="s">
        <v>24</v>
      </c>
      <c r="H22" s="30" t="s">
        <v>128</v>
      </c>
      <c r="I22" s="111">
        <v>44420</v>
      </c>
      <c r="J22" s="30">
        <v>11</v>
      </c>
      <c r="K22" s="30">
        <v>292</v>
      </c>
      <c r="L22" s="30">
        <v>292</v>
      </c>
      <c r="M22" s="23">
        <f>((L22*22000)+(L22*22000)*10%)+8250+((L22*165))</f>
        <v>7122830</v>
      </c>
      <c r="N22" s="21">
        <f t="shared" si="0"/>
        <v>353320</v>
      </c>
      <c r="O22" s="21">
        <f t="shared" si="1"/>
        <v>597804</v>
      </c>
      <c r="P22" s="21">
        <f t="shared" si="4"/>
        <v>321200</v>
      </c>
      <c r="Q22" s="14">
        <f t="shared" si="2"/>
        <v>8395154</v>
      </c>
      <c r="R22" s="122">
        <v>9412832</v>
      </c>
      <c r="S22" s="130" t="s">
        <v>750</v>
      </c>
      <c r="T22" s="122" t="s">
        <v>27</v>
      </c>
      <c r="U22" s="30"/>
      <c r="V22" s="30"/>
    </row>
    <row r="23" spans="1:23" hidden="1" x14ac:dyDescent="0.25">
      <c r="A23" s="26">
        <v>22</v>
      </c>
      <c r="B23" s="183" t="s">
        <v>751</v>
      </c>
      <c r="C23" s="26" t="s">
        <v>29</v>
      </c>
      <c r="D23" s="30" t="s">
        <v>85</v>
      </c>
      <c r="E23" s="30" t="s">
        <v>23</v>
      </c>
      <c r="F23" s="30" t="s">
        <v>29</v>
      </c>
      <c r="G23" s="30" t="s">
        <v>72</v>
      </c>
      <c r="H23" s="30" t="s">
        <v>284</v>
      </c>
      <c r="I23" s="111">
        <v>44421</v>
      </c>
      <c r="J23" s="30">
        <v>6</v>
      </c>
      <c r="K23" s="30">
        <v>42</v>
      </c>
      <c r="L23" s="30">
        <v>42</v>
      </c>
      <c r="M23" s="23">
        <f>((L23*16500)+(L23*16500)*10%)+8250+((0*165))</f>
        <v>770550</v>
      </c>
      <c r="N23" s="21">
        <f t="shared" si="0"/>
        <v>50820</v>
      </c>
      <c r="O23" s="21">
        <f t="shared" si="1"/>
        <v>88554</v>
      </c>
      <c r="P23" s="21">
        <f t="shared" si="4"/>
        <v>46200</v>
      </c>
      <c r="Q23" s="14">
        <f t="shared" si="2"/>
        <v>956124</v>
      </c>
      <c r="R23" s="122">
        <v>6103828</v>
      </c>
      <c r="S23" s="130" t="s">
        <v>1010</v>
      </c>
      <c r="T23" s="21" t="s">
        <v>27</v>
      </c>
      <c r="U23" s="30"/>
      <c r="V23" s="30"/>
      <c r="W23" s="79" t="s">
        <v>1030</v>
      </c>
    </row>
    <row r="24" spans="1:23" hidden="1" x14ac:dyDescent="0.25">
      <c r="A24" s="26">
        <v>23</v>
      </c>
      <c r="B24" s="183" t="s">
        <v>753</v>
      </c>
      <c r="C24" s="26" t="s">
        <v>29</v>
      </c>
      <c r="D24" s="30" t="s">
        <v>85</v>
      </c>
      <c r="E24" s="30" t="s">
        <v>23</v>
      </c>
      <c r="F24" s="30" t="s">
        <v>29</v>
      </c>
      <c r="G24" s="30" t="s">
        <v>713</v>
      </c>
      <c r="H24" s="30" t="s">
        <v>714</v>
      </c>
      <c r="I24" s="111">
        <v>44421</v>
      </c>
      <c r="J24" s="30">
        <v>8</v>
      </c>
      <c r="K24" s="30">
        <v>92</v>
      </c>
      <c r="L24" s="30">
        <v>99</v>
      </c>
      <c r="M24" s="23">
        <f>((L24*14000)+(L24*14000)*10%)+8250+((0*165))</f>
        <v>1532850</v>
      </c>
      <c r="N24" s="21">
        <f t="shared" si="0"/>
        <v>119790</v>
      </c>
      <c r="O24" s="21">
        <f t="shared" si="1"/>
        <v>204663</v>
      </c>
      <c r="P24" s="21">
        <f t="shared" si="4"/>
        <v>108900</v>
      </c>
      <c r="Q24" s="14">
        <f t="shared" si="2"/>
        <v>1966203</v>
      </c>
      <c r="R24" s="122">
        <v>6103828</v>
      </c>
      <c r="S24" s="130" t="s">
        <v>1010</v>
      </c>
      <c r="T24" s="21" t="s">
        <v>27</v>
      </c>
      <c r="U24" s="30"/>
      <c r="V24" s="30"/>
    </row>
    <row r="25" spans="1:23" hidden="1" x14ac:dyDescent="0.25">
      <c r="A25" s="26">
        <v>24</v>
      </c>
      <c r="B25" s="30" t="s">
        <v>752</v>
      </c>
      <c r="C25" s="26" t="s">
        <v>29</v>
      </c>
      <c r="D25" s="30" t="s">
        <v>734</v>
      </c>
      <c r="E25" s="30" t="s">
        <v>23</v>
      </c>
      <c r="F25" s="30" t="s">
        <v>29</v>
      </c>
      <c r="G25" s="30" t="s">
        <v>171</v>
      </c>
      <c r="H25" s="30" t="s">
        <v>246</v>
      </c>
      <c r="I25" s="111">
        <v>44421</v>
      </c>
      <c r="J25" s="30">
        <v>2</v>
      </c>
      <c r="K25" s="30">
        <v>26</v>
      </c>
      <c r="L25" s="30">
        <v>41</v>
      </c>
      <c r="M25" s="23">
        <f>((L25*12000)+(L25*12000)*10%)+8250+((0*165))</f>
        <v>549450</v>
      </c>
      <c r="N25" s="21">
        <f t="shared" si="0"/>
        <v>49610</v>
      </c>
      <c r="O25" s="21">
        <f t="shared" si="1"/>
        <v>86517</v>
      </c>
      <c r="P25" s="21">
        <f t="shared" si="4"/>
        <v>45100</v>
      </c>
      <c r="Q25" s="14">
        <f t="shared" si="2"/>
        <v>730677</v>
      </c>
      <c r="R25" s="122">
        <v>4132211</v>
      </c>
      <c r="S25" s="122" t="s">
        <v>841</v>
      </c>
      <c r="T25" s="122" t="s">
        <v>27</v>
      </c>
      <c r="U25" s="30"/>
      <c r="V25" s="30"/>
    </row>
    <row r="26" spans="1:23" hidden="1" x14ac:dyDescent="0.25">
      <c r="A26" s="26">
        <v>25</v>
      </c>
      <c r="B26" s="69" t="s">
        <v>754</v>
      </c>
      <c r="C26" s="26" t="s">
        <v>29</v>
      </c>
      <c r="D26" s="69" t="s">
        <v>30</v>
      </c>
      <c r="E26" s="30" t="s">
        <v>473</v>
      </c>
      <c r="F26" s="69" t="s">
        <v>29</v>
      </c>
      <c r="G26" s="69" t="s">
        <v>69</v>
      </c>
      <c r="H26" s="69" t="s">
        <v>488</v>
      </c>
      <c r="I26" s="131">
        <v>44422</v>
      </c>
      <c r="J26" s="69">
        <v>7</v>
      </c>
      <c r="K26" s="71">
        <v>203</v>
      </c>
      <c r="L26" s="71">
        <v>203</v>
      </c>
      <c r="M26" s="23">
        <f>((L26*11000)+(L26*11000)*10%)+8250+((0*150))</f>
        <v>2464550</v>
      </c>
      <c r="N26" s="21">
        <f t="shared" si="0"/>
        <v>245630</v>
      </c>
      <c r="O26" s="21">
        <f t="shared" si="1"/>
        <v>416511</v>
      </c>
      <c r="P26" s="21">
        <f>L26*2100</f>
        <v>426300</v>
      </c>
      <c r="Q26" s="14">
        <f t="shared" si="2"/>
        <v>3552991</v>
      </c>
      <c r="R26" s="121">
        <v>86168500</v>
      </c>
      <c r="S26" s="128" t="s">
        <v>1075</v>
      </c>
      <c r="T26" s="121" t="s">
        <v>27</v>
      </c>
      <c r="U26" s="30"/>
      <c r="V26" s="30"/>
    </row>
    <row r="27" spans="1:23" hidden="1" x14ac:dyDescent="0.25">
      <c r="A27" s="26">
        <v>26</v>
      </c>
      <c r="B27" s="69" t="s">
        <v>755</v>
      </c>
      <c r="C27" s="26" t="s">
        <v>29</v>
      </c>
      <c r="D27" s="69" t="s">
        <v>30</v>
      </c>
      <c r="E27" s="30" t="s">
        <v>473</v>
      </c>
      <c r="F27" s="69" t="s">
        <v>29</v>
      </c>
      <c r="G27" s="69" t="s">
        <v>210</v>
      </c>
      <c r="H27" s="69" t="s">
        <v>516</v>
      </c>
      <c r="I27" s="131">
        <v>44422</v>
      </c>
      <c r="J27" s="69">
        <v>9</v>
      </c>
      <c r="K27" s="71">
        <v>284</v>
      </c>
      <c r="L27" s="71">
        <v>284</v>
      </c>
      <c r="M27" s="23">
        <f>((L27*8500)+(L27*8500)*10%)+8250+((0*150))</f>
        <v>2663650</v>
      </c>
      <c r="N27" s="21">
        <f t="shared" si="0"/>
        <v>343640</v>
      </c>
      <c r="O27" s="21">
        <f t="shared" si="1"/>
        <v>581508</v>
      </c>
      <c r="P27" s="21">
        <f>L27*2100</f>
        <v>596400</v>
      </c>
      <c r="Q27" s="14">
        <f t="shared" si="2"/>
        <v>4185198</v>
      </c>
      <c r="R27" s="121">
        <v>86168500</v>
      </c>
      <c r="S27" s="128" t="s">
        <v>1075</v>
      </c>
      <c r="T27" s="121" t="s">
        <v>27</v>
      </c>
      <c r="U27" s="30"/>
      <c r="V27" s="30"/>
    </row>
    <row r="28" spans="1:23" hidden="1" x14ac:dyDescent="0.25">
      <c r="A28" s="26">
        <v>27</v>
      </c>
      <c r="B28" s="69" t="s">
        <v>756</v>
      </c>
      <c r="C28" s="26" t="s">
        <v>29</v>
      </c>
      <c r="D28" s="69" t="s">
        <v>30</v>
      </c>
      <c r="E28" s="30" t="s">
        <v>473</v>
      </c>
      <c r="F28" s="69" t="s">
        <v>29</v>
      </c>
      <c r="G28" s="69" t="s">
        <v>263</v>
      </c>
      <c r="H28" s="69" t="s">
        <v>264</v>
      </c>
      <c r="I28" s="131">
        <v>44422</v>
      </c>
      <c r="J28" s="69">
        <v>7</v>
      </c>
      <c r="K28" s="71">
        <v>203</v>
      </c>
      <c r="L28" s="71">
        <v>203</v>
      </c>
      <c r="M28" s="23">
        <f>((L28*10500)+(L28*10500)*10%)+8250+((0*150))</f>
        <v>2352900</v>
      </c>
      <c r="N28" s="21">
        <f t="shared" si="0"/>
        <v>245630</v>
      </c>
      <c r="O28" s="21">
        <f t="shared" si="1"/>
        <v>416511</v>
      </c>
      <c r="P28" s="21">
        <f>L28*2100</f>
        <v>426300</v>
      </c>
      <c r="Q28" s="14">
        <f t="shared" si="2"/>
        <v>3441341</v>
      </c>
      <c r="R28" s="121">
        <v>86168500</v>
      </c>
      <c r="S28" s="128" t="s">
        <v>1075</v>
      </c>
      <c r="T28" s="121" t="s">
        <v>27</v>
      </c>
      <c r="U28" s="30"/>
      <c r="V28" s="30"/>
    </row>
    <row r="29" spans="1:23" hidden="1" x14ac:dyDescent="0.25">
      <c r="A29" s="26">
        <v>28</v>
      </c>
      <c r="B29" s="69" t="s">
        <v>758</v>
      </c>
      <c r="C29" s="26" t="s">
        <v>29</v>
      </c>
      <c r="D29" s="69" t="s">
        <v>734</v>
      </c>
      <c r="E29" s="30" t="s">
        <v>23</v>
      </c>
      <c r="F29" s="69" t="s">
        <v>29</v>
      </c>
      <c r="G29" s="69" t="s">
        <v>35</v>
      </c>
      <c r="H29" s="69" t="s">
        <v>760</v>
      </c>
      <c r="I29" s="131">
        <v>44423</v>
      </c>
      <c r="J29" s="69">
        <v>1</v>
      </c>
      <c r="K29" s="71">
        <v>8</v>
      </c>
      <c r="L29" s="71">
        <v>10</v>
      </c>
      <c r="M29" s="23">
        <f>((L29*10000)+(L29*10000)*10%)+8250+((0*165))</f>
        <v>118250</v>
      </c>
      <c r="N29" s="21">
        <f t="shared" si="0"/>
        <v>12100</v>
      </c>
      <c r="O29" s="21">
        <f t="shared" si="1"/>
        <v>23370</v>
      </c>
      <c r="P29" s="21">
        <f>L29*1100</f>
        <v>11000</v>
      </c>
      <c r="Q29" s="14">
        <f t="shared" si="2"/>
        <v>164720</v>
      </c>
      <c r="R29" s="121">
        <v>4132211</v>
      </c>
      <c r="S29" s="121" t="s">
        <v>841</v>
      </c>
      <c r="T29" s="121" t="s">
        <v>27</v>
      </c>
      <c r="U29" s="30"/>
      <c r="V29" s="30"/>
    </row>
    <row r="30" spans="1:23" hidden="1" x14ac:dyDescent="0.25">
      <c r="A30" s="26">
        <v>29</v>
      </c>
      <c r="B30" s="69" t="s">
        <v>778</v>
      </c>
      <c r="C30" s="26" t="s">
        <v>29</v>
      </c>
      <c r="D30" s="30" t="s">
        <v>734</v>
      </c>
      <c r="E30" s="30" t="s">
        <v>23</v>
      </c>
      <c r="F30" s="69" t="s">
        <v>29</v>
      </c>
      <c r="G30" s="69" t="s">
        <v>50</v>
      </c>
      <c r="H30" s="69" t="s">
        <v>58</v>
      </c>
      <c r="I30" s="111">
        <v>44423</v>
      </c>
      <c r="J30" s="69">
        <v>1</v>
      </c>
      <c r="K30" s="69">
        <v>11</v>
      </c>
      <c r="L30" s="69">
        <v>11</v>
      </c>
      <c r="M30" s="23">
        <f>((L30*31000)+(L30*31000)*10%)+8250+((0*165))</f>
        <v>383350</v>
      </c>
      <c r="N30" s="21">
        <f t="shared" si="0"/>
        <v>13310</v>
      </c>
      <c r="O30" s="21">
        <f t="shared" si="1"/>
        <v>25407</v>
      </c>
      <c r="P30" s="21">
        <f>L30*1100</f>
        <v>12100</v>
      </c>
      <c r="Q30" s="14">
        <f t="shared" si="2"/>
        <v>434167</v>
      </c>
      <c r="R30" s="122">
        <v>4132211</v>
      </c>
      <c r="S30" s="122" t="s">
        <v>841</v>
      </c>
      <c r="T30" s="122" t="s">
        <v>27</v>
      </c>
      <c r="U30" s="30"/>
      <c r="V30" s="30"/>
    </row>
    <row r="31" spans="1:23" hidden="1" x14ac:dyDescent="0.25">
      <c r="A31" s="26">
        <v>30</v>
      </c>
      <c r="B31" s="97" t="s">
        <v>757</v>
      </c>
      <c r="C31" s="26" t="s">
        <v>29</v>
      </c>
      <c r="D31" s="69" t="s">
        <v>30</v>
      </c>
      <c r="E31" s="30" t="s">
        <v>473</v>
      </c>
      <c r="F31" s="88" t="s">
        <v>29</v>
      </c>
      <c r="G31" s="85" t="s">
        <v>79</v>
      </c>
      <c r="H31" s="85" t="s">
        <v>654</v>
      </c>
      <c r="I31" s="138">
        <v>44423</v>
      </c>
      <c r="J31" s="85">
        <v>10</v>
      </c>
      <c r="K31" s="139">
        <v>145</v>
      </c>
      <c r="L31" s="139">
        <v>143</v>
      </c>
      <c r="M31" s="23">
        <f>((L31*15000)+(L31*15000)*10%)+8250+((0*150))</f>
        <v>2367750</v>
      </c>
      <c r="N31" s="21">
        <f t="shared" si="0"/>
        <v>173030</v>
      </c>
      <c r="O31" s="21">
        <f t="shared" si="1"/>
        <v>294291</v>
      </c>
      <c r="P31" s="21">
        <f>L31*2100</f>
        <v>300300</v>
      </c>
      <c r="Q31" s="14">
        <f t="shared" si="2"/>
        <v>3135371</v>
      </c>
      <c r="R31" s="121">
        <v>86168500</v>
      </c>
      <c r="S31" s="128" t="s">
        <v>1075</v>
      </c>
      <c r="T31" s="121" t="s">
        <v>27</v>
      </c>
      <c r="U31" s="30"/>
      <c r="V31" s="30"/>
    </row>
    <row r="32" spans="1:23" hidden="1" x14ac:dyDescent="0.25">
      <c r="A32" s="26">
        <v>31</v>
      </c>
      <c r="B32" s="69" t="s">
        <v>759</v>
      </c>
      <c r="C32" s="26" t="s">
        <v>29</v>
      </c>
      <c r="D32" s="69" t="s">
        <v>30</v>
      </c>
      <c r="E32" s="30" t="s">
        <v>473</v>
      </c>
      <c r="F32" s="69" t="s">
        <v>29</v>
      </c>
      <c r="G32" s="69" t="s">
        <v>79</v>
      </c>
      <c r="H32" s="69" t="s">
        <v>654</v>
      </c>
      <c r="I32" s="131">
        <v>44423</v>
      </c>
      <c r="J32" s="69">
        <v>10</v>
      </c>
      <c r="K32" s="71">
        <v>320</v>
      </c>
      <c r="L32" s="71">
        <v>320</v>
      </c>
      <c r="M32" s="23">
        <f>((L32*15000)+(L32*15000)*10%)+8250+((0*150))</f>
        <v>5288250</v>
      </c>
      <c r="N32" s="21">
        <f t="shared" si="0"/>
        <v>387200</v>
      </c>
      <c r="O32" s="21">
        <f t="shared" si="1"/>
        <v>654840</v>
      </c>
      <c r="P32" s="21">
        <f>L32*2100</f>
        <v>672000</v>
      </c>
      <c r="Q32" s="14">
        <f t="shared" si="2"/>
        <v>7002290</v>
      </c>
      <c r="R32" s="121">
        <v>86168500</v>
      </c>
      <c r="S32" s="128" t="s">
        <v>1075</v>
      </c>
      <c r="T32" s="121" t="s">
        <v>27</v>
      </c>
      <c r="U32" s="30"/>
      <c r="V32" s="30"/>
    </row>
    <row r="33" spans="1:22" hidden="1" x14ac:dyDescent="0.25">
      <c r="A33" s="26">
        <v>32</v>
      </c>
      <c r="B33" s="97" t="s">
        <v>779</v>
      </c>
      <c r="C33" s="26" t="s">
        <v>29</v>
      </c>
      <c r="D33" s="30" t="s">
        <v>491</v>
      </c>
      <c r="E33" s="30" t="s">
        <v>23</v>
      </c>
      <c r="F33" s="88" t="s">
        <v>29</v>
      </c>
      <c r="G33" s="85" t="s">
        <v>24</v>
      </c>
      <c r="H33" s="85" t="s">
        <v>128</v>
      </c>
      <c r="I33" s="86">
        <v>44425</v>
      </c>
      <c r="J33" s="85">
        <v>1</v>
      </c>
      <c r="K33" s="85">
        <v>9</v>
      </c>
      <c r="L33" s="85">
        <v>10</v>
      </c>
      <c r="M33" s="23">
        <f>((L33*22000)+(L33*22000)*10%)+8250+((L33*165))</f>
        <v>251900</v>
      </c>
      <c r="N33" s="21">
        <f t="shared" si="0"/>
        <v>12100</v>
      </c>
      <c r="O33" s="21">
        <f t="shared" si="1"/>
        <v>23370</v>
      </c>
      <c r="P33" s="21">
        <f>L33*1100</f>
        <v>11000</v>
      </c>
      <c r="Q33" s="14">
        <f t="shared" si="2"/>
        <v>298370</v>
      </c>
      <c r="R33" s="121">
        <v>20539404</v>
      </c>
      <c r="S33" s="128" t="s">
        <v>842</v>
      </c>
      <c r="T33" s="121" t="s">
        <v>27</v>
      </c>
      <c r="U33" s="30"/>
      <c r="V33" s="30"/>
    </row>
    <row r="34" spans="1:22" hidden="1" x14ac:dyDescent="0.25">
      <c r="A34" s="26">
        <v>33</v>
      </c>
      <c r="B34" s="97" t="s">
        <v>780</v>
      </c>
      <c r="C34" s="26" t="s">
        <v>29</v>
      </c>
      <c r="D34" s="30" t="s">
        <v>491</v>
      </c>
      <c r="E34" s="30" t="s">
        <v>23</v>
      </c>
      <c r="F34" s="88" t="s">
        <v>29</v>
      </c>
      <c r="G34" s="85" t="s">
        <v>79</v>
      </c>
      <c r="H34" s="85" t="s">
        <v>782</v>
      </c>
      <c r="I34" s="86">
        <v>44425</v>
      </c>
      <c r="J34" s="85">
        <v>5</v>
      </c>
      <c r="K34" s="85">
        <v>91</v>
      </c>
      <c r="L34" s="85">
        <v>91</v>
      </c>
      <c r="M34" s="23">
        <f>((L34*15000)+(L34*15000)*10%)+8250+((0*150))</f>
        <v>1509750</v>
      </c>
      <c r="N34" s="21">
        <f t="shared" si="0"/>
        <v>110110</v>
      </c>
      <c r="O34" s="21">
        <f t="shared" si="1"/>
        <v>188367</v>
      </c>
      <c r="P34" s="21">
        <f>L34*1100</f>
        <v>100100</v>
      </c>
      <c r="Q34" s="14">
        <f t="shared" ref="Q34:Q65" si="5">SUM(M34:P34)</f>
        <v>1908327</v>
      </c>
      <c r="R34" s="121">
        <v>20539404</v>
      </c>
      <c r="S34" s="128" t="s">
        <v>842</v>
      </c>
      <c r="T34" s="121" t="s">
        <v>27</v>
      </c>
      <c r="U34" s="30"/>
      <c r="V34" s="30"/>
    </row>
    <row r="35" spans="1:22" hidden="1" x14ac:dyDescent="0.25">
      <c r="A35" s="26">
        <v>34</v>
      </c>
      <c r="B35" s="150" t="s">
        <v>783</v>
      </c>
      <c r="C35" s="146" t="s">
        <v>29</v>
      </c>
      <c r="D35" s="87" t="s">
        <v>574</v>
      </c>
      <c r="E35" s="87" t="s">
        <v>23</v>
      </c>
      <c r="F35" s="148" t="s">
        <v>29</v>
      </c>
      <c r="G35" s="149" t="s">
        <v>184</v>
      </c>
      <c r="H35" s="149" t="s">
        <v>219</v>
      </c>
      <c r="I35" s="92">
        <v>44426</v>
      </c>
      <c r="J35" s="149">
        <v>1</v>
      </c>
      <c r="K35" s="149">
        <v>19</v>
      </c>
      <c r="L35" s="149">
        <v>28</v>
      </c>
      <c r="M35" s="23">
        <f>((L35*14000)+(L35*14000)*10%)+8250+((0*150))</f>
        <v>439450</v>
      </c>
      <c r="N35" s="21">
        <f t="shared" si="0"/>
        <v>33880</v>
      </c>
      <c r="O35" s="21">
        <f t="shared" si="1"/>
        <v>60036</v>
      </c>
      <c r="P35" s="21">
        <f>L35*2500</f>
        <v>70000</v>
      </c>
      <c r="Q35" s="14">
        <f t="shared" si="5"/>
        <v>603366</v>
      </c>
      <c r="R35" s="122">
        <v>27569147</v>
      </c>
      <c r="S35" s="130" t="s">
        <v>967</v>
      </c>
      <c r="T35" s="122" t="s">
        <v>27</v>
      </c>
      <c r="U35" s="30"/>
      <c r="V35" s="30"/>
    </row>
    <row r="36" spans="1:22" hidden="1" x14ac:dyDescent="0.25">
      <c r="A36" s="26">
        <v>35</v>
      </c>
      <c r="B36" s="30" t="s">
        <v>784</v>
      </c>
      <c r="C36" s="26" t="s">
        <v>29</v>
      </c>
      <c r="D36" s="30" t="s">
        <v>574</v>
      </c>
      <c r="E36" s="30" t="s">
        <v>23</v>
      </c>
      <c r="F36" s="30" t="s">
        <v>29</v>
      </c>
      <c r="G36" s="30" t="s">
        <v>45</v>
      </c>
      <c r="H36" s="30" t="s">
        <v>238</v>
      </c>
      <c r="I36" s="111">
        <v>44426</v>
      </c>
      <c r="J36" s="30">
        <v>1</v>
      </c>
      <c r="K36" s="30">
        <v>11</v>
      </c>
      <c r="L36" s="30">
        <v>16</v>
      </c>
      <c r="M36" s="23">
        <f>((L36*35500)+(L36*35500)*10%)+8250+((L36*165))</f>
        <v>635690</v>
      </c>
      <c r="N36" s="21">
        <f t="shared" si="0"/>
        <v>19360</v>
      </c>
      <c r="O36" s="21">
        <f t="shared" si="1"/>
        <v>35592</v>
      </c>
      <c r="P36" s="21">
        <f>L36*2500</f>
        <v>40000</v>
      </c>
      <c r="Q36" s="14">
        <f t="shared" si="5"/>
        <v>730642</v>
      </c>
      <c r="R36" s="122">
        <v>27569147</v>
      </c>
      <c r="S36" s="130" t="s">
        <v>967</v>
      </c>
      <c r="T36" s="122" t="s">
        <v>27</v>
      </c>
      <c r="U36" s="30"/>
      <c r="V36" s="30"/>
    </row>
    <row r="37" spans="1:22" hidden="1" x14ac:dyDescent="0.25">
      <c r="A37" s="26">
        <v>36</v>
      </c>
      <c r="B37" s="30" t="s">
        <v>785</v>
      </c>
      <c r="C37" s="26" t="s">
        <v>29</v>
      </c>
      <c r="D37" s="30" t="s">
        <v>574</v>
      </c>
      <c r="E37" s="30" t="s">
        <v>23</v>
      </c>
      <c r="F37" s="30" t="s">
        <v>29</v>
      </c>
      <c r="G37" s="30" t="s">
        <v>166</v>
      </c>
      <c r="H37" s="30" t="s">
        <v>485</v>
      </c>
      <c r="I37" s="111">
        <v>44426</v>
      </c>
      <c r="J37" s="30">
        <v>1</v>
      </c>
      <c r="K37" s="30">
        <v>19</v>
      </c>
      <c r="L37" s="30">
        <v>28</v>
      </c>
      <c r="M37" s="23">
        <f>((L37*9000)+(L37*9000)*10%)+8250+((0*150))</f>
        <v>285450</v>
      </c>
      <c r="N37" s="21">
        <f t="shared" si="0"/>
        <v>33880</v>
      </c>
      <c r="O37" s="21">
        <f t="shared" si="1"/>
        <v>60036</v>
      </c>
      <c r="P37" s="21">
        <f>L37*2500</f>
        <v>70000</v>
      </c>
      <c r="Q37" s="14">
        <f t="shared" si="5"/>
        <v>449366</v>
      </c>
      <c r="R37" s="122">
        <v>27569147</v>
      </c>
      <c r="S37" s="130" t="s">
        <v>967</v>
      </c>
      <c r="T37" s="122" t="s">
        <v>27</v>
      </c>
      <c r="U37" s="30"/>
      <c r="V37" s="30"/>
    </row>
    <row r="38" spans="1:22" hidden="1" x14ac:dyDescent="0.25">
      <c r="A38" s="26">
        <v>37</v>
      </c>
      <c r="B38" s="30" t="s">
        <v>787</v>
      </c>
      <c r="C38" s="26" t="s">
        <v>21</v>
      </c>
      <c r="D38" s="30" t="s">
        <v>788</v>
      </c>
      <c r="E38" s="30" t="s">
        <v>23</v>
      </c>
      <c r="F38" s="30" t="s">
        <v>21</v>
      </c>
      <c r="G38" s="30" t="s">
        <v>79</v>
      </c>
      <c r="H38" s="30" t="s">
        <v>200</v>
      </c>
      <c r="I38" s="111">
        <v>44426</v>
      </c>
      <c r="J38" s="30">
        <v>10</v>
      </c>
      <c r="K38" s="30">
        <v>228</v>
      </c>
      <c r="L38" s="30">
        <v>228</v>
      </c>
      <c r="M38" s="23">
        <f>((L38*12500)+(L38*12500)*10%)+8250+((0*150))</f>
        <v>3143250</v>
      </c>
      <c r="N38" s="21">
        <f>L38*869</f>
        <v>198132</v>
      </c>
      <c r="O38" s="21">
        <f>(L38*1153)+20000</f>
        <v>282884</v>
      </c>
      <c r="P38" s="21">
        <f>L38*1100</f>
        <v>250800</v>
      </c>
      <c r="Q38" s="14">
        <f t="shared" si="5"/>
        <v>3875066</v>
      </c>
      <c r="R38" s="122">
        <v>3875066</v>
      </c>
      <c r="S38" s="130" t="s">
        <v>789</v>
      </c>
      <c r="T38" s="122" t="s">
        <v>27</v>
      </c>
      <c r="U38" s="30"/>
      <c r="V38" s="30"/>
    </row>
    <row r="39" spans="1:22" hidden="1" x14ac:dyDescent="0.25">
      <c r="A39" s="26">
        <v>38</v>
      </c>
      <c r="B39" s="69" t="s">
        <v>781</v>
      </c>
      <c r="C39" s="26" t="s">
        <v>29</v>
      </c>
      <c r="D39" s="69" t="s">
        <v>491</v>
      </c>
      <c r="E39" s="30" t="s">
        <v>23</v>
      </c>
      <c r="F39" s="69" t="s">
        <v>29</v>
      </c>
      <c r="G39" s="69" t="s">
        <v>709</v>
      </c>
      <c r="H39" s="69" t="s">
        <v>533</v>
      </c>
      <c r="I39" s="111">
        <v>44426</v>
      </c>
      <c r="J39" s="69">
        <v>12</v>
      </c>
      <c r="K39" s="69">
        <v>338</v>
      </c>
      <c r="L39" s="69">
        <v>338</v>
      </c>
      <c r="M39" s="23">
        <f>((L39*32000)+(L39*32000)*10%)+8250+((0*150))</f>
        <v>11905850</v>
      </c>
      <c r="N39" s="21">
        <f>L39*1210</f>
        <v>408980</v>
      </c>
      <c r="O39" s="21">
        <f>(L39*2037)+3000</f>
        <v>691506</v>
      </c>
      <c r="P39" s="21">
        <f>L39*1100</f>
        <v>371800</v>
      </c>
      <c r="Q39" s="14">
        <f t="shared" si="5"/>
        <v>13378136</v>
      </c>
      <c r="R39" s="122">
        <v>20539404</v>
      </c>
      <c r="S39" s="130" t="s">
        <v>842</v>
      </c>
      <c r="T39" s="122" t="s">
        <v>27</v>
      </c>
      <c r="U39" s="30"/>
      <c r="V39" s="30"/>
    </row>
    <row r="40" spans="1:22" hidden="1" x14ac:dyDescent="0.25">
      <c r="A40" s="26">
        <v>39</v>
      </c>
      <c r="B40" s="30"/>
      <c r="C40" s="26" t="s">
        <v>786</v>
      </c>
      <c r="D40" s="30" t="s">
        <v>748</v>
      </c>
      <c r="E40" s="30" t="s">
        <v>23</v>
      </c>
      <c r="F40" s="30" t="s">
        <v>21</v>
      </c>
      <c r="G40" s="30" t="s">
        <v>24</v>
      </c>
      <c r="H40" s="30"/>
      <c r="I40" s="111">
        <v>44426</v>
      </c>
      <c r="J40" s="30">
        <v>10</v>
      </c>
      <c r="K40" s="30">
        <v>253</v>
      </c>
      <c r="L40" s="30">
        <v>253</v>
      </c>
      <c r="M40" s="21">
        <f>L40*27500</f>
        <v>6957500</v>
      </c>
      <c r="N40" s="21">
        <f>L40*3500</f>
        <v>885500</v>
      </c>
      <c r="O40" s="21">
        <v>20000</v>
      </c>
      <c r="P40" s="30"/>
      <c r="Q40" s="14">
        <f t="shared" si="5"/>
        <v>7863000</v>
      </c>
      <c r="R40" s="122">
        <v>7863000</v>
      </c>
      <c r="S40" s="130" t="s">
        <v>790</v>
      </c>
      <c r="T40" s="122" t="s">
        <v>27</v>
      </c>
      <c r="U40" s="30"/>
      <c r="V40" s="30"/>
    </row>
    <row r="41" spans="1:22" hidden="1" x14ac:dyDescent="0.25">
      <c r="A41" s="26">
        <v>40</v>
      </c>
      <c r="B41" s="30" t="s">
        <v>796</v>
      </c>
      <c r="C41" s="26" t="s">
        <v>29</v>
      </c>
      <c r="D41" s="30" t="s">
        <v>491</v>
      </c>
      <c r="E41" s="30" t="s">
        <v>23</v>
      </c>
      <c r="F41" s="30" t="s">
        <v>29</v>
      </c>
      <c r="G41" s="30" t="s">
        <v>79</v>
      </c>
      <c r="H41" s="30" t="s">
        <v>725</v>
      </c>
      <c r="I41" s="36">
        <v>44427</v>
      </c>
      <c r="J41" s="30">
        <v>6</v>
      </c>
      <c r="K41" s="30">
        <v>153</v>
      </c>
      <c r="L41" s="30">
        <v>153</v>
      </c>
      <c r="M41" s="23">
        <f>((L41*15000)+(L41*15000)*10%)+8250+((0*150))</f>
        <v>2532750</v>
      </c>
      <c r="N41" s="21">
        <f t="shared" ref="N41:N72" si="6">L41*1210</f>
        <v>185130</v>
      </c>
      <c r="O41" s="21">
        <f t="shared" ref="O41:O72" si="7">(L41*2037)+3000</f>
        <v>314661</v>
      </c>
      <c r="P41" s="21">
        <f t="shared" ref="P41:P59" si="8">L41*1100</f>
        <v>168300</v>
      </c>
      <c r="Q41" s="14">
        <f t="shared" si="5"/>
        <v>3200841</v>
      </c>
      <c r="R41" s="122">
        <v>20539404</v>
      </c>
      <c r="S41" s="130" t="s">
        <v>842</v>
      </c>
      <c r="T41" s="122" t="s">
        <v>27</v>
      </c>
      <c r="U41" s="30"/>
      <c r="V41" s="30"/>
    </row>
    <row r="42" spans="1:22" x14ac:dyDescent="0.25">
      <c r="A42" s="26">
        <v>41</v>
      </c>
      <c r="B42" s="30" t="s">
        <v>791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24</v>
      </c>
      <c r="H42" s="30" t="s">
        <v>58</v>
      </c>
      <c r="I42" s="36">
        <v>44427</v>
      </c>
      <c r="J42" s="30">
        <v>11</v>
      </c>
      <c r="K42" s="30">
        <v>84</v>
      </c>
      <c r="L42" s="30">
        <v>102</v>
      </c>
      <c r="M42" s="23">
        <f>((L42*22000)+(L42*22000)*10%)+8250+((L42*165))</f>
        <v>2493480</v>
      </c>
      <c r="N42" s="21">
        <f t="shared" si="6"/>
        <v>123420</v>
      </c>
      <c r="O42" s="21">
        <f t="shared" si="7"/>
        <v>210774</v>
      </c>
      <c r="P42" s="21">
        <f t="shared" si="8"/>
        <v>112200</v>
      </c>
      <c r="Q42" s="14">
        <f t="shared" si="5"/>
        <v>2939874</v>
      </c>
      <c r="R42" s="122" t="s">
        <v>94</v>
      </c>
      <c r="S42" s="122" t="s">
        <v>94</v>
      </c>
      <c r="T42" s="122" t="s">
        <v>94</v>
      </c>
      <c r="U42" s="30"/>
      <c r="V42" s="30"/>
    </row>
    <row r="43" spans="1:22" x14ac:dyDescent="0.25">
      <c r="A43" s="26">
        <v>42</v>
      </c>
      <c r="B43" s="30" t="s">
        <v>793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60</v>
      </c>
      <c r="H43" s="30" t="s">
        <v>816</v>
      </c>
      <c r="I43" s="36">
        <v>44427</v>
      </c>
      <c r="J43" s="30">
        <v>6</v>
      </c>
      <c r="K43" s="30">
        <v>16</v>
      </c>
      <c r="L43" s="30">
        <v>18</v>
      </c>
      <c r="M43" s="23">
        <f>((L43*14500)+(L43*14500)*10%)+8250+((0*150))</f>
        <v>295350</v>
      </c>
      <c r="N43" s="21">
        <f t="shared" si="6"/>
        <v>21780</v>
      </c>
      <c r="O43" s="21">
        <f t="shared" si="7"/>
        <v>39666</v>
      </c>
      <c r="P43" s="21">
        <f t="shared" si="8"/>
        <v>19800</v>
      </c>
      <c r="Q43" s="14">
        <f t="shared" si="5"/>
        <v>376596</v>
      </c>
      <c r="R43" s="122" t="s">
        <v>94</v>
      </c>
      <c r="S43" s="122" t="s">
        <v>94</v>
      </c>
      <c r="T43" s="122" t="s">
        <v>94</v>
      </c>
      <c r="U43" s="30"/>
      <c r="V43" s="30"/>
    </row>
    <row r="44" spans="1:22" x14ac:dyDescent="0.25">
      <c r="A44" s="26">
        <v>43</v>
      </c>
      <c r="B44" s="30" t="s">
        <v>794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231</v>
      </c>
      <c r="H44" s="30" t="s">
        <v>638</v>
      </c>
      <c r="I44" s="36">
        <v>44427</v>
      </c>
      <c r="J44" s="30">
        <v>5</v>
      </c>
      <c r="K44" s="30">
        <v>40</v>
      </c>
      <c r="L44" s="30">
        <v>40</v>
      </c>
      <c r="M44" s="23">
        <f>((L44*24000)+(L44*24000)*10%)+8250+((0*150))</f>
        <v>1064250</v>
      </c>
      <c r="N44" s="21">
        <f t="shared" si="6"/>
        <v>48400</v>
      </c>
      <c r="O44" s="21">
        <f t="shared" si="7"/>
        <v>84480</v>
      </c>
      <c r="P44" s="21">
        <f t="shared" si="8"/>
        <v>44000</v>
      </c>
      <c r="Q44" s="14">
        <f t="shared" si="5"/>
        <v>1241130</v>
      </c>
      <c r="R44" s="122" t="s">
        <v>94</v>
      </c>
      <c r="S44" s="122" t="s">
        <v>94</v>
      </c>
      <c r="T44" s="122" t="s">
        <v>94</v>
      </c>
      <c r="U44" s="30"/>
      <c r="V44" s="30"/>
    </row>
    <row r="45" spans="1:22" x14ac:dyDescent="0.25">
      <c r="A45" s="26">
        <v>44</v>
      </c>
      <c r="B45" s="30" t="s">
        <v>795</v>
      </c>
      <c r="C45" s="26" t="s">
        <v>29</v>
      </c>
      <c r="D45" s="30" t="s">
        <v>815</v>
      </c>
      <c r="E45" s="30" t="s">
        <v>23</v>
      </c>
      <c r="F45" s="30" t="s">
        <v>29</v>
      </c>
      <c r="G45" s="30" t="s">
        <v>210</v>
      </c>
      <c r="H45" s="30" t="s">
        <v>516</v>
      </c>
      <c r="I45" s="36">
        <v>44427</v>
      </c>
      <c r="J45" s="30">
        <v>3</v>
      </c>
      <c r="K45" s="30">
        <v>12</v>
      </c>
      <c r="L45" s="30">
        <v>19</v>
      </c>
      <c r="M45" s="23">
        <f>((L45*8500)+(L45*8500)*10%)+8250+((0*150))</f>
        <v>185900</v>
      </c>
      <c r="N45" s="21">
        <f t="shared" si="6"/>
        <v>22990</v>
      </c>
      <c r="O45" s="21">
        <f t="shared" si="7"/>
        <v>41703</v>
      </c>
      <c r="P45" s="21">
        <f t="shared" si="8"/>
        <v>20900</v>
      </c>
      <c r="Q45" s="14">
        <f t="shared" si="5"/>
        <v>271493</v>
      </c>
      <c r="R45" s="122" t="s">
        <v>94</v>
      </c>
      <c r="S45" s="122" t="s">
        <v>94</v>
      </c>
      <c r="T45" s="122" t="s">
        <v>94</v>
      </c>
      <c r="U45" s="30"/>
      <c r="V45" s="30"/>
    </row>
    <row r="46" spans="1:22" x14ac:dyDescent="0.25">
      <c r="A46" s="26">
        <v>45</v>
      </c>
      <c r="B46" s="30" t="s">
        <v>797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171</v>
      </c>
      <c r="H46" s="30" t="s">
        <v>246</v>
      </c>
      <c r="I46" s="36">
        <v>44427</v>
      </c>
      <c r="J46" s="30">
        <v>4</v>
      </c>
      <c r="K46" s="30">
        <v>75</v>
      </c>
      <c r="L46" s="30">
        <v>75</v>
      </c>
      <c r="M46" s="23">
        <f>((L46*12000)+(L46*12000)*10%)+8250+((0*150))</f>
        <v>998250</v>
      </c>
      <c r="N46" s="21">
        <f t="shared" si="6"/>
        <v>90750</v>
      </c>
      <c r="O46" s="21">
        <f t="shared" si="7"/>
        <v>155775</v>
      </c>
      <c r="P46" s="21">
        <f t="shared" si="8"/>
        <v>82500</v>
      </c>
      <c r="Q46" s="14">
        <f t="shared" si="5"/>
        <v>1327275</v>
      </c>
      <c r="R46" s="122" t="s">
        <v>94</v>
      </c>
      <c r="S46" s="122" t="s">
        <v>94</v>
      </c>
      <c r="T46" s="122" t="s">
        <v>94</v>
      </c>
      <c r="U46" s="30"/>
      <c r="V46" s="30"/>
    </row>
    <row r="47" spans="1:22" x14ac:dyDescent="0.25">
      <c r="A47" s="26">
        <v>46</v>
      </c>
      <c r="B47" s="30" t="s">
        <v>798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184</v>
      </c>
      <c r="H47" s="30" t="s">
        <v>817</v>
      </c>
      <c r="I47" s="36">
        <v>44427</v>
      </c>
      <c r="J47" s="30">
        <v>9</v>
      </c>
      <c r="K47" s="30">
        <v>101</v>
      </c>
      <c r="L47" s="30">
        <v>101</v>
      </c>
      <c r="M47" s="23">
        <f>((L47*14000)+(L47*14000)*10%)+8250+((0*150))</f>
        <v>1563650</v>
      </c>
      <c r="N47" s="21">
        <f t="shared" si="6"/>
        <v>122210</v>
      </c>
      <c r="O47" s="21">
        <f t="shared" si="7"/>
        <v>208737</v>
      </c>
      <c r="P47" s="21">
        <f t="shared" si="8"/>
        <v>111100</v>
      </c>
      <c r="Q47" s="14">
        <f t="shared" si="5"/>
        <v>2005697</v>
      </c>
      <c r="R47" s="122" t="s">
        <v>94</v>
      </c>
      <c r="S47" s="122" t="s">
        <v>94</v>
      </c>
      <c r="T47" s="122" t="s">
        <v>94</v>
      </c>
      <c r="U47" s="30"/>
      <c r="V47" s="30"/>
    </row>
    <row r="48" spans="1:22" x14ac:dyDescent="0.25">
      <c r="A48" s="26">
        <v>47</v>
      </c>
      <c r="B48" s="30" t="s">
        <v>799</v>
      </c>
      <c r="C48" s="26" t="s">
        <v>29</v>
      </c>
      <c r="D48" s="30" t="s">
        <v>815</v>
      </c>
      <c r="E48" s="30" t="s">
        <v>23</v>
      </c>
      <c r="F48" s="30" t="s">
        <v>29</v>
      </c>
      <c r="G48" s="30" t="s">
        <v>241</v>
      </c>
      <c r="H48" s="30" t="s">
        <v>102</v>
      </c>
      <c r="I48" s="36">
        <v>44427</v>
      </c>
      <c r="J48" s="30">
        <v>3</v>
      </c>
      <c r="K48" s="30">
        <v>41</v>
      </c>
      <c r="L48" s="30">
        <v>41</v>
      </c>
      <c r="M48" s="23">
        <f>((L48*27500)+(L48*27500)*10%)+8250+((L48*165))</f>
        <v>1255265</v>
      </c>
      <c r="N48" s="21">
        <f t="shared" si="6"/>
        <v>49610</v>
      </c>
      <c r="O48" s="21">
        <f t="shared" si="7"/>
        <v>86517</v>
      </c>
      <c r="P48" s="21">
        <f t="shared" si="8"/>
        <v>45100</v>
      </c>
      <c r="Q48" s="14">
        <f t="shared" si="5"/>
        <v>1436492</v>
      </c>
      <c r="R48" s="122" t="s">
        <v>94</v>
      </c>
      <c r="S48" s="122" t="s">
        <v>94</v>
      </c>
      <c r="T48" s="122" t="s">
        <v>94</v>
      </c>
      <c r="U48" s="30"/>
      <c r="V48" s="30"/>
    </row>
    <row r="49" spans="1:22" x14ac:dyDescent="0.25">
      <c r="A49" s="26">
        <v>48</v>
      </c>
      <c r="B49" s="30" t="s">
        <v>801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263</v>
      </c>
      <c r="H49" s="30" t="s">
        <v>264</v>
      </c>
      <c r="I49" s="36">
        <v>44427</v>
      </c>
      <c r="J49" s="30">
        <v>2</v>
      </c>
      <c r="K49" s="30">
        <v>13</v>
      </c>
      <c r="L49" s="30">
        <v>17</v>
      </c>
      <c r="M49" s="23">
        <f>((L49*10500)+(L49*10500)*10%)+8250+((0*150))</f>
        <v>204600</v>
      </c>
      <c r="N49" s="21">
        <f t="shared" si="6"/>
        <v>20570</v>
      </c>
      <c r="O49" s="21">
        <f t="shared" si="7"/>
        <v>37629</v>
      </c>
      <c r="P49" s="21">
        <f t="shared" si="8"/>
        <v>18700</v>
      </c>
      <c r="Q49" s="14">
        <f t="shared" si="5"/>
        <v>281499</v>
      </c>
      <c r="R49" s="122" t="s">
        <v>94</v>
      </c>
      <c r="S49" s="122" t="s">
        <v>94</v>
      </c>
      <c r="T49" s="122" t="s">
        <v>94</v>
      </c>
      <c r="U49" s="30"/>
      <c r="V49" s="30"/>
    </row>
    <row r="50" spans="1:22" x14ac:dyDescent="0.25">
      <c r="A50" s="26">
        <v>49</v>
      </c>
      <c r="B50" s="30" t="s">
        <v>804</v>
      </c>
      <c r="C50" s="26" t="s">
        <v>29</v>
      </c>
      <c r="D50" s="30" t="s">
        <v>815</v>
      </c>
      <c r="E50" s="30" t="s">
        <v>23</v>
      </c>
      <c r="F50" s="30" t="s">
        <v>29</v>
      </c>
      <c r="G50" s="30" t="s">
        <v>79</v>
      </c>
      <c r="H50" s="30" t="s">
        <v>654</v>
      </c>
      <c r="I50" s="36">
        <v>44427</v>
      </c>
      <c r="J50" s="30">
        <v>13</v>
      </c>
      <c r="K50" s="30">
        <v>196</v>
      </c>
      <c r="L50" s="30">
        <v>196</v>
      </c>
      <c r="M50" s="23">
        <f>((L50*15000)+(L50*15000)*10%)+8250+((0*150))</f>
        <v>3242250</v>
      </c>
      <c r="N50" s="21">
        <f t="shared" si="6"/>
        <v>237160</v>
      </c>
      <c r="O50" s="21">
        <f t="shared" si="7"/>
        <v>402252</v>
      </c>
      <c r="P50" s="21">
        <f t="shared" si="8"/>
        <v>215600</v>
      </c>
      <c r="Q50" s="14">
        <f t="shared" si="5"/>
        <v>4097262</v>
      </c>
      <c r="R50" s="122" t="s">
        <v>94</v>
      </c>
      <c r="S50" s="122" t="s">
        <v>94</v>
      </c>
      <c r="T50" s="122" t="s">
        <v>94</v>
      </c>
      <c r="U50" s="30"/>
      <c r="V50" s="30"/>
    </row>
    <row r="51" spans="1:22" x14ac:dyDescent="0.25">
      <c r="A51" s="26">
        <v>50</v>
      </c>
      <c r="B51" s="30" t="s">
        <v>805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72</v>
      </c>
      <c r="H51" s="30" t="s">
        <v>73</v>
      </c>
      <c r="I51" s="36">
        <v>44427</v>
      </c>
      <c r="J51" s="30">
        <v>7</v>
      </c>
      <c r="K51" s="30">
        <v>73</v>
      </c>
      <c r="L51" s="30">
        <v>106</v>
      </c>
      <c r="M51" s="23">
        <f>((L51*16500)+(L51*16500)*10%)+8250+((0*150))</f>
        <v>1932150</v>
      </c>
      <c r="N51" s="21">
        <f t="shared" si="6"/>
        <v>128260</v>
      </c>
      <c r="O51" s="21">
        <f t="shared" si="7"/>
        <v>218922</v>
      </c>
      <c r="P51" s="21">
        <f t="shared" si="8"/>
        <v>116600</v>
      </c>
      <c r="Q51" s="14">
        <f t="shared" si="5"/>
        <v>2395932</v>
      </c>
      <c r="R51" s="122" t="s">
        <v>94</v>
      </c>
      <c r="S51" s="122" t="s">
        <v>94</v>
      </c>
      <c r="T51" s="122" t="s">
        <v>94</v>
      </c>
      <c r="U51" s="30"/>
      <c r="V51" s="30"/>
    </row>
    <row r="52" spans="1:22" x14ac:dyDescent="0.25">
      <c r="A52" s="26">
        <v>51</v>
      </c>
      <c r="B52" s="30" t="s">
        <v>806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713</v>
      </c>
      <c r="H52" s="30" t="s">
        <v>714</v>
      </c>
      <c r="I52" s="36">
        <v>44427</v>
      </c>
      <c r="J52" s="30">
        <v>2</v>
      </c>
      <c r="K52" s="30">
        <v>5</v>
      </c>
      <c r="L52" s="30">
        <v>10</v>
      </c>
      <c r="M52" s="23">
        <f>((L52*14000)+(L52*14000)*10%)+8250+((0*150))</f>
        <v>162250</v>
      </c>
      <c r="N52" s="21">
        <f t="shared" si="6"/>
        <v>12100</v>
      </c>
      <c r="O52" s="21">
        <f t="shared" si="7"/>
        <v>23370</v>
      </c>
      <c r="P52" s="21">
        <f t="shared" si="8"/>
        <v>11000</v>
      </c>
      <c r="Q52" s="14">
        <f t="shared" si="5"/>
        <v>208720</v>
      </c>
      <c r="R52" s="122" t="s">
        <v>94</v>
      </c>
      <c r="S52" s="122" t="s">
        <v>94</v>
      </c>
      <c r="T52" s="122" t="s">
        <v>94</v>
      </c>
      <c r="U52" s="30"/>
      <c r="V52" s="30"/>
    </row>
    <row r="53" spans="1:22" x14ac:dyDescent="0.25">
      <c r="A53" s="26">
        <v>52</v>
      </c>
      <c r="B53" s="30" t="s">
        <v>807</v>
      </c>
      <c r="C53" s="26" t="s">
        <v>29</v>
      </c>
      <c r="D53" s="30" t="s">
        <v>815</v>
      </c>
      <c r="E53" s="30" t="s">
        <v>23</v>
      </c>
      <c r="F53" s="30" t="s">
        <v>29</v>
      </c>
      <c r="G53" s="30" t="s">
        <v>64</v>
      </c>
      <c r="H53" s="30" t="s">
        <v>818</v>
      </c>
      <c r="I53" s="36">
        <v>44427</v>
      </c>
      <c r="J53" s="30">
        <v>3</v>
      </c>
      <c r="K53" s="30">
        <v>43</v>
      </c>
      <c r="L53" s="30">
        <v>43</v>
      </c>
      <c r="M53" s="23">
        <f>((L53*14400)+(L53*14400)*10%)+8250+((0*150))</f>
        <v>689370</v>
      </c>
      <c r="N53" s="21">
        <f t="shared" si="6"/>
        <v>52030</v>
      </c>
      <c r="O53" s="21">
        <f t="shared" si="7"/>
        <v>90591</v>
      </c>
      <c r="P53" s="21">
        <f t="shared" si="8"/>
        <v>47300</v>
      </c>
      <c r="Q53" s="14">
        <f t="shared" si="5"/>
        <v>879291</v>
      </c>
      <c r="R53" s="122" t="s">
        <v>94</v>
      </c>
      <c r="S53" s="122" t="s">
        <v>94</v>
      </c>
      <c r="T53" s="122" t="s">
        <v>94</v>
      </c>
      <c r="U53" s="30"/>
      <c r="V53" s="30"/>
    </row>
    <row r="54" spans="1:22" x14ac:dyDescent="0.25">
      <c r="A54" s="26">
        <v>53</v>
      </c>
      <c r="B54" s="30" t="s">
        <v>808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79</v>
      </c>
      <c r="H54" s="30" t="s">
        <v>638</v>
      </c>
      <c r="I54" s="36">
        <v>44427</v>
      </c>
      <c r="J54" s="30">
        <v>4</v>
      </c>
      <c r="K54" s="30">
        <v>85</v>
      </c>
      <c r="L54" s="30">
        <v>85</v>
      </c>
      <c r="M54" s="23">
        <f>((L54*15000)+(L54*15000)*10%)+8250+((0*150))</f>
        <v>1410750</v>
      </c>
      <c r="N54" s="21">
        <f t="shared" si="6"/>
        <v>102850</v>
      </c>
      <c r="O54" s="21">
        <f t="shared" si="7"/>
        <v>176145</v>
      </c>
      <c r="P54" s="21">
        <f t="shared" si="8"/>
        <v>93500</v>
      </c>
      <c r="Q54" s="14">
        <f t="shared" si="5"/>
        <v>1783245</v>
      </c>
      <c r="R54" s="122" t="s">
        <v>94</v>
      </c>
      <c r="S54" s="122" t="s">
        <v>94</v>
      </c>
      <c r="T54" s="122" t="s">
        <v>94</v>
      </c>
      <c r="U54" s="30"/>
      <c r="V54" s="30"/>
    </row>
    <row r="55" spans="1:22" x14ac:dyDescent="0.25">
      <c r="A55" s="26">
        <v>54</v>
      </c>
      <c r="B55" s="30" t="s">
        <v>809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35</v>
      </c>
      <c r="H55" s="30" t="s">
        <v>760</v>
      </c>
      <c r="I55" s="36">
        <v>44427</v>
      </c>
      <c r="J55" s="30">
        <v>1</v>
      </c>
      <c r="K55" s="30">
        <v>7</v>
      </c>
      <c r="L55" s="30">
        <v>10</v>
      </c>
      <c r="M55" s="23">
        <f>((L55*10000)+(L55*10000)*10%)+8250+((0*150))</f>
        <v>118250</v>
      </c>
      <c r="N55" s="21">
        <f t="shared" si="6"/>
        <v>12100</v>
      </c>
      <c r="O55" s="21">
        <f t="shared" si="7"/>
        <v>23370</v>
      </c>
      <c r="P55" s="21">
        <f t="shared" si="8"/>
        <v>11000</v>
      </c>
      <c r="Q55" s="14">
        <f t="shared" si="5"/>
        <v>164720</v>
      </c>
      <c r="R55" s="122" t="s">
        <v>94</v>
      </c>
      <c r="S55" s="122" t="s">
        <v>94</v>
      </c>
      <c r="T55" s="122" t="s">
        <v>94</v>
      </c>
      <c r="U55" s="30"/>
      <c r="V55" s="30"/>
    </row>
    <row r="56" spans="1:22" x14ac:dyDescent="0.25">
      <c r="A56" s="26">
        <v>55</v>
      </c>
      <c r="B56" s="30" t="s">
        <v>810</v>
      </c>
      <c r="C56" s="26" t="s">
        <v>29</v>
      </c>
      <c r="D56" s="30" t="s">
        <v>815</v>
      </c>
      <c r="E56" s="30" t="s">
        <v>23</v>
      </c>
      <c r="F56" s="30" t="s">
        <v>29</v>
      </c>
      <c r="G56" s="30" t="s">
        <v>76</v>
      </c>
      <c r="H56" s="30" t="s">
        <v>819</v>
      </c>
      <c r="I56" s="36">
        <v>44427</v>
      </c>
      <c r="J56" s="30">
        <v>9</v>
      </c>
      <c r="K56" s="30">
        <v>57</v>
      </c>
      <c r="L56" s="30">
        <v>65</v>
      </c>
      <c r="M56" s="23">
        <f>((L56*19000)+(L56*19000)*10%)+8250+((L56*165))</f>
        <v>1377475</v>
      </c>
      <c r="N56" s="21">
        <f t="shared" si="6"/>
        <v>78650</v>
      </c>
      <c r="O56" s="21">
        <f t="shared" si="7"/>
        <v>135405</v>
      </c>
      <c r="P56" s="21">
        <f t="shared" si="8"/>
        <v>71500</v>
      </c>
      <c r="Q56" s="14">
        <f t="shared" si="5"/>
        <v>1663030</v>
      </c>
      <c r="R56" s="122" t="s">
        <v>94</v>
      </c>
      <c r="S56" s="122" t="s">
        <v>94</v>
      </c>
      <c r="T56" s="122" t="s">
        <v>94</v>
      </c>
      <c r="U56" s="30"/>
      <c r="V56" s="30"/>
    </row>
    <row r="57" spans="1:22" x14ac:dyDescent="0.25">
      <c r="A57" s="26">
        <v>56</v>
      </c>
      <c r="B57" s="30" t="s">
        <v>811</v>
      </c>
      <c r="C57" s="26" t="s">
        <v>29</v>
      </c>
      <c r="D57" s="30" t="s">
        <v>815</v>
      </c>
      <c r="E57" s="30" t="s">
        <v>23</v>
      </c>
      <c r="F57" s="30" t="s">
        <v>29</v>
      </c>
      <c r="G57" s="30" t="s">
        <v>69</v>
      </c>
      <c r="H57" s="30" t="s">
        <v>70</v>
      </c>
      <c r="I57" s="36">
        <v>44427</v>
      </c>
      <c r="J57" s="30">
        <v>2</v>
      </c>
      <c r="K57" s="30">
        <v>1</v>
      </c>
      <c r="L57" s="30">
        <v>10</v>
      </c>
      <c r="M57" s="23">
        <f>((L57*11000)+(L57*11000)*10%)+8250+((0*150))</f>
        <v>129250</v>
      </c>
      <c r="N57" s="21">
        <f t="shared" si="6"/>
        <v>12100</v>
      </c>
      <c r="O57" s="21">
        <f t="shared" si="7"/>
        <v>23370</v>
      </c>
      <c r="P57" s="21">
        <f t="shared" si="8"/>
        <v>11000</v>
      </c>
      <c r="Q57" s="14">
        <f t="shared" si="5"/>
        <v>175720</v>
      </c>
      <c r="R57" s="122" t="s">
        <v>94</v>
      </c>
      <c r="S57" s="122" t="s">
        <v>94</v>
      </c>
      <c r="T57" s="122" t="s">
        <v>94</v>
      </c>
      <c r="U57" s="30"/>
      <c r="V57" s="30"/>
    </row>
    <row r="58" spans="1:22" hidden="1" x14ac:dyDescent="0.25">
      <c r="A58" s="26">
        <v>57</v>
      </c>
      <c r="B58" s="30" t="s">
        <v>802</v>
      </c>
      <c r="C58" s="26" t="s">
        <v>29</v>
      </c>
      <c r="D58" s="30" t="s">
        <v>734</v>
      </c>
      <c r="E58" s="30" t="s">
        <v>23</v>
      </c>
      <c r="F58" s="30" t="s">
        <v>29</v>
      </c>
      <c r="G58" s="30" t="s">
        <v>709</v>
      </c>
      <c r="H58" s="30" t="s">
        <v>533</v>
      </c>
      <c r="I58" s="36">
        <v>44427</v>
      </c>
      <c r="J58" s="30">
        <v>1</v>
      </c>
      <c r="K58" s="30">
        <v>14</v>
      </c>
      <c r="L58" s="30">
        <v>24</v>
      </c>
      <c r="M58" s="23">
        <f>((L58*32000)+(L58*32000)*10%)+8250+((0*150))</f>
        <v>853050</v>
      </c>
      <c r="N58" s="21">
        <f t="shared" si="6"/>
        <v>29040</v>
      </c>
      <c r="O58" s="21">
        <f t="shared" si="7"/>
        <v>51888</v>
      </c>
      <c r="P58" s="21">
        <f t="shared" si="8"/>
        <v>26400</v>
      </c>
      <c r="Q58" s="14">
        <f t="shared" si="5"/>
        <v>960378</v>
      </c>
      <c r="R58" s="122">
        <v>960378</v>
      </c>
      <c r="S58" s="130" t="s">
        <v>876</v>
      </c>
      <c r="T58" s="122" t="s">
        <v>27</v>
      </c>
      <c r="U58" s="30"/>
      <c r="V58" s="30"/>
    </row>
    <row r="59" spans="1:22" hidden="1" x14ac:dyDescent="0.25">
      <c r="A59" s="26">
        <v>58</v>
      </c>
      <c r="B59" s="30" t="s">
        <v>800</v>
      </c>
      <c r="C59" s="26" t="s">
        <v>29</v>
      </c>
      <c r="D59" s="30" t="s">
        <v>840</v>
      </c>
      <c r="E59" s="30" t="s">
        <v>23</v>
      </c>
      <c r="F59" s="30" t="s">
        <v>29</v>
      </c>
      <c r="G59" s="30" t="s">
        <v>50</v>
      </c>
      <c r="H59" s="30" t="s">
        <v>58</v>
      </c>
      <c r="I59" s="36">
        <v>44427</v>
      </c>
      <c r="J59" s="30">
        <v>2</v>
      </c>
      <c r="K59" s="30">
        <v>73</v>
      </c>
      <c r="L59" s="30">
        <v>73</v>
      </c>
      <c r="M59" s="23">
        <f>((L59*31000)+(L59*31000)*10%)+8250+((0*150))</f>
        <v>2497550</v>
      </c>
      <c r="N59" s="21">
        <f t="shared" si="6"/>
        <v>88330</v>
      </c>
      <c r="O59" s="21">
        <f t="shared" si="7"/>
        <v>151701</v>
      </c>
      <c r="P59" s="21">
        <f t="shared" si="8"/>
        <v>80300</v>
      </c>
      <c r="Q59" s="14">
        <f t="shared" si="5"/>
        <v>2817881</v>
      </c>
      <c r="R59" s="122">
        <v>2817881</v>
      </c>
      <c r="S59" s="130" t="s">
        <v>841</v>
      </c>
      <c r="T59" s="122" t="s">
        <v>27</v>
      </c>
      <c r="U59" s="30"/>
      <c r="V59" s="30"/>
    </row>
    <row r="60" spans="1:22" hidden="1" x14ac:dyDescent="0.25">
      <c r="A60" s="26">
        <v>59</v>
      </c>
      <c r="B60" s="30" t="s">
        <v>792</v>
      </c>
      <c r="C60" s="26" t="s">
        <v>29</v>
      </c>
      <c r="D60" s="30" t="s">
        <v>30</v>
      </c>
      <c r="E60" s="30" t="s">
        <v>473</v>
      </c>
      <c r="F60" s="30" t="s">
        <v>29</v>
      </c>
      <c r="G60" s="30" t="s">
        <v>60</v>
      </c>
      <c r="H60" s="30" t="s">
        <v>816</v>
      </c>
      <c r="I60" s="36">
        <v>44427</v>
      </c>
      <c r="J60" s="30">
        <v>3</v>
      </c>
      <c r="K60" s="30">
        <v>58</v>
      </c>
      <c r="L60" s="30">
        <v>58</v>
      </c>
      <c r="M60" s="23">
        <f>((L60*14500)+(L60*14500)*10%)+8250+((0*150))</f>
        <v>933350</v>
      </c>
      <c r="N60" s="21">
        <f t="shared" si="6"/>
        <v>70180</v>
      </c>
      <c r="O60" s="21">
        <f t="shared" si="7"/>
        <v>121146</v>
      </c>
      <c r="P60" s="21">
        <f>L60*2100</f>
        <v>121800</v>
      </c>
      <c r="Q60" s="14">
        <f t="shared" si="5"/>
        <v>1246476</v>
      </c>
      <c r="R60" s="121">
        <v>86168500</v>
      </c>
      <c r="S60" s="128" t="s">
        <v>1075</v>
      </c>
      <c r="T60" s="121" t="s">
        <v>27</v>
      </c>
      <c r="U60" s="30"/>
      <c r="V60" s="30"/>
    </row>
    <row r="61" spans="1:22" hidden="1" x14ac:dyDescent="0.25">
      <c r="A61" s="26">
        <v>60</v>
      </c>
      <c r="B61" s="30" t="s">
        <v>803</v>
      </c>
      <c r="C61" s="26" t="s">
        <v>29</v>
      </c>
      <c r="D61" s="30" t="s">
        <v>30</v>
      </c>
      <c r="E61" s="30" t="s">
        <v>473</v>
      </c>
      <c r="F61" s="30" t="s">
        <v>29</v>
      </c>
      <c r="G61" s="30" t="s">
        <v>184</v>
      </c>
      <c r="H61" s="30" t="s">
        <v>219</v>
      </c>
      <c r="I61" s="36">
        <v>44427</v>
      </c>
      <c r="J61" s="30">
        <v>4</v>
      </c>
      <c r="K61" s="30">
        <v>60</v>
      </c>
      <c r="L61" s="30">
        <v>60</v>
      </c>
      <c r="M61" s="23">
        <f>((L61*14000)+(L61*14000)*10%)+8250+((0*150))</f>
        <v>932250</v>
      </c>
      <c r="N61" s="21">
        <f t="shared" si="6"/>
        <v>72600</v>
      </c>
      <c r="O61" s="21">
        <f t="shared" si="7"/>
        <v>125220</v>
      </c>
      <c r="P61" s="21">
        <f>L61*2100</f>
        <v>126000</v>
      </c>
      <c r="Q61" s="14">
        <f t="shared" si="5"/>
        <v>1256070</v>
      </c>
      <c r="R61" s="121">
        <v>86168500</v>
      </c>
      <c r="S61" s="128" t="s">
        <v>1075</v>
      </c>
      <c r="T61" s="121" t="s">
        <v>27</v>
      </c>
      <c r="U61" s="30"/>
      <c r="V61" s="30"/>
    </row>
    <row r="62" spans="1:22" x14ac:dyDescent="0.25">
      <c r="A62" s="26">
        <v>61</v>
      </c>
      <c r="B62" s="30" t="s">
        <v>812</v>
      </c>
      <c r="C62" s="26" t="s">
        <v>29</v>
      </c>
      <c r="D62" s="30" t="s">
        <v>815</v>
      </c>
      <c r="E62" s="30" t="s">
        <v>23</v>
      </c>
      <c r="F62" s="30" t="s">
        <v>29</v>
      </c>
      <c r="G62" s="30" t="s">
        <v>241</v>
      </c>
      <c r="H62" s="30" t="s">
        <v>102</v>
      </c>
      <c r="I62" s="36">
        <v>44428</v>
      </c>
      <c r="J62" s="30">
        <v>14</v>
      </c>
      <c r="K62" s="30">
        <v>52</v>
      </c>
      <c r="L62" s="30">
        <v>52</v>
      </c>
      <c r="M62" s="23">
        <f>((L62*27500)+(L62*27500)*10%)+8250+((L62*165))</f>
        <v>1589830</v>
      </c>
      <c r="N62" s="21">
        <f t="shared" si="6"/>
        <v>62920</v>
      </c>
      <c r="O62" s="21">
        <f t="shared" si="7"/>
        <v>108924</v>
      </c>
      <c r="P62" s="21">
        <f>L62*1100</f>
        <v>57200</v>
      </c>
      <c r="Q62" s="14">
        <f t="shared" si="5"/>
        <v>1818874</v>
      </c>
      <c r="R62" s="122" t="s">
        <v>94</v>
      </c>
      <c r="S62" s="122" t="s">
        <v>94</v>
      </c>
      <c r="T62" s="122" t="s">
        <v>94</v>
      </c>
      <c r="U62" s="30"/>
      <c r="V62" s="30"/>
    </row>
    <row r="63" spans="1:22" hidden="1" x14ac:dyDescent="0.25">
      <c r="A63" s="26">
        <v>62</v>
      </c>
      <c r="B63" s="30" t="s">
        <v>813</v>
      </c>
      <c r="C63" s="26" t="s">
        <v>29</v>
      </c>
      <c r="D63" s="30" t="s">
        <v>30</v>
      </c>
      <c r="E63" s="30" t="s">
        <v>473</v>
      </c>
      <c r="F63" s="30" t="s">
        <v>29</v>
      </c>
      <c r="G63" s="30" t="s">
        <v>210</v>
      </c>
      <c r="H63" s="30" t="s">
        <v>516</v>
      </c>
      <c r="I63" s="36">
        <v>44428</v>
      </c>
      <c r="J63" s="30">
        <v>7</v>
      </c>
      <c r="K63" s="30">
        <v>135</v>
      </c>
      <c r="L63" s="30">
        <v>135</v>
      </c>
      <c r="M63" s="23">
        <f>((L63*8500)+(L63*8500)*10%)+8250+((0*150))</f>
        <v>1270500</v>
      </c>
      <c r="N63" s="21">
        <f t="shared" si="6"/>
        <v>163350</v>
      </c>
      <c r="O63" s="21">
        <f t="shared" si="7"/>
        <v>277995</v>
      </c>
      <c r="P63" s="21">
        <f>L63*2100</f>
        <v>283500</v>
      </c>
      <c r="Q63" s="14">
        <f t="shared" si="5"/>
        <v>1995345</v>
      </c>
      <c r="R63" s="121">
        <v>86168500</v>
      </c>
      <c r="S63" s="128" t="s">
        <v>1075</v>
      </c>
      <c r="T63" s="121" t="s">
        <v>27</v>
      </c>
      <c r="U63" s="30"/>
      <c r="V63" s="30"/>
    </row>
    <row r="64" spans="1:22" hidden="1" x14ac:dyDescent="0.25">
      <c r="A64" s="26">
        <v>63</v>
      </c>
      <c r="B64" s="30" t="s">
        <v>814</v>
      </c>
      <c r="C64" s="26" t="s">
        <v>29</v>
      </c>
      <c r="D64" s="30" t="s">
        <v>30</v>
      </c>
      <c r="E64" s="30" t="s">
        <v>473</v>
      </c>
      <c r="F64" s="30" t="s">
        <v>29</v>
      </c>
      <c r="G64" s="30" t="s">
        <v>210</v>
      </c>
      <c r="H64" s="30" t="s">
        <v>516</v>
      </c>
      <c r="I64" s="36">
        <v>44428</v>
      </c>
      <c r="J64" s="30">
        <v>10</v>
      </c>
      <c r="K64" s="30">
        <v>225</v>
      </c>
      <c r="L64" s="30">
        <v>225</v>
      </c>
      <c r="M64" s="23">
        <f>((L64*8500)+(L64*8500)*10%)+8250+((0*150))</f>
        <v>2112000</v>
      </c>
      <c r="N64" s="21">
        <f t="shared" si="6"/>
        <v>272250</v>
      </c>
      <c r="O64" s="21">
        <f t="shared" si="7"/>
        <v>461325</v>
      </c>
      <c r="P64" s="21">
        <f>L64*2100</f>
        <v>472500</v>
      </c>
      <c r="Q64" s="14">
        <f t="shared" si="5"/>
        <v>3318075</v>
      </c>
      <c r="R64" s="121">
        <v>86168500</v>
      </c>
      <c r="S64" s="128" t="s">
        <v>1075</v>
      </c>
      <c r="T64" s="121" t="s">
        <v>27</v>
      </c>
      <c r="U64" s="30"/>
      <c r="V64" s="30"/>
    </row>
    <row r="65" spans="1:22" hidden="1" x14ac:dyDescent="0.25">
      <c r="A65" s="26">
        <v>64</v>
      </c>
      <c r="B65" s="30" t="s">
        <v>824</v>
      </c>
      <c r="C65" s="26" t="s">
        <v>29</v>
      </c>
      <c r="D65" s="30" t="s">
        <v>574</v>
      </c>
      <c r="E65" s="30" t="s">
        <v>23</v>
      </c>
      <c r="F65" s="30" t="s">
        <v>29</v>
      </c>
      <c r="G65" s="30" t="s">
        <v>115</v>
      </c>
      <c r="H65" s="30" t="s">
        <v>116</v>
      </c>
      <c r="I65" s="140">
        <v>44429</v>
      </c>
      <c r="J65" s="30">
        <v>10</v>
      </c>
      <c r="K65" s="30">
        <v>187</v>
      </c>
      <c r="L65" s="30">
        <v>187</v>
      </c>
      <c r="M65" s="23">
        <f>((L65*60500)+(L65*60500)*10%)+8250+((0*165))</f>
        <v>12453100</v>
      </c>
      <c r="N65" s="21">
        <f t="shared" si="6"/>
        <v>226270</v>
      </c>
      <c r="O65" s="21">
        <f t="shared" si="7"/>
        <v>383919</v>
      </c>
      <c r="P65" s="21">
        <f>L65*2500</f>
        <v>467500</v>
      </c>
      <c r="Q65" s="14">
        <f t="shared" si="5"/>
        <v>13530789</v>
      </c>
      <c r="R65" s="122">
        <v>27569147</v>
      </c>
      <c r="S65" s="130" t="s">
        <v>967</v>
      </c>
      <c r="T65" s="122" t="s">
        <v>27</v>
      </c>
      <c r="U65" s="30"/>
      <c r="V65" s="30"/>
    </row>
    <row r="66" spans="1:22" hidden="1" x14ac:dyDescent="0.25">
      <c r="A66" s="26">
        <v>65</v>
      </c>
      <c r="B66" s="30" t="s">
        <v>825</v>
      </c>
      <c r="C66" s="26" t="s">
        <v>29</v>
      </c>
      <c r="D66" s="30" t="s">
        <v>574</v>
      </c>
      <c r="E66" s="30" t="s">
        <v>23</v>
      </c>
      <c r="F66" s="30" t="s">
        <v>29</v>
      </c>
      <c r="G66" s="30" t="s">
        <v>115</v>
      </c>
      <c r="H66" s="30" t="s">
        <v>116</v>
      </c>
      <c r="I66" s="140">
        <v>44429</v>
      </c>
      <c r="J66" s="30">
        <v>7</v>
      </c>
      <c r="K66" s="30">
        <v>102</v>
      </c>
      <c r="L66" s="30">
        <v>102</v>
      </c>
      <c r="M66" s="23">
        <f>((L66*60500)+(L66*60500)*10%)+8250+((0*165))</f>
        <v>6796350</v>
      </c>
      <c r="N66" s="21">
        <f t="shared" si="6"/>
        <v>123420</v>
      </c>
      <c r="O66" s="21">
        <f t="shared" si="7"/>
        <v>210774</v>
      </c>
      <c r="P66" s="21">
        <f>L66*2500</f>
        <v>255000</v>
      </c>
      <c r="Q66" s="14">
        <f t="shared" ref="Q66:Q97" si="9">SUM(M66:P66)</f>
        <v>7385544</v>
      </c>
      <c r="R66" s="122">
        <v>27569147</v>
      </c>
      <c r="S66" s="130" t="s">
        <v>967</v>
      </c>
      <c r="T66" s="122" t="s">
        <v>27</v>
      </c>
      <c r="U66" s="30"/>
      <c r="V66" s="30"/>
    </row>
    <row r="67" spans="1:22" hidden="1" x14ac:dyDescent="0.25">
      <c r="A67" s="26">
        <v>66</v>
      </c>
      <c r="B67" s="30" t="s">
        <v>826</v>
      </c>
      <c r="C67" s="26" t="s">
        <v>29</v>
      </c>
      <c r="D67" s="30" t="s">
        <v>574</v>
      </c>
      <c r="E67" s="30" t="s">
        <v>473</v>
      </c>
      <c r="F67" s="30" t="s">
        <v>29</v>
      </c>
      <c r="G67" s="30" t="s">
        <v>494</v>
      </c>
      <c r="H67" s="30" t="s">
        <v>110</v>
      </c>
      <c r="I67" s="140">
        <v>44429</v>
      </c>
      <c r="J67" s="30">
        <v>2</v>
      </c>
      <c r="K67" s="30">
        <v>50</v>
      </c>
      <c r="L67" s="30">
        <v>56</v>
      </c>
      <c r="M67" s="23">
        <f>((L67*53500)+(L67*53500)*10%)+8250+((0*165))</f>
        <v>3303850</v>
      </c>
      <c r="N67" s="21">
        <f t="shared" si="6"/>
        <v>67760</v>
      </c>
      <c r="O67" s="21">
        <f t="shared" si="7"/>
        <v>117072</v>
      </c>
      <c r="P67" s="21">
        <f>L67*2500</f>
        <v>140000</v>
      </c>
      <c r="Q67" s="14">
        <f t="shared" si="9"/>
        <v>3628682</v>
      </c>
      <c r="R67" s="122">
        <v>27569147</v>
      </c>
      <c r="S67" s="130" t="s">
        <v>967</v>
      </c>
      <c r="T67" s="122" t="s">
        <v>27</v>
      </c>
      <c r="U67" s="30"/>
      <c r="V67" s="30"/>
    </row>
    <row r="68" spans="1:22" hidden="1" x14ac:dyDescent="0.25">
      <c r="A68" s="26">
        <v>67</v>
      </c>
      <c r="B68" s="30" t="s">
        <v>821</v>
      </c>
      <c r="C68" s="26" t="s">
        <v>29</v>
      </c>
      <c r="D68" s="30" t="s">
        <v>491</v>
      </c>
      <c r="E68" s="30" t="s">
        <v>23</v>
      </c>
      <c r="F68" s="30" t="s">
        <v>29</v>
      </c>
      <c r="G68" s="30" t="s">
        <v>235</v>
      </c>
      <c r="H68" s="30" t="s">
        <v>110</v>
      </c>
      <c r="I68" s="36">
        <v>44429</v>
      </c>
      <c r="J68" s="30">
        <v>2</v>
      </c>
      <c r="K68" s="30">
        <v>40</v>
      </c>
      <c r="L68" s="30">
        <v>40</v>
      </c>
      <c r="M68" s="23">
        <f>((L68*35500)+(L68*35500)*10%)+8250+((L68*165))</f>
        <v>1576850</v>
      </c>
      <c r="N68" s="21">
        <f t="shared" si="6"/>
        <v>48400</v>
      </c>
      <c r="O68" s="21">
        <f t="shared" si="7"/>
        <v>84480</v>
      </c>
      <c r="P68" s="21">
        <f>L68*1100</f>
        <v>44000</v>
      </c>
      <c r="Q68" s="14">
        <f t="shared" si="9"/>
        <v>1753730</v>
      </c>
      <c r="R68" s="122">
        <v>20539404</v>
      </c>
      <c r="S68" s="130" t="s">
        <v>842</v>
      </c>
      <c r="T68" s="122" t="s">
        <v>27</v>
      </c>
      <c r="U68" s="30"/>
      <c r="V68" s="30"/>
    </row>
    <row r="69" spans="1:22" x14ac:dyDescent="0.25">
      <c r="A69" s="26">
        <v>68</v>
      </c>
      <c r="B69" s="30" t="s">
        <v>820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210</v>
      </c>
      <c r="H69" s="30" t="s">
        <v>516</v>
      </c>
      <c r="I69" s="36">
        <v>44429</v>
      </c>
      <c r="J69" s="30">
        <v>5</v>
      </c>
      <c r="K69" s="30">
        <v>22</v>
      </c>
      <c r="L69" s="30">
        <v>35</v>
      </c>
      <c r="M69" s="23">
        <f>((L69*8500)+(L69*8500)*10%)+8250+((0*150))</f>
        <v>335500</v>
      </c>
      <c r="N69" s="21">
        <f t="shared" si="6"/>
        <v>42350</v>
      </c>
      <c r="O69" s="21">
        <f t="shared" si="7"/>
        <v>74295</v>
      </c>
      <c r="P69" s="21">
        <f>L69*1100</f>
        <v>38500</v>
      </c>
      <c r="Q69" s="14">
        <f t="shared" si="9"/>
        <v>490645</v>
      </c>
      <c r="R69" s="122" t="s">
        <v>94</v>
      </c>
      <c r="S69" s="122" t="s">
        <v>94</v>
      </c>
      <c r="T69" s="122" t="s">
        <v>94</v>
      </c>
      <c r="U69" s="30"/>
      <c r="V69" s="30"/>
    </row>
    <row r="70" spans="1:22" hidden="1" x14ac:dyDescent="0.25">
      <c r="A70" s="26">
        <v>69</v>
      </c>
      <c r="B70" s="30" t="s">
        <v>827</v>
      </c>
      <c r="C70" s="26" t="s">
        <v>29</v>
      </c>
      <c r="D70" s="30" t="s">
        <v>30</v>
      </c>
      <c r="E70" s="30" t="s">
        <v>23</v>
      </c>
      <c r="F70" s="30" t="s">
        <v>29</v>
      </c>
      <c r="G70" s="30" t="s">
        <v>79</v>
      </c>
      <c r="H70" s="30" t="s">
        <v>782</v>
      </c>
      <c r="I70" s="140">
        <v>44429</v>
      </c>
      <c r="J70" s="30">
        <v>7</v>
      </c>
      <c r="K70" s="30">
        <v>104</v>
      </c>
      <c r="L70" s="30">
        <v>104</v>
      </c>
      <c r="M70" s="23">
        <f>((L70*15000)+(L70*15000)*10%)+8250+((0*165))</f>
        <v>1724250</v>
      </c>
      <c r="N70" s="21">
        <f t="shared" si="6"/>
        <v>125840</v>
      </c>
      <c r="O70" s="21">
        <f t="shared" si="7"/>
        <v>214848</v>
      </c>
      <c r="P70" s="21">
        <f>L70*2100</f>
        <v>218400</v>
      </c>
      <c r="Q70" s="14">
        <f t="shared" si="9"/>
        <v>2283338</v>
      </c>
      <c r="R70" s="121">
        <v>86168500</v>
      </c>
      <c r="S70" s="128" t="s">
        <v>1075</v>
      </c>
      <c r="T70" s="121" t="s">
        <v>27</v>
      </c>
      <c r="U70" s="30"/>
      <c r="V70" s="30"/>
    </row>
    <row r="71" spans="1:22" hidden="1" x14ac:dyDescent="0.25">
      <c r="A71" s="26">
        <v>70</v>
      </c>
      <c r="B71" s="30" t="s">
        <v>828</v>
      </c>
      <c r="C71" s="26" t="s">
        <v>29</v>
      </c>
      <c r="D71" s="30" t="s">
        <v>837</v>
      </c>
      <c r="E71" s="30" t="s">
        <v>23</v>
      </c>
      <c r="F71" s="30" t="s">
        <v>29</v>
      </c>
      <c r="G71" s="30" t="s">
        <v>50</v>
      </c>
      <c r="H71" s="30" t="s">
        <v>58</v>
      </c>
      <c r="I71" s="140">
        <v>44431</v>
      </c>
      <c r="J71" s="30">
        <v>1</v>
      </c>
      <c r="K71" s="30">
        <v>1</v>
      </c>
      <c r="L71" s="30">
        <v>10</v>
      </c>
      <c r="M71" s="23">
        <f>((L71*31000)+(L71*31000)*10%)+8250+((0*165))</f>
        <v>349250</v>
      </c>
      <c r="N71" s="21">
        <f t="shared" si="6"/>
        <v>12100</v>
      </c>
      <c r="O71" s="21">
        <f t="shared" si="7"/>
        <v>23370</v>
      </c>
      <c r="P71" s="21">
        <f t="shared" ref="P71:P77" si="10">L71*1100</f>
        <v>11000</v>
      </c>
      <c r="Q71" s="14">
        <f t="shared" si="9"/>
        <v>395720</v>
      </c>
      <c r="R71" s="122">
        <v>3098390</v>
      </c>
      <c r="S71" s="122" t="s">
        <v>866</v>
      </c>
      <c r="T71" s="122" t="s">
        <v>27</v>
      </c>
      <c r="U71" s="30"/>
      <c r="V71" s="30"/>
    </row>
    <row r="72" spans="1:22" hidden="1" x14ac:dyDescent="0.25">
      <c r="A72" s="26">
        <v>71</v>
      </c>
      <c r="B72" s="30" t="s">
        <v>829</v>
      </c>
      <c r="C72" s="26" t="s">
        <v>29</v>
      </c>
      <c r="D72" s="30" t="s">
        <v>837</v>
      </c>
      <c r="E72" s="30" t="s">
        <v>23</v>
      </c>
      <c r="F72" s="30" t="s">
        <v>29</v>
      </c>
      <c r="G72" s="30" t="s">
        <v>76</v>
      </c>
      <c r="H72" s="30" t="s">
        <v>819</v>
      </c>
      <c r="I72" s="140">
        <v>44431</v>
      </c>
      <c r="J72" s="30">
        <v>1</v>
      </c>
      <c r="K72" s="30">
        <v>1</v>
      </c>
      <c r="L72" s="30">
        <v>10</v>
      </c>
      <c r="M72" s="23">
        <f>((L72*19000)+(L72*19000)*10%)+8250+((L72*165))</f>
        <v>218900</v>
      </c>
      <c r="N72" s="21">
        <f t="shared" si="6"/>
        <v>12100</v>
      </c>
      <c r="O72" s="21">
        <f t="shared" si="7"/>
        <v>23370</v>
      </c>
      <c r="P72" s="21">
        <f t="shared" si="10"/>
        <v>11000</v>
      </c>
      <c r="Q72" s="14">
        <f t="shared" si="9"/>
        <v>265370</v>
      </c>
      <c r="R72" s="122">
        <v>3098390</v>
      </c>
      <c r="S72" s="122" t="s">
        <v>866</v>
      </c>
      <c r="T72" s="122" t="s">
        <v>27</v>
      </c>
      <c r="U72" s="30"/>
      <c r="V72" s="30"/>
    </row>
    <row r="73" spans="1:22" hidden="1" x14ac:dyDescent="0.25">
      <c r="A73" s="26">
        <v>72</v>
      </c>
      <c r="B73" s="30" t="s">
        <v>830</v>
      </c>
      <c r="C73" s="26" t="s">
        <v>29</v>
      </c>
      <c r="D73" s="30" t="s">
        <v>837</v>
      </c>
      <c r="E73" s="30" t="s">
        <v>23</v>
      </c>
      <c r="F73" s="30" t="s">
        <v>29</v>
      </c>
      <c r="G73" s="30" t="s">
        <v>60</v>
      </c>
      <c r="H73" s="30" t="s">
        <v>61</v>
      </c>
      <c r="I73" s="140">
        <v>44431</v>
      </c>
      <c r="J73" s="30">
        <v>1</v>
      </c>
      <c r="K73" s="30">
        <v>1</v>
      </c>
      <c r="L73" s="30">
        <v>10</v>
      </c>
      <c r="M73" s="23">
        <f>((L73*14500)+(L73*14500)*10%)+8250+((0*165))</f>
        <v>167750</v>
      </c>
      <c r="N73" s="21">
        <f t="shared" ref="N73:N102" si="11">L73*1210</f>
        <v>12100</v>
      </c>
      <c r="O73" s="21">
        <f t="shared" ref="O73:O102" si="12">(L73*2037)+3000</f>
        <v>23370</v>
      </c>
      <c r="P73" s="21">
        <f t="shared" si="10"/>
        <v>11000</v>
      </c>
      <c r="Q73" s="14">
        <f t="shared" si="9"/>
        <v>214220</v>
      </c>
      <c r="R73" s="122">
        <v>3098390</v>
      </c>
      <c r="S73" s="122" t="s">
        <v>866</v>
      </c>
      <c r="T73" s="122" t="s">
        <v>27</v>
      </c>
      <c r="U73" s="30"/>
      <c r="V73" s="30"/>
    </row>
    <row r="74" spans="1:22" hidden="1" x14ac:dyDescent="0.25">
      <c r="A74" s="26">
        <v>73</v>
      </c>
      <c r="B74" s="30" t="s">
        <v>831</v>
      </c>
      <c r="C74" s="26" t="s">
        <v>29</v>
      </c>
      <c r="D74" s="30" t="s">
        <v>837</v>
      </c>
      <c r="E74" s="30" t="s">
        <v>23</v>
      </c>
      <c r="F74" s="30" t="s">
        <v>29</v>
      </c>
      <c r="G74" s="30" t="s">
        <v>24</v>
      </c>
      <c r="H74" s="30" t="s">
        <v>128</v>
      </c>
      <c r="I74" s="140">
        <v>44431</v>
      </c>
      <c r="J74" s="30">
        <v>1</v>
      </c>
      <c r="K74" s="30">
        <v>1</v>
      </c>
      <c r="L74" s="30">
        <v>10</v>
      </c>
      <c r="M74" s="23">
        <f>((L74*22000)+(L74*22000)*10%)+8250+((L74*165))</f>
        <v>251900</v>
      </c>
      <c r="N74" s="21">
        <f t="shared" si="11"/>
        <v>12100</v>
      </c>
      <c r="O74" s="21">
        <f t="shared" si="12"/>
        <v>23370</v>
      </c>
      <c r="P74" s="21">
        <f t="shared" si="10"/>
        <v>11000</v>
      </c>
      <c r="Q74" s="14">
        <f t="shared" si="9"/>
        <v>298370</v>
      </c>
      <c r="R74" s="122">
        <v>3098390</v>
      </c>
      <c r="S74" s="122" t="s">
        <v>866</v>
      </c>
      <c r="T74" s="122" t="s">
        <v>27</v>
      </c>
      <c r="U74" s="30"/>
      <c r="V74" s="30"/>
    </row>
    <row r="75" spans="1:22" hidden="1" x14ac:dyDescent="0.25">
      <c r="A75" s="26">
        <v>74</v>
      </c>
      <c r="B75" s="30" t="s">
        <v>834</v>
      </c>
      <c r="C75" s="26" t="s">
        <v>29</v>
      </c>
      <c r="D75" s="30" t="s">
        <v>837</v>
      </c>
      <c r="E75" s="30" t="s">
        <v>23</v>
      </c>
      <c r="F75" s="30" t="s">
        <v>29</v>
      </c>
      <c r="G75" s="30" t="s">
        <v>235</v>
      </c>
      <c r="H75" s="30" t="s">
        <v>533</v>
      </c>
      <c r="I75" s="140">
        <v>44431</v>
      </c>
      <c r="J75" s="30">
        <v>1</v>
      </c>
      <c r="K75" s="30">
        <v>1</v>
      </c>
      <c r="L75" s="30">
        <v>10</v>
      </c>
      <c r="M75" s="23">
        <f>((L75*35500)+(L75*35500)*10%)+8250+((L75*165))</f>
        <v>400400</v>
      </c>
      <c r="N75" s="21">
        <f t="shared" si="11"/>
        <v>12100</v>
      </c>
      <c r="O75" s="21">
        <f t="shared" si="12"/>
        <v>23370</v>
      </c>
      <c r="P75" s="21">
        <f t="shared" si="10"/>
        <v>11000</v>
      </c>
      <c r="Q75" s="14">
        <f t="shared" si="9"/>
        <v>446870</v>
      </c>
      <c r="R75" s="122">
        <v>3098390</v>
      </c>
      <c r="S75" s="122" t="s">
        <v>866</v>
      </c>
      <c r="T75" s="122" t="s">
        <v>27</v>
      </c>
      <c r="U75" s="30"/>
      <c r="V75" s="30"/>
    </row>
    <row r="76" spans="1:22" hidden="1" x14ac:dyDescent="0.25">
      <c r="A76" s="26">
        <v>75</v>
      </c>
      <c r="B76" s="30" t="s">
        <v>835</v>
      </c>
      <c r="C76" s="26" t="s">
        <v>29</v>
      </c>
      <c r="D76" s="30" t="s">
        <v>837</v>
      </c>
      <c r="E76" s="30" t="s">
        <v>23</v>
      </c>
      <c r="F76" s="30" t="s">
        <v>29</v>
      </c>
      <c r="G76" s="30" t="s">
        <v>838</v>
      </c>
      <c r="H76" s="30" t="s">
        <v>238</v>
      </c>
      <c r="I76" s="140">
        <v>44431</v>
      </c>
      <c r="J76" s="30">
        <v>1</v>
      </c>
      <c r="K76" s="30">
        <v>2</v>
      </c>
      <c r="L76" s="30">
        <v>10</v>
      </c>
      <c r="M76" s="23">
        <f>((L76*47600)+(L76*47600)*10%)+8250+((0*165))</f>
        <v>531850</v>
      </c>
      <c r="N76" s="21">
        <f t="shared" si="11"/>
        <v>12100</v>
      </c>
      <c r="O76" s="21">
        <f t="shared" si="12"/>
        <v>23370</v>
      </c>
      <c r="P76" s="21">
        <f t="shared" si="10"/>
        <v>11000</v>
      </c>
      <c r="Q76" s="14">
        <f t="shared" si="9"/>
        <v>578320</v>
      </c>
      <c r="R76" s="122">
        <v>3098390</v>
      </c>
      <c r="S76" s="122" t="s">
        <v>866</v>
      </c>
      <c r="T76" s="122" t="s">
        <v>27</v>
      </c>
      <c r="U76" s="30"/>
      <c r="V76" s="30"/>
    </row>
    <row r="77" spans="1:22" hidden="1" x14ac:dyDescent="0.25">
      <c r="A77" s="26">
        <v>76</v>
      </c>
      <c r="B77" s="30" t="s">
        <v>836</v>
      </c>
      <c r="C77" s="26" t="s">
        <v>29</v>
      </c>
      <c r="D77" s="30" t="s">
        <v>837</v>
      </c>
      <c r="E77" s="30" t="s">
        <v>23</v>
      </c>
      <c r="F77" s="30" t="s">
        <v>29</v>
      </c>
      <c r="G77" s="30" t="s">
        <v>839</v>
      </c>
      <c r="H77" s="30" t="s">
        <v>61</v>
      </c>
      <c r="I77" s="140">
        <v>44431</v>
      </c>
      <c r="J77" s="30">
        <v>1</v>
      </c>
      <c r="K77" s="30">
        <v>1</v>
      </c>
      <c r="L77" s="30">
        <v>10</v>
      </c>
      <c r="M77" s="23">
        <f>((L77*76800)+(L77*76800)*10%)+8250+((0*165))</f>
        <v>853050</v>
      </c>
      <c r="N77" s="21">
        <f t="shared" si="11"/>
        <v>12100</v>
      </c>
      <c r="O77" s="21">
        <f t="shared" si="12"/>
        <v>23370</v>
      </c>
      <c r="P77" s="21">
        <f t="shared" si="10"/>
        <v>11000</v>
      </c>
      <c r="Q77" s="14">
        <f t="shared" si="9"/>
        <v>899520</v>
      </c>
      <c r="R77" s="122">
        <v>3098390</v>
      </c>
      <c r="S77" s="122" t="s">
        <v>866</v>
      </c>
      <c r="T77" s="122" t="s">
        <v>27</v>
      </c>
      <c r="U77" s="30"/>
      <c r="V77" s="30"/>
    </row>
    <row r="78" spans="1:22" hidden="1" x14ac:dyDescent="0.25">
      <c r="A78" s="26">
        <v>77</v>
      </c>
      <c r="B78" s="30" t="s">
        <v>832</v>
      </c>
      <c r="C78" s="26" t="s">
        <v>29</v>
      </c>
      <c r="D78" s="30" t="s">
        <v>30</v>
      </c>
      <c r="E78" s="30" t="s">
        <v>473</v>
      </c>
      <c r="F78" s="30" t="s">
        <v>29</v>
      </c>
      <c r="G78" s="30" t="s">
        <v>79</v>
      </c>
      <c r="H78" s="30" t="s">
        <v>782</v>
      </c>
      <c r="I78" s="140">
        <v>44431</v>
      </c>
      <c r="J78" s="30">
        <v>15</v>
      </c>
      <c r="K78" s="30">
        <v>347</v>
      </c>
      <c r="L78" s="30">
        <v>347</v>
      </c>
      <c r="M78" s="23">
        <f>((L78*15000)+(L78*15000)*10%)+8250+((0*165))</f>
        <v>5733750</v>
      </c>
      <c r="N78" s="21">
        <f t="shared" si="11"/>
        <v>419870</v>
      </c>
      <c r="O78" s="21">
        <f t="shared" si="12"/>
        <v>709839</v>
      </c>
      <c r="P78" s="21">
        <f>L78*2100</f>
        <v>728700</v>
      </c>
      <c r="Q78" s="14">
        <f t="shared" si="9"/>
        <v>7592159</v>
      </c>
      <c r="R78" s="121">
        <v>86168500</v>
      </c>
      <c r="S78" s="128" t="s">
        <v>1075</v>
      </c>
      <c r="T78" s="121" t="s">
        <v>27</v>
      </c>
      <c r="U78" s="30"/>
      <c r="V78" s="30"/>
    </row>
    <row r="79" spans="1:22" hidden="1" x14ac:dyDescent="0.25">
      <c r="A79" s="26">
        <v>78</v>
      </c>
      <c r="B79" s="30" t="s">
        <v>833</v>
      </c>
      <c r="C79" s="26" t="s">
        <v>29</v>
      </c>
      <c r="D79" s="30" t="s">
        <v>30</v>
      </c>
      <c r="E79" s="30" t="s">
        <v>473</v>
      </c>
      <c r="F79" s="30" t="s">
        <v>29</v>
      </c>
      <c r="G79" s="30" t="s">
        <v>79</v>
      </c>
      <c r="H79" s="30" t="s">
        <v>782</v>
      </c>
      <c r="I79" s="140">
        <v>44431</v>
      </c>
      <c r="J79" s="30">
        <v>7</v>
      </c>
      <c r="K79" s="30">
        <v>190</v>
      </c>
      <c r="L79" s="30">
        <v>190</v>
      </c>
      <c r="M79" s="23">
        <f>((L79*15000)+(L79*15000)*10%)+8250+((0*165))</f>
        <v>3143250</v>
      </c>
      <c r="N79" s="21">
        <f t="shared" si="11"/>
        <v>229900</v>
      </c>
      <c r="O79" s="21">
        <f t="shared" si="12"/>
        <v>390030</v>
      </c>
      <c r="P79" s="21">
        <f>L79*2100</f>
        <v>399000</v>
      </c>
      <c r="Q79" s="14">
        <f t="shared" si="9"/>
        <v>4162180</v>
      </c>
      <c r="R79" s="121">
        <v>86168500</v>
      </c>
      <c r="S79" s="128" t="s">
        <v>1075</v>
      </c>
      <c r="T79" s="121" t="s">
        <v>27</v>
      </c>
      <c r="U79" s="30"/>
      <c r="V79" s="30"/>
    </row>
    <row r="80" spans="1:22" x14ac:dyDescent="0.25">
      <c r="A80" s="26">
        <v>79</v>
      </c>
      <c r="B80" s="30" t="s">
        <v>845</v>
      </c>
      <c r="C80" s="26" t="s">
        <v>29</v>
      </c>
      <c r="D80" s="30" t="s">
        <v>815</v>
      </c>
      <c r="E80" s="30" t="s">
        <v>23</v>
      </c>
      <c r="F80" s="30" t="s">
        <v>29</v>
      </c>
      <c r="G80" s="30" t="s">
        <v>24</v>
      </c>
      <c r="H80" s="30" t="s">
        <v>58</v>
      </c>
      <c r="I80" s="140">
        <v>44432</v>
      </c>
      <c r="J80" s="30">
        <v>6</v>
      </c>
      <c r="K80" s="30">
        <v>57</v>
      </c>
      <c r="L80" s="30">
        <v>57</v>
      </c>
      <c r="M80" s="23">
        <f>((L80*22000)+(L80*22000)*10%)+8250+((L80*165))</f>
        <v>1397055</v>
      </c>
      <c r="N80" s="21">
        <f t="shared" si="11"/>
        <v>68970</v>
      </c>
      <c r="O80" s="21">
        <f t="shared" si="12"/>
        <v>119109</v>
      </c>
      <c r="P80" s="21">
        <f t="shared" ref="P80:P94" si="13">L80*1100</f>
        <v>62700</v>
      </c>
      <c r="Q80" s="14">
        <f t="shared" si="9"/>
        <v>1647834</v>
      </c>
      <c r="R80" s="122" t="s">
        <v>94</v>
      </c>
      <c r="S80" s="122" t="s">
        <v>94</v>
      </c>
      <c r="T80" s="122" t="s">
        <v>94</v>
      </c>
      <c r="U80" s="30"/>
      <c r="V80" s="30"/>
    </row>
    <row r="81" spans="1:22" x14ac:dyDescent="0.25">
      <c r="A81" s="26">
        <v>80</v>
      </c>
      <c r="B81" s="30" t="s">
        <v>846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79</v>
      </c>
      <c r="H81" s="30" t="s">
        <v>638</v>
      </c>
      <c r="I81" s="140">
        <v>44432</v>
      </c>
      <c r="J81" s="30">
        <v>10</v>
      </c>
      <c r="K81" s="30">
        <v>124</v>
      </c>
      <c r="L81" s="30">
        <v>124</v>
      </c>
      <c r="M81" s="23">
        <f>((L81*15000)+(L81*15000)*10%)+8250+((0*165))</f>
        <v>2054250</v>
      </c>
      <c r="N81" s="21">
        <f t="shared" si="11"/>
        <v>150040</v>
      </c>
      <c r="O81" s="21">
        <f t="shared" si="12"/>
        <v>255588</v>
      </c>
      <c r="P81" s="21">
        <f t="shared" si="13"/>
        <v>136400</v>
      </c>
      <c r="Q81" s="14">
        <f t="shared" si="9"/>
        <v>2596278</v>
      </c>
      <c r="R81" s="122" t="s">
        <v>94</v>
      </c>
      <c r="S81" s="122" t="s">
        <v>94</v>
      </c>
      <c r="T81" s="122" t="s">
        <v>94</v>
      </c>
      <c r="U81" s="30"/>
      <c r="V81" s="30"/>
    </row>
    <row r="82" spans="1:22" x14ac:dyDescent="0.25">
      <c r="A82" s="26">
        <v>81</v>
      </c>
      <c r="B82" s="30" t="s">
        <v>847</v>
      </c>
      <c r="C82" s="26" t="s">
        <v>29</v>
      </c>
      <c r="D82" s="30" t="s">
        <v>815</v>
      </c>
      <c r="E82" s="30" t="s">
        <v>23</v>
      </c>
      <c r="F82" s="30" t="s">
        <v>29</v>
      </c>
      <c r="G82" s="30" t="s">
        <v>79</v>
      </c>
      <c r="H82" s="30" t="s">
        <v>638</v>
      </c>
      <c r="I82" s="140">
        <v>44432</v>
      </c>
      <c r="J82" s="30">
        <v>7</v>
      </c>
      <c r="K82" s="30">
        <v>153</v>
      </c>
      <c r="L82" s="30">
        <v>153</v>
      </c>
      <c r="M82" s="23">
        <f>((L82*15000)+(L82*15000)*10%)+8250+((0*165))</f>
        <v>2532750</v>
      </c>
      <c r="N82" s="21">
        <f t="shared" si="11"/>
        <v>185130</v>
      </c>
      <c r="O82" s="21">
        <f t="shared" si="12"/>
        <v>314661</v>
      </c>
      <c r="P82" s="21">
        <f t="shared" si="13"/>
        <v>168300</v>
      </c>
      <c r="Q82" s="14">
        <f t="shared" si="9"/>
        <v>3200841</v>
      </c>
      <c r="R82" s="122" t="s">
        <v>94</v>
      </c>
      <c r="S82" s="122" t="s">
        <v>94</v>
      </c>
      <c r="T82" s="122" t="s">
        <v>94</v>
      </c>
      <c r="U82" s="30"/>
      <c r="V82" s="30"/>
    </row>
    <row r="83" spans="1:22" hidden="1" x14ac:dyDescent="0.25">
      <c r="A83" s="26">
        <v>82</v>
      </c>
      <c r="B83" s="30" t="s">
        <v>848</v>
      </c>
      <c r="C83" s="26" t="s">
        <v>29</v>
      </c>
      <c r="D83" s="30" t="s">
        <v>491</v>
      </c>
      <c r="E83" s="30" t="s">
        <v>23</v>
      </c>
      <c r="F83" s="30" t="s">
        <v>29</v>
      </c>
      <c r="G83" s="30" t="s">
        <v>184</v>
      </c>
      <c r="H83" s="30" t="s">
        <v>219</v>
      </c>
      <c r="I83" s="140">
        <v>44433</v>
      </c>
      <c r="J83" s="30">
        <v>2</v>
      </c>
      <c r="K83" s="30">
        <v>35</v>
      </c>
      <c r="L83" s="30">
        <v>35</v>
      </c>
      <c r="M83" s="23">
        <f>((L83*14000)+(L83*14000)*10%)+8250+((0*165))</f>
        <v>547250</v>
      </c>
      <c r="N83" s="21">
        <f t="shared" si="11"/>
        <v>42350</v>
      </c>
      <c r="O83" s="21">
        <f t="shared" si="12"/>
        <v>74295</v>
      </c>
      <c r="P83" s="21">
        <f t="shared" si="13"/>
        <v>38500</v>
      </c>
      <c r="Q83" s="14">
        <f t="shared" si="9"/>
        <v>702395</v>
      </c>
      <c r="R83" s="122">
        <v>17001066</v>
      </c>
      <c r="S83" s="130" t="s">
        <v>966</v>
      </c>
      <c r="T83" s="122" t="s">
        <v>27</v>
      </c>
      <c r="U83" s="30"/>
      <c r="V83" s="30"/>
    </row>
    <row r="84" spans="1:22" hidden="1" x14ac:dyDescent="0.25">
      <c r="A84" s="26">
        <v>83</v>
      </c>
      <c r="B84" s="30" t="s">
        <v>849</v>
      </c>
      <c r="C84" s="26" t="s">
        <v>29</v>
      </c>
      <c r="D84" s="30" t="s">
        <v>857</v>
      </c>
      <c r="E84" s="30" t="s">
        <v>546</v>
      </c>
      <c r="F84" s="30" t="s">
        <v>29</v>
      </c>
      <c r="G84" s="30" t="s">
        <v>79</v>
      </c>
      <c r="H84" s="30" t="s">
        <v>782</v>
      </c>
      <c r="I84" s="140">
        <v>44434</v>
      </c>
      <c r="J84" s="30">
        <v>11</v>
      </c>
      <c r="K84" s="30">
        <v>172</v>
      </c>
      <c r="L84" s="30">
        <v>172</v>
      </c>
      <c r="M84" s="23">
        <f>((L84*15000)+(L84*15000)*10%)+8250+((0*165))</f>
        <v>2846250</v>
      </c>
      <c r="N84" s="21">
        <f t="shared" si="11"/>
        <v>208120</v>
      </c>
      <c r="O84" s="21">
        <f t="shared" si="12"/>
        <v>353364</v>
      </c>
      <c r="P84" s="21">
        <f t="shared" si="13"/>
        <v>189200</v>
      </c>
      <c r="Q84" s="14">
        <f t="shared" si="9"/>
        <v>3596934</v>
      </c>
      <c r="R84" s="122">
        <v>25254042</v>
      </c>
      <c r="S84" s="130" t="s">
        <v>946</v>
      </c>
      <c r="T84" s="122" t="s">
        <v>27</v>
      </c>
      <c r="U84" s="30"/>
      <c r="V84" s="30"/>
    </row>
    <row r="85" spans="1:22" hidden="1" x14ac:dyDescent="0.25">
      <c r="A85" s="26">
        <v>84</v>
      </c>
      <c r="B85" s="30" t="s">
        <v>850</v>
      </c>
      <c r="C85" s="26" t="s">
        <v>29</v>
      </c>
      <c r="D85" s="30" t="s">
        <v>857</v>
      </c>
      <c r="E85" s="30" t="s">
        <v>546</v>
      </c>
      <c r="F85" s="30" t="s">
        <v>29</v>
      </c>
      <c r="G85" s="30" t="s">
        <v>79</v>
      </c>
      <c r="H85" s="30" t="s">
        <v>782</v>
      </c>
      <c r="I85" s="140">
        <v>44434</v>
      </c>
      <c r="J85" s="30">
        <v>15</v>
      </c>
      <c r="K85" s="30">
        <v>138</v>
      </c>
      <c r="L85" s="30">
        <v>227</v>
      </c>
      <c r="M85" s="23">
        <f>((L85*15000)+(L85*15000)*10%)+8250+((0*165))</f>
        <v>3753750</v>
      </c>
      <c r="N85" s="21">
        <f t="shared" si="11"/>
        <v>274670</v>
      </c>
      <c r="O85" s="21">
        <f t="shared" si="12"/>
        <v>465399</v>
      </c>
      <c r="P85" s="21">
        <f t="shared" si="13"/>
        <v>249700</v>
      </c>
      <c r="Q85" s="14">
        <f t="shared" si="9"/>
        <v>4743519</v>
      </c>
      <c r="R85" s="122">
        <v>25254042</v>
      </c>
      <c r="S85" s="130" t="s">
        <v>946</v>
      </c>
      <c r="T85" s="122" t="s">
        <v>27</v>
      </c>
      <c r="U85" s="30"/>
      <c r="V85" s="30"/>
    </row>
    <row r="86" spans="1:22" hidden="1" x14ac:dyDescent="0.25">
      <c r="A86" s="26">
        <v>85</v>
      </c>
      <c r="B86" s="30" t="s">
        <v>851</v>
      </c>
      <c r="C86" s="26" t="s">
        <v>29</v>
      </c>
      <c r="D86" s="30" t="s">
        <v>857</v>
      </c>
      <c r="E86" s="30" t="s">
        <v>546</v>
      </c>
      <c r="F86" s="30" t="s">
        <v>29</v>
      </c>
      <c r="G86" s="30" t="s">
        <v>79</v>
      </c>
      <c r="H86" s="30" t="s">
        <v>782</v>
      </c>
      <c r="I86" s="140">
        <v>44434</v>
      </c>
      <c r="J86" s="30">
        <v>15</v>
      </c>
      <c r="K86" s="30">
        <v>240</v>
      </c>
      <c r="L86" s="30">
        <v>240</v>
      </c>
      <c r="M86" s="23">
        <f>((L86*15000)+(L86*15000)*10%)+8250+((0*165))</f>
        <v>3968250</v>
      </c>
      <c r="N86" s="21">
        <f t="shared" si="11"/>
        <v>290400</v>
      </c>
      <c r="O86" s="21">
        <f t="shared" si="12"/>
        <v>491880</v>
      </c>
      <c r="P86" s="21">
        <f t="shared" si="13"/>
        <v>264000</v>
      </c>
      <c r="Q86" s="14">
        <f t="shared" si="9"/>
        <v>5014530</v>
      </c>
      <c r="R86" s="122">
        <v>25254042</v>
      </c>
      <c r="S86" s="130" t="s">
        <v>946</v>
      </c>
      <c r="T86" s="122" t="s">
        <v>27</v>
      </c>
      <c r="U86" s="30"/>
      <c r="V86" s="30"/>
    </row>
    <row r="87" spans="1:22" hidden="1" x14ac:dyDescent="0.25">
      <c r="A87" s="26">
        <v>86</v>
      </c>
      <c r="B87" s="30" t="s">
        <v>852</v>
      </c>
      <c r="C87" s="26" t="s">
        <v>29</v>
      </c>
      <c r="D87" s="30" t="s">
        <v>857</v>
      </c>
      <c r="E87" s="30" t="s">
        <v>546</v>
      </c>
      <c r="F87" s="30" t="s">
        <v>29</v>
      </c>
      <c r="G87" s="30" t="s">
        <v>79</v>
      </c>
      <c r="H87" s="30" t="s">
        <v>782</v>
      </c>
      <c r="I87" s="140">
        <v>44434</v>
      </c>
      <c r="J87" s="30">
        <v>14</v>
      </c>
      <c r="K87" s="30">
        <v>240</v>
      </c>
      <c r="L87" s="30">
        <v>243</v>
      </c>
      <c r="M87" s="23">
        <f>((L87*15000)+(L87*15000)*10%)+8250+((0*165))</f>
        <v>4017750</v>
      </c>
      <c r="N87" s="21">
        <f t="shared" si="11"/>
        <v>294030</v>
      </c>
      <c r="O87" s="21">
        <f t="shared" si="12"/>
        <v>497991</v>
      </c>
      <c r="P87" s="21">
        <f t="shared" si="13"/>
        <v>267300</v>
      </c>
      <c r="Q87" s="14">
        <f t="shared" si="9"/>
        <v>5077071</v>
      </c>
      <c r="R87" s="122">
        <v>25254042</v>
      </c>
      <c r="S87" s="130" t="s">
        <v>946</v>
      </c>
      <c r="T87" s="122" t="s">
        <v>27</v>
      </c>
      <c r="U87" s="30"/>
      <c r="V87" s="30"/>
    </row>
    <row r="88" spans="1:22" hidden="1" x14ac:dyDescent="0.25">
      <c r="A88" s="26">
        <v>87</v>
      </c>
      <c r="B88" s="30" t="s">
        <v>853</v>
      </c>
      <c r="C88" s="26" t="s">
        <v>29</v>
      </c>
      <c r="D88" s="30" t="s">
        <v>857</v>
      </c>
      <c r="E88" s="30" t="s">
        <v>546</v>
      </c>
      <c r="F88" s="30" t="s">
        <v>29</v>
      </c>
      <c r="G88" s="30" t="s">
        <v>79</v>
      </c>
      <c r="H88" s="30" t="s">
        <v>782</v>
      </c>
      <c r="I88" s="140">
        <v>44434</v>
      </c>
      <c r="J88" s="30">
        <v>15</v>
      </c>
      <c r="K88" s="30">
        <v>248</v>
      </c>
      <c r="L88" s="30">
        <v>248</v>
      </c>
      <c r="M88" s="23">
        <f>((L88*15000)+(L88*15000)*10%)+8250+((0*165))</f>
        <v>4100250</v>
      </c>
      <c r="N88" s="21">
        <f t="shared" si="11"/>
        <v>300080</v>
      </c>
      <c r="O88" s="21">
        <f t="shared" si="12"/>
        <v>508176</v>
      </c>
      <c r="P88" s="21">
        <f t="shared" si="13"/>
        <v>272800</v>
      </c>
      <c r="Q88" s="14">
        <f t="shared" si="9"/>
        <v>5181306</v>
      </c>
      <c r="R88" s="122">
        <v>25254042</v>
      </c>
      <c r="S88" s="130" t="s">
        <v>946</v>
      </c>
      <c r="T88" s="122" t="s">
        <v>27</v>
      </c>
      <c r="U88" s="30"/>
      <c r="V88" s="30"/>
    </row>
    <row r="89" spans="1:22" hidden="1" x14ac:dyDescent="0.25">
      <c r="A89" s="26">
        <v>88</v>
      </c>
      <c r="B89" s="30" t="s">
        <v>854</v>
      </c>
      <c r="C89" s="26" t="s">
        <v>29</v>
      </c>
      <c r="D89" s="30" t="s">
        <v>857</v>
      </c>
      <c r="E89" s="30" t="s">
        <v>546</v>
      </c>
      <c r="F89" s="30" t="s">
        <v>29</v>
      </c>
      <c r="G89" s="30" t="s">
        <v>79</v>
      </c>
      <c r="H89" s="30" t="s">
        <v>782</v>
      </c>
      <c r="I89" s="140">
        <v>44434</v>
      </c>
      <c r="J89" s="30">
        <v>1</v>
      </c>
      <c r="K89" s="30">
        <v>56</v>
      </c>
      <c r="L89" s="30">
        <v>56</v>
      </c>
      <c r="M89" s="23">
        <f>((L89*22500)+(L89*22500)*10%)+8250+((0*165))</f>
        <v>1394250</v>
      </c>
      <c r="N89" s="21">
        <f t="shared" si="11"/>
        <v>67760</v>
      </c>
      <c r="O89" s="21">
        <f t="shared" si="12"/>
        <v>117072</v>
      </c>
      <c r="P89" s="21">
        <f t="shared" si="13"/>
        <v>61600</v>
      </c>
      <c r="Q89" s="14">
        <f t="shared" si="9"/>
        <v>1640682</v>
      </c>
      <c r="R89" s="122">
        <v>25254042</v>
      </c>
      <c r="S89" s="130" t="s">
        <v>946</v>
      </c>
      <c r="T89" s="122" t="s">
        <v>27</v>
      </c>
      <c r="U89" s="30"/>
      <c r="V89" s="30"/>
    </row>
    <row r="90" spans="1:22" x14ac:dyDescent="0.25">
      <c r="A90" s="26">
        <v>89</v>
      </c>
      <c r="B90" s="30" t="s">
        <v>868</v>
      </c>
      <c r="C90" s="26" t="s">
        <v>29</v>
      </c>
      <c r="D90" s="30" t="s">
        <v>85</v>
      </c>
      <c r="E90" s="30" t="s">
        <v>23</v>
      </c>
      <c r="F90" s="30" t="s">
        <v>29</v>
      </c>
      <c r="G90" s="30" t="s">
        <v>709</v>
      </c>
      <c r="H90" s="30" t="s">
        <v>533</v>
      </c>
      <c r="I90" s="140">
        <v>44435</v>
      </c>
      <c r="J90" s="30">
        <v>1</v>
      </c>
      <c r="K90" s="30">
        <v>12</v>
      </c>
      <c r="L90" s="30">
        <v>13</v>
      </c>
      <c r="M90" s="23">
        <f>((L90*32000)+(L90*32000)*10%)+8250+((0*165))</f>
        <v>465850</v>
      </c>
      <c r="N90" s="21">
        <f t="shared" si="11"/>
        <v>15730</v>
      </c>
      <c r="O90" s="21">
        <f t="shared" si="12"/>
        <v>29481</v>
      </c>
      <c r="P90" s="21">
        <f t="shared" si="13"/>
        <v>14300</v>
      </c>
      <c r="Q90" s="14">
        <f t="shared" si="9"/>
        <v>525361</v>
      </c>
      <c r="R90" s="122" t="s">
        <v>94</v>
      </c>
      <c r="S90" s="122" t="s">
        <v>94</v>
      </c>
      <c r="T90" s="122" t="s">
        <v>94</v>
      </c>
      <c r="U90" s="30"/>
      <c r="V90" s="30"/>
    </row>
    <row r="91" spans="1:22" x14ac:dyDescent="0.25">
      <c r="A91" s="26">
        <v>90</v>
      </c>
      <c r="B91" s="30" t="s">
        <v>870</v>
      </c>
      <c r="C91" s="26" t="s">
        <v>29</v>
      </c>
      <c r="D91" s="30" t="s">
        <v>85</v>
      </c>
      <c r="E91" s="30" t="s">
        <v>23</v>
      </c>
      <c r="F91" s="30" t="s">
        <v>29</v>
      </c>
      <c r="G91" s="30" t="s">
        <v>24</v>
      </c>
      <c r="H91" s="30" t="s">
        <v>502</v>
      </c>
      <c r="I91" s="140">
        <v>44435</v>
      </c>
      <c r="J91" s="30">
        <v>6</v>
      </c>
      <c r="K91" s="30">
        <v>129</v>
      </c>
      <c r="L91" s="30">
        <v>129</v>
      </c>
      <c r="M91" s="23">
        <f>((L91*22000)+(L91*22000)*10%)+8250+((L91*165))</f>
        <v>3151335</v>
      </c>
      <c r="N91" s="21">
        <f t="shared" si="11"/>
        <v>156090</v>
      </c>
      <c r="O91" s="21">
        <f t="shared" si="12"/>
        <v>265773</v>
      </c>
      <c r="P91" s="21">
        <f t="shared" si="13"/>
        <v>141900</v>
      </c>
      <c r="Q91" s="14">
        <f>SUM(M91:P91)</f>
        <v>3715098</v>
      </c>
      <c r="R91" s="122" t="s">
        <v>94</v>
      </c>
      <c r="S91" s="122" t="s">
        <v>94</v>
      </c>
      <c r="T91" s="122" t="s">
        <v>94</v>
      </c>
      <c r="U91" s="30"/>
      <c r="V91" s="30"/>
    </row>
    <row r="92" spans="1:22" hidden="1" x14ac:dyDescent="0.25">
      <c r="A92" s="26">
        <v>91</v>
      </c>
      <c r="B92" s="30" t="s">
        <v>869</v>
      </c>
      <c r="C92" s="26" t="s">
        <v>29</v>
      </c>
      <c r="D92" s="30" t="s">
        <v>491</v>
      </c>
      <c r="E92" s="30" t="s">
        <v>23</v>
      </c>
      <c r="F92" s="30" t="s">
        <v>29</v>
      </c>
      <c r="G92" s="30" t="s">
        <v>24</v>
      </c>
      <c r="H92" s="30" t="s">
        <v>502</v>
      </c>
      <c r="I92" s="140">
        <v>44435</v>
      </c>
      <c r="J92" s="30">
        <v>3</v>
      </c>
      <c r="K92" s="30">
        <v>43</v>
      </c>
      <c r="L92" s="30">
        <v>43</v>
      </c>
      <c r="M92" s="23">
        <f>((L92*22000)+(L92*22000)*10%)+8250+((L92*165))</f>
        <v>1055945</v>
      </c>
      <c r="N92" s="21">
        <f t="shared" si="11"/>
        <v>52030</v>
      </c>
      <c r="O92" s="21">
        <f t="shared" si="12"/>
        <v>90591</v>
      </c>
      <c r="P92" s="21">
        <f t="shared" si="13"/>
        <v>47300</v>
      </c>
      <c r="Q92" s="14">
        <f t="shared" si="9"/>
        <v>1245866</v>
      </c>
      <c r="R92" s="122">
        <v>17001066</v>
      </c>
      <c r="S92" s="130" t="s">
        <v>966</v>
      </c>
      <c r="T92" s="122" t="s">
        <v>27</v>
      </c>
      <c r="U92" s="30"/>
      <c r="V92" s="30"/>
    </row>
    <row r="93" spans="1:22" x14ac:dyDescent="0.25">
      <c r="A93" s="26">
        <v>92</v>
      </c>
      <c r="B93" s="30" t="s">
        <v>855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713</v>
      </c>
      <c r="H93" s="30" t="s">
        <v>858</v>
      </c>
      <c r="I93" s="140">
        <v>44435</v>
      </c>
      <c r="J93" s="30">
        <v>3</v>
      </c>
      <c r="K93" s="30">
        <v>30</v>
      </c>
      <c r="L93" s="30">
        <v>30</v>
      </c>
      <c r="M93" s="23">
        <f>((L93*14000)+(L93*14000)*10%)+8250+((0*165))</f>
        <v>470250</v>
      </c>
      <c r="N93" s="21">
        <f t="shared" si="11"/>
        <v>36300</v>
      </c>
      <c r="O93" s="21">
        <f t="shared" si="12"/>
        <v>64110</v>
      </c>
      <c r="P93" s="21">
        <f t="shared" si="13"/>
        <v>33000</v>
      </c>
      <c r="Q93" s="14">
        <f t="shared" si="9"/>
        <v>603660</v>
      </c>
      <c r="R93" s="122" t="s">
        <v>94</v>
      </c>
      <c r="S93" s="122" t="s">
        <v>94</v>
      </c>
      <c r="T93" s="122" t="s">
        <v>94</v>
      </c>
      <c r="U93" s="30"/>
      <c r="V93" s="30"/>
    </row>
    <row r="94" spans="1:22" x14ac:dyDescent="0.25">
      <c r="A94" s="26">
        <v>93</v>
      </c>
      <c r="B94" s="30" t="s">
        <v>856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713</v>
      </c>
      <c r="H94" s="30" t="s">
        <v>858</v>
      </c>
      <c r="I94" s="140">
        <v>44435</v>
      </c>
      <c r="J94" s="30">
        <v>11</v>
      </c>
      <c r="K94" s="30">
        <v>288</v>
      </c>
      <c r="L94" s="30">
        <v>288</v>
      </c>
      <c r="M94" s="23">
        <f>((L94*14000)+(L94*14000)*10%)+8250+((0*165))</f>
        <v>4443450</v>
      </c>
      <c r="N94" s="21">
        <f t="shared" si="11"/>
        <v>348480</v>
      </c>
      <c r="O94" s="21">
        <f t="shared" si="12"/>
        <v>589656</v>
      </c>
      <c r="P94" s="21">
        <f t="shared" si="13"/>
        <v>316800</v>
      </c>
      <c r="Q94" s="14">
        <f t="shared" si="9"/>
        <v>5698386</v>
      </c>
      <c r="R94" s="122" t="s">
        <v>94</v>
      </c>
      <c r="S94" s="122" t="s">
        <v>94</v>
      </c>
      <c r="T94" s="122" t="s">
        <v>94</v>
      </c>
      <c r="U94" s="30"/>
      <c r="V94" s="30"/>
    </row>
    <row r="95" spans="1:22" hidden="1" x14ac:dyDescent="0.25">
      <c r="A95" s="26">
        <v>94</v>
      </c>
      <c r="B95" s="30" t="s">
        <v>867</v>
      </c>
      <c r="C95" s="26" t="s">
        <v>29</v>
      </c>
      <c r="D95" s="30" t="s">
        <v>30</v>
      </c>
      <c r="E95" s="30" t="s">
        <v>473</v>
      </c>
      <c r="F95" s="30" t="s">
        <v>29</v>
      </c>
      <c r="G95" s="30" t="s">
        <v>79</v>
      </c>
      <c r="H95" s="30" t="s">
        <v>725</v>
      </c>
      <c r="I95" s="140">
        <v>44435</v>
      </c>
      <c r="J95" s="30">
        <v>7</v>
      </c>
      <c r="K95" s="30">
        <v>187</v>
      </c>
      <c r="L95" s="30">
        <v>187</v>
      </c>
      <c r="M95" s="23">
        <f>((L95*15000)+(L95*15000)*10%)+8250+((0*165))</f>
        <v>3093750</v>
      </c>
      <c r="N95" s="21">
        <f t="shared" si="11"/>
        <v>226270</v>
      </c>
      <c r="O95" s="21">
        <f t="shared" si="12"/>
        <v>383919</v>
      </c>
      <c r="P95" s="21">
        <f t="shared" ref="P95:P100" si="14">L95*2100</f>
        <v>392700</v>
      </c>
      <c r="Q95" s="14">
        <f t="shared" si="9"/>
        <v>4096639</v>
      </c>
      <c r="R95" s="121">
        <v>86168500</v>
      </c>
      <c r="S95" s="128" t="s">
        <v>1075</v>
      </c>
      <c r="T95" s="121" t="s">
        <v>27</v>
      </c>
      <c r="U95" s="30"/>
      <c r="V95" s="30"/>
    </row>
    <row r="96" spans="1:22" hidden="1" x14ac:dyDescent="0.25">
      <c r="A96" s="26">
        <v>95</v>
      </c>
      <c r="B96" s="30" t="s">
        <v>871</v>
      </c>
      <c r="C96" s="26" t="s">
        <v>29</v>
      </c>
      <c r="D96" s="30" t="s">
        <v>30</v>
      </c>
      <c r="E96" s="30" t="s">
        <v>473</v>
      </c>
      <c r="F96" s="30" t="s">
        <v>29</v>
      </c>
      <c r="G96" s="30" t="s">
        <v>79</v>
      </c>
      <c r="H96" s="30" t="s">
        <v>725</v>
      </c>
      <c r="I96" s="140">
        <v>44435</v>
      </c>
      <c r="J96" s="30">
        <v>7</v>
      </c>
      <c r="K96" s="30">
        <v>147</v>
      </c>
      <c r="L96" s="30">
        <v>147</v>
      </c>
      <c r="M96" s="23">
        <f>((L96*15000)+(L96*15000)*10%)+8250+((0*165))</f>
        <v>2433750</v>
      </c>
      <c r="N96" s="21">
        <f t="shared" si="11"/>
        <v>177870</v>
      </c>
      <c r="O96" s="21">
        <f t="shared" si="12"/>
        <v>302439</v>
      </c>
      <c r="P96" s="21">
        <f t="shared" si="14"/>
        <v>308700</v>
      </c>
      <c r="Q96" s="14">
        <f t="shared" si="9"/>
        <v>3222759</v>
      </c>
      <c r="R96" s="121">
        <v>86168500</v>
      </c>
      <c r="S96" s="128" t="s">
        <v>1075</v>
      </c>
      <c r="T96" s="121" t="s">
        <v>27</v>
      </c>
      <c r="U96" s="30"/>
      <c r="V96" s="30"/>
    </row>
    <row r="97" spans="1:24" hidden="1" x14ac:dyDescent="0.25">
      <c r="A97" s="26">
        <v>96</v>
      </c>
      <c r="B97" s="30" t="s">
        <v>872</v>
      </c>
      <c r="C97" s="26" t="s">
        <v>29</v>
      </c>
      <c r="D97" s="30" t="s">
        <v>30</v>
      </c>
      <c r="E97" s="30" t="s">
        <v>473</v>
      </c>
      <c r="F97" s="30" t="s">
        <v>29</v>
      </c>
      <c r="G97" s="30" t="s">
        <v>79</v>
      </c>
      <c r="H97" s="30" t="s">
        <v>725</v>
      </c>
      <c r="I97" s="140">
        <v>44435</v>
      </c>
      <c r="J97" s="30">
        <v>10</v>
      </c>
      <c r="K97" s="30">
        <v>185</v>
      </c>
      <c r="L97" s="30">
        <v>185</v>
      </c>
      <c r="M97" s="23">
        <f>((L97*15000)+(L97*15000)*10%)+8250+((0*165))</f>
        <v>3060750</v>
      </c>
      <c r="N97" s="21">
        <f t="shared" si="11"/>
        <v>223850</v>
      </c>
      <c r="O97" s="21">
        <f t="shared" si="12"/>
        <v>379845</v>
      </c>
      <c r="P97" s="21">
        <f t="shared" si="14"/>
        <v>388500</v>
      </c>
      <c r="Q97" s="14">
        <f t="shared" si="9"/>
        <v>4052945</v>
      </c>
      <c r="R97" s="121">
        <v>86168500</v>
      </c>
      <c r="S97" s="128" t="s">
        <v>1075</v>
      </c>
      <c r="T97" s="121" t="s">
        <v>27</v>
      </c>
      <c r="U97" s="30"/>
      <c r="V97" s="30"/>
    </row>
    <row r="98" spans="1:24" hidden="1" x14ac:dyDescent="0.25">
      <c r="A98" s="26">
        <v>97</v>
      </c>
      <c r="B98" s="30" t="s">
        <v>873</v>
      </c>
      <c r="C98" s="26" t="s">
        <v>29</v>
      </c>
      <c r="D98" s="30" t="s">
        <v>30</v>
      </c>
      <c r="E98" s="30" t="s">
        <v>473</v>
      </c>
      <c r="F98" s="30" t="s">
        <v>29</v>
      </c>
      <c r="G98" s="30" t="s">
        <v>79</v>
      </c>
      <c r="H98" s="30" t="s">
        <v>725</v>
      </c>
      <c r="I98" s="140">
        <v>44435</v>
      </c>
      <c r="J98" s="30">
        <v>8</v>
      </c>
      <c r="K98" s="30">
        <v>238</v>
      </c>
      <c r="L98" s="30">
        <v>238</v>
      </c>
      <c r="M98" s="23">
        <f>((L98*15000)+(L98*15000)*10%)+8250+((0*165))</f>
        <v>3935250</v>
      </c>
      <c r="N98" s="21">
        <f t="shared" si="11"/>
        <v>287980</v>
      </c>
      <c r="O98" s="21">
        <f t="shared" si="12"/>
        <v>487806</v>
      </c>
      <c r="P98" s="21">
        <f t="shared" si="14"/>
        <v>499800</v>
      </c>
      <c r="Q98" s="14">
        <f t="shared" ref="Q98:Q102" si="15">SUM(M98:P98)</f>
        <v>5210836</v>
      </c>
      <c r="R98" s="121">
        <v>86168500</v>
      </c>
      <c r="S98" s="128" t="s">
        <v>1075</v>
      </c>
      <c r="T98" s="121" t="s">
        <v>27</v>
      </c>
      <c r="U98" s="30"/>
      <c r="V98" s="30"/>
    </row>
    <row r="99" spans="1:24" hidden="1" x14ac:dyDescent="0.25">
      <c r="A99" s="26">
        <v>98</v>
      </c>
      <c r="B99" s="30" t="s">
        <v>874</v>
      </c>
      <c r="C99" s="26" t="s">
        <v>29</v>
      </c>
      <c r="D99" s="30" t="s">
        <v>30</v>
      </c>
      <c r="E99" s="30" t="s">
        <v>473</v>
      </c>
      <c r="F99" s="30" t="s">
        <v>29</v>
      </c>
      <c r="G99" s="30" t="s">
        <v>171</v>
      </c>
      <c r="H99" s="30" t="s">
        <v>246</v>
      </c>
      <c r="I99" s="140">
        <v>44435</v>
      </c>
      <c r="J99" s="30">
        <v>10</v>
      </c>
      <c r="K99" s="30">
        <v>311</v>
      </c>
      <c r="L99" s="30">
        <v>311</v>
      </c>
      <c r="M99" s="23">
        <f>((L99*12000)+(L99*12000)*10%)+8250+((0*165))</f>
        <v>4113450</v>
      </c>
      <c r="N99" s="21">
        <f t="shared" si="11"/>
        <v>376310</v>
      </c>
      <c r="O99" s="21">
        <f t="shared" si="12"/>
        <v>636507</v>
      </c>
      <c r="P99" s="21">
        <f t="shared" si="14"/>
        <v>653100</v>
      </c>
      <c r="Q99" s="14">
        <f t="shared" si="15"/>
        <v>5779367</v>
      </c>
      <c r="R99" s="121">
        <v>86168500</v>
      </c>
      <c r="S99" s="128" t="s">
        <v>1075</v>
      </c>
      <c r="T99" s="121" t="s">
        <v>27</v>
      </c>
      <c r="U99" s="30"/>
      <c r="V99" s="30"/>
    </row>
    <row r="100" spans="1:24" hidden="1" x14ac:dyDescent="0.25">
      <c r="A100" s="26">
        <v>99</v>
      </c>
      <c r="B100" s="30" t="s">
        <v>875</v>
      </c>
      <c r="C100" s="26" t="s">
        <v>29</v>
      </c>
      <c r="D100" s="30" t="s">
        <v>30</v>
      </c>
      <c r="E100" s="30" t="s">
        <v>473</v>
      </c>
      <c r="F100" s="30" t="s">
        <v>29</v>
      </c>
      <c r="G100" s="30" t="s">
        <v>184</v>
      </c>
      <c r="H100" s="30" t="s">
        <v>219</v>
      </c>
      <c r="I100" s="140">
        <v>44435</v>
      </c>
      <c r="J100" s="30">
        <v>10</v>
      </c>
      <c r="K100" s="30">
        <v>311</v>
      </c>
      <c r="L100" s="30">
        <v>311</v>
      </c>
      <c r="M100" s="23">
        <f>((L100*14000)+(L100*14000)*10%)+8250+((0*165))</f>
        <v>4797650</v>
      </c>
      <c r="N100" s="21">
        <f t="shared" si="11"/>
        <v>376310</v>
      </c>
      <c r="O100" s="21">
        <f t="shared" si="12"/>
        <v>636507</v>
      </c>
      <c r="P100" s="21">
        <f t="shared" si="14"/>
        <v>653100</v>
      </c>
      <c r="Q100" s="14">
        <f t="shared" si="15"/>
        <v>6463567</v>
      </c>
      <c r="R100" s="121">
        <v>86168500</v>
      </c>
      <c r="S100" s="128" t="s">
        <v>1075</v>
      </c>
      <c r="T100" s="121" t="s">
        <v>27</v>
      </c>
      <c r="U100" s="30"/>
      <c r="V100" s="30"/>
    </row>
    <row r="101" spans="1:24" hidden="1" x14ac:dyDescent="0.25">
      <c r="A101" s="26">
        <v>100</v>
      </c>
      <c r="B101" s="30" t="s">
        <v>877</v>
      </c>
      <c r="C101" s="26" t="s">
        <v>29</v>
      </c>
      <c r="D101" s="30" t="s">
        <v>491</v>
      </c>
      <c r="E101" s="30" t="s">
        <v>23</v>
      </c>
      <c r="F101" s="30" t="s">
        <v>29</v>
      </c>
      <c r="G101" s="30" t="s">
        <v>115</v>
      </c>
      <c r="H101" s="30" t="s">
        <v>233</v>
      </c>
      <c r="I101" s="140">
        <v>44436</v>
      </c>
      <c r="J101" s="30">
        <v>1</v>
      </c>
      <c r="K101" s="30">
        <v>5</v>
      </c>
      <c r="L101" s="30">
        <v>19</v>
      </c>
      <c r="M101" s="23">
        <f>((L101*60500)+(L101*60500)*10%)+8250+((0*165))</f>
        <v>1272700</v>
      </c>
      <c r="N101" s="21">
        <f t="shared" si="11"/>
        <v>22990</v>
      </c>
      <c r="O101" s="21">
        <f t="shared" si="12"/>
        <v>41703</v>
      </c>
      <c r="P101" s="21">
        <f>L101*1100</f>
        <v>20900</v>
      </c>
      <c r="Q101" s="14">
        <f t="shared" si="15"/>
        <v>1358293</v>
      </c>
      <c r="R101" s="122">
        <v>17001066</v>
      </c>
      <c r="S101" s="130" t="s">
        <v>966</v>
      </c>
      <c r="T101" s="122" t="s">
        <v>27</v>
      </c>
      <c r="U101" s="30"/>
      <c r="V101" s="30"/>
    </row>
    <row r="102" spans="1:24" x14ac:dyDescent="0.25">
      <c r="A102" s="26">
        <v>101</v>
      </c>
      <c r="B102" s="30" t="s">
        <v>878</v>
      </c>
      <c r="C102" s="26" t="s">
        <v>29</v>
      </c>
      <c r="D102" s="30" t="s">
        <v>85</v>
      </c>
      <c r="E102" s="30" t="s">
        <v>23</v>
      </c>
      <c r="F102" s="30" t="s">
        <v>29</v>
      </c>
      <c r="G102" s="30" t="s">
        <v>713</v>
      </c>
      <c r="H102" s="30" t="s">
        <v>714</v>
      </c>
      <c r="I102" s="140">
        <v>44436</v>
      </c>
      <c r="J102" s="30">
        <v>2</v>
      </c>
      <c r="K102" s="30">
        <v>11</v>
      </c>
      <c r="L102" s="30">
        <v>14</v>
      </c>
      <c r="M102" s="23">
        <f>((L102*14000)+(L102*14000)*10%)+8250+((0*165))</f>
        <v>223850</v>
      </c>
      <c r="N102" s="21">
        <f t="shared" si="11"/>
        <v>16940</v>
      </c>
      <c r="O102" s="21">
        <f t="shared" si="12"/>
        <v>31518</v>
      </c>
      <c r="P102" s="21">
        <f>L102*1100</f>
        <v>15400</v>
      </c>
      <c r="Q102" s="14">
        <f t="shared" si="15"/>
        <v>287708</v>
      </c>
      <c r="R102" s="122" t="s">
        <v>94</v>
      </c>
      <c r="S102" s="122" t="s">
        <v>94</v>
      </c>
      <c r="T102" s="122" t="s">
        <v>94</v>
      </c>
      <c r="U102" s="30"/>
      <c r="V102" s="30"/>
    </row>
    <row r="103" spans="1:24" hidden="1" x14ac:dyDescent="0.25">
      <c r="A103" s="26">
        <v>102</v>
      </c>
      <c r="B103" s="30" t="s">
        <v>879</v>
      </c>
      <c r="C103" s="26" t="s">
        <v>29</v>
      </c>
      <c r="D103" s="30" t="s">
        <v>30</v>
      </c>
      <c r="E103" s="30" t="s">
        <v>473</v>
      </c>
      <c r="F103" s="30" t="s">
        <v>29</v>
      </c>
      <c r="G103" s="30" t="s">
        <v>60</v>
      </c>
      <c r="H103" s="30" t="s">
        <v>61</v>
      </c>
      <c r="I103" s="140">
        <v>44436</v>
      </c>
      <c r="J103" s="30">
        <v>1</v>
      </c>
      <c r="K103" s="30">
        <v>13</v>
      </c>
      <c r="L103" s="30">
        <v>14</v>
      </c>
      <c r="M103" s="23">
        <f>((L103*14500)+(L103*14500)*10%)+8250+((0*165))</f>
        <v>231550</v>
      </c>
      <c r="N103" s="21">
        <f t="shared" ref="N103:N108" si="16">L103*1210</f>
        <v>16940</v>
      </c>
      <c r="O103" s="21">
        <f t="shared" ref="O103:O108" si="17">(L103*2037)+3000</f>
        <v>31518</v>
      </c>
      <c r="P103" s="21">
        <f t="shared" ref="P103:P106" si="18">L103*2100</f>
        <v>29400</v>
      </c>
      <c r="Q103" s="14">
        <f t="shared" ref="Q103:Q108" si="19">SUM(M103:P103)</f>
        <v>309408</v>
      </c>
      <c r="R103" s="121">
        <v>86168500</v>
      </c>
      <c r="S103" s="128" t="s">
        <v>1075</v>
      </c>
      <c r="T103" s="121" t="s">
        <v>27</v>
      </c>
      <c r="U103" s="30"/>
      <c r="V103" s="30"/>
    </row>
    <row r="104" spans="1:24" hidden="1" x14ac:dyDescent="0.25">
      <c r="A104" s="26">
        <v>103</v>
      </c>
      <c r="B104" s="30" t="s">
        <v>880</v>
      </c>
      <c r="C104" s="26" t="s">
        <v>29</v>
      </c>
      <c r="D104" s="30" t="s">
        <v>30</v>
      </c>
      <c r="E104" s="30" t="s">
        <v>473</v>
      </c>
      <c r="F104" s="30" t="s">
        <v>29</v>
      </c>
      <c r="G104" s="30" t="s">
        <v>171</v>
      </c>
      <c r="H104" s="30" t="s">
        <v>246</v>
      </c>
      <c r="I104" s="140">
        <v>44436</v>
      </c>
      <c r="J104" s="30">
        <v>5</v>
      </c>
      <c r="K104" s="30">
        <v>97</v>
      </c>
      <c r="L104" s="30">
        <v>97</v>
      </c>
      <c r="M104" s="23">
        <f>((L104*12000)+(L104*12000)*10%)+8250+((0*165))</f>
        <v>1288650</v>
      </c>
      <c r="N104" s="21">
        <f t="shared" si="16"/>
        <v>117370</v>
      </c>
      <c r="O104" s="21">
        <f t="shared" si="17"/>
        <v>200589</v>
      </c>
      <c r="P104" s="21">
        <f t="shared" si="18"/>
        <v>203700</v>
      </c>
      <c r="Q104" s="14">
        <f t="shared" si="19"/>
        <v>1810309</v>
      </c>
      <c r="R104" s="121">
        <v>86168500</v>
      </c>
      <c r="S104" s="128" t="s">
        <v>1075</v>
      </c>
      <c r="T104" s="121" t="s">
        <v>27</v>
      </c>
      <c r="U104" s="30"/>
      <c r="V104" s="30"/>
    </row>
    <row r="105" spans="1:24" x14ac:dyDescent="0.25">
      <c r="A105" s="26">
        <v>104</v>
      </c>
      <c r="B105" s="30" t="s">
        <v>881</v>
      </c>
      <c r="C105" s="26" t="s">
        <v>29</v>
      </c>
      <c r="D105" s="30" t="s">
        <v>631</v>
      </c>
      <c r="E105" s="30" t="s">
        <v>23</v>
      </c>
      <c r="F105" s="30" t="s">
        <v>29</v>
      </c>
      <c r="G105" s="30" t="s">
        <v>885</v>
      </c>
      <c r="H105" s="30" t="s">
        <v>818</v>
      </c>
      <c r="I105" s="140">
        <v>44436</v>
      </c>
      <c r="J105" s="30">
        <v>1</v>
      </c>
      <c r="K105" s="30">
        <v>4</v>
      </c>
      <c r="L105" s="30">
        <v>10</v>
      </c>
      <c r="M105" s="23">
        <f>((L105*33800)+(L105*33800)*10%)+8250+((0*165))</f>
        <v>380050</v>
      </c>
      <c r="N105" s="21">
        <f t="shared" si="16"/>
        <v>12100</v>
      </c>
      <c r="O105" s="21">
        <f t="shared" si="17"/>
        <v>23370</v>
      </c>
      <c r="P105" s="21">
        <f>L105*500</f>
        <v>5000</v>
      </c>
      <c r="Q105" s="14">
        <f t="shared" si="19"/>
        <v>420520</v>
      </c>
      <c r="R105" s="122" t="s">
        <v>94</v>
      </c>
      <c r="S105" s="122" t="s">
        <v>94</v>
      </c>
      <c r="T105" s="122" t="s">
        <v>94</v>
      </c>
      <c r="U105" s="30"/>
      <c r="V105" s="30"/>
    </row>
    <row r="106" spans="1:24" hidden="1" x14ac:dyDescent="0.25">
      <c r="A106" s="26">
        <v>105</v>
      </c>
      <c r="B106" s="30" t="s">
        <v>882</v>
      </c>
      <c r="C106" s="26" t="s">
        <v>29</v>
      </c>
      <c r="D106" s="30" t="s">
        <v>30</v>
      </c>
      <c r="E106" s="30" t="s">
        <v>473</v>
      </c>
      <c r="F106" s="30" t="s">
        <v>29</v>
      </c>
      <c r="G106" s="30" t="s">
        <v>35</v>
      </c>
      <c r="H106" s="30" t="s">
        <v>760</v>
      </c>
      <c r="I106" s="140">
        <v>44436</v>
      </c>
      <c r="J106" s="30">
        <v>1</v>
      </c>
      <c r="K106" s="30">
        <v>29</v>
      </c>
      <c r="L106" s="30">
        <v>29</v>
      </c>
      <c r="M106" s="23">
        <f>((L106*10000)+(L106*10000)*10%)+8250+((0*165))</f>
        <v>327250</v>
      </c>
      <c r="N106" s="21">
        <f t="shared" si="16"/>
        <v>35090</v>
      </c>
      <c r="O106" s="21">
        <f t="shared" si="17"/>
        <v>62073</v>
      </c>
      <c r="P106" s="21">
        <f t="shared" si="18"/>
        <v>60900</v>
      </c>
      <c r="Q106" s="14">
        <f t="shared" si="19"/>
        <v>485313</v>
      </c>
      <c r="R106" s="121">
        <v>86168500</v>
      </c>
      <c r="S106" s="128" t="s">
        <v>1075</v>
      </c>
      <c r="T106" s="121" t="s">
        <v>27</v>
      </c>
      <c r="U106" s="30"/>
      <c r="V106" s="30"/>
    </row>
    <row r="107" spans="1:24" x14ac:dyDescent="0.25">
      <c r="A107" s="26">
        <v>106</v>
      </c>
      <c r="B107" s="30" t="s">
        <v>883</v>
      </c>
      <c r="C107" s="26" t="s">
        <v>29</v>
      </c>
      <c r="D107" s="30" t="s">
        <v>85</v>
      </c>
      <c r="E107" s="30" t="s">
        <v>23</v>
      </c>
      <c r="F107" s="30" t="s">
        <v>29</v>
      </c>
      <c r="G107" s="30" t="s">
        <v>713</v>
      </c>
      <c r="H107" s="30" t="s">
        <v>714</v>
      </c>
      <c r="I107" s="140">
        <v>44437</v>
      </c>
      <c r="J107" s="30">
        <v>1</v>
      </c>
      <c r="K107" s="30">
        <v>1</v>
      </c>
      <c r="L107" s="30">
        <v>10</v>
      </c>
      <c r="M107" s="23">
        <f>((L107*14000)+(L107*14000)*10%)+8250+((0*165))</f>
        <v>162250</v>
      </c>
      <c r="N107" s="21">
        <f t="shared" si="16"/>
        <v>12100</v>
      </c>
      <c r="O107" s="21">
        <f t="shared" si="17"/>
        <v>23370</v>
      </c>
      <c r="P107" s="21">
        <f>L107*1100</f>
        <v>11000</v>
      </c>
      <c r="Q107" s="14">
        <f t="shared" si="19"/>
        <v>208720</v>
      </c>
      <c r="R107" s="122" t="s">
        <v>94</v>
      </c>
      <c r="S107" s="122" t="s">
        <v>94</v>
      </c>
      <c r="T107" s="122" t="s">
        <v>94</v>
      </c>
      <c r="U107" s="30"/>
      <c r="V107" s="30"/>
    </row>
    <row r="108" spans="1:24" hidden="1" x14ac:dyDescent="0.25">
      <c r="A108" s="26">
        <v>107</v>
      </c>
      <c r="B108" s="30" t="s">
        <v>884</v>
      </c>
      <c r="C108" s="26" t="s">
        <v>29</v>
      </c>
      <c r="D108" s="30" t="s">
        <v>491</v>
      </c>
      <c r="E108" s="30" t="s">
        <v>23</v>
      </c>
      <c r="F108" s="30" t="s">
        <v>29</v>
      </c>
      <c r="G108" s="30" t="s">
        <v>709</v>
      </c>
      <c r="H108" s="30" t="s">
        <v>533</v>
      </c>
      <c r="I108" s="140">
        <v>44438</v>
      </c>
      <c r="J108" s="30">
        <v>12</v>
      </c>
      <c r="K108" s="30">
        <v>346</v>
      </c>
      <c r="L108" s="30">
        <v>346</v>
      </c>
      <c r="M108" s="23">
        <f>((L108*32000)+(L108*32000)*10%)+8250+((0*165))</f>
        <v>12187450</v>
      </c>
      <c r="N108" s="21">
        <f t="shared" si="16"/>
        <v>418660</v>
      </c>
      <c r="O108" s="21">
        <f t="shared" si="17"/>
        <v>707802</v>
      </c>
      <c r="P108" s="21">
        <f>L108*1100</f>
        <v>380600</v>
      </c>
      <c r="Q108" s="14">
        <f t="shared" si="19"/>
        <v>13694512</v>
      </c>
      <c r="R108" s="122">
        <v>17001066</v>
      </c>
      <c r="S108" s="130" t="s">
        <v>966</v>
      </c>
      <c r="T108" s="122" t="s">
        <v>27</v>
      </c>
      <c r="U108" s="30"/>
      <c r="V108" s="30"/>
      <c r="X108" s="79">
        <v>32000</v>
      </c>
    </row>
    <row r="109" spans="1:24" x14ac:dyDescent="0.25">
      <c r="A109" s="26">
        <v>108</v>
      </c>
      <c r="B109" s="30" t="s">
        <v>890</v>
      </c>
      <c r="C109" s="26" t="s">
        <v>29</v>
      </c>
      <c r="D109" s="30" t="s">
        <v>815</v>
      </c>
      <c r="E109" s="30" t="s">
        <v>23</v>
      </c>
      <c r="F109" s="30" t="s">
        <v>29</v>
      </c>
      <c r="G109" s="30" t="s">
        <v>24</v>
      </c>
      <c r="H109" s="30" t="s">
        <v>58</v>
      </c>
      <c r="I109" s="36">
        <v>44439</v>
      </c>
      <c r="J109" s="30">
        <v>2</v>
      </c>
      <c r="K109" s="30">
        <v>47</v>
      </c>
      <c r="L109" s="30">
        <v>52</v>
      </c>
      <c r="M109" s="23">
        <f>((L109*22000)+(L109*22000)*10%)+8250+((L109*165))</f>
        <v>1275230</v>
      </c>
      <c r="N109" s="21">
        <f t="shared" ref="N109:N113" si="20">L109*1210</f>
        <v>62920</v>
      </c>
      <c r="O109" s="21">
        <f t="shared" ref="O109:O113" si="21">(L109*2037)+3000</f>
        <v>108924</v>
      </c>
      <c r="P109" s="21">
        <f t="shared" ref="P109:P113" si="22">L109*1100</f>
        <v>57200</v>
      </c>
      <c r="Q109" s="14">
        <f t="shared" ref="Q109:Q113" si="23">SUM(M109:P109)</f>
        <v>1504274</v>
      </c>
      <c r="R109" s="122" t="s">
        <v>94</v>
      </c>
      <c r="S109" s="122" t="s">
        <v>94</v>
      </c>
      <c r="T109" s="122" t="s">
        <v>94</v>
      </c>
      <c r="U109" s="30"/>
      <c r="V109" s="30"/>
      <c r="X109" s="79">
        <v>3200</v>
      </c>
    </row>
    <row r="110" spans="1:24" x14ac:dyDescent="0.25">
      <c r="A110" s="26">
        <v>109</v>
      </c>
      <c r="B110" s="30" t="s">
        <v>891</v>
      </c>
      <c r="C110" s="26" t="s">
        <v>29</v>
      </c>
      <c r="D110" s="30" t="s">
        <v>815</v>
      </c>
      <c r="E110" s="30" t="s">
        <v>23</v>
      </c>
      <c r="F110" s="30" t="s">
        <v>29</v>
      </c>
      <c r="G110" s="30" t="s">
        <v>60</v>
      </c>
      <c r="H110" s="30" t="s">
        <v>61</v>
      </c>
      <c r="I110" s="36">
        <v>44439</v>
      </c>
      <c r="J110" s="30">
        <v>3</v>
      </c>
      <c r="K110" s="30">
        <v>46</v>
      </c>
      <c r="L110" s="30">
        <v>46</v>
      </c>
      <c r="M110" s="23">
        <f>((L110*14500)+(L110*14500)*10%)+8250+((0*165))</f>
        <v>741950</v>
      </c>
      <c r="N110" s="21">
        <f t="shared" si="20"/>
        <v>55660</v>
      </c>
      <c r="O110" s="21">
        <f t="shared" si="21"/>
        <v>96702</v>
      </c>
      <c r="P110" s="21">
        <f t="shared" si="22"/>
        <v>50600</v>
      </c>
      <c r="Q110" s="14">
        <f t="shared" si="23"/>
        <v>944912</v>
      </c>
      <c r="R110" s="122" t="s">
        <v>94</v>
      </c>
      <c r="S110" s="122" t="s">
        <v>94</v>
      </c>
      <c r="T110" s="122" t="s">
        <v>94</v>
      </c>
      <c r="U110" s="30"/>
      <c r="V110" s="30"/>
      <c r="X110" s="79">
        <v>1210</v>
      </c>
    </row>
    <row r="111" spans="1:24" x14ac:dyDescent="0.25">
      <c r="A111" s="26">
        <v>110</v>
      </c>
      <c r="B111" s="30" t="s">
        <v>892</v>
      </c>
      <c r="C111" s="26" t="s">
        <v>29</v>
      </c>
      <c r="D111" s="30" t="s">
        <v>85</v>
      </c>
      <c r="E111" s="30" t="s">
        <v>23</v>
      </c>
      <c r="F111" s="30" t="s">
        <v>29</v>
      </c>
      <c r="G111" s="30" t="s">
        <v>104</v>
      </c>
      <c r="H111" s="30" t="s">
        <v>105</v>
      </c>
      <c r="I111" s="36">
        <v>44439</v>
      </c>
      <c r="J111" s="30">
        <v>1</v>
      </c>
      <c r="K111" s="30">
        <v>5</v>
      </c>
      <c r="L111" s="30">
        <v>10</v>
      </c>
      <c r="M111" s="23">
        <f>((L111*35000)+(L111*35000)*10%)+8250+((L111*165))</f>
        <v>394900</v>
      </c>
      <c r="N111" s="21">
        <f t="shared" si="20"/>
        <v>12100</v>
      </c>
      <c r="O111" s="21">
        <f t="shared" si="21"/>
        <v>23370</v>
      </c>
      <c r="P111" s="21">
        <f t="shared" si="22"/>
        <v>11000</v>
      </c>
      <c r="Q111" s="14">
        <f t="shared" si="23"/>
        <v>441370</v>
      </c>
      <c r="R111" s="122" t="s">
        <v>94</v>
      </c>
      <c r="S111" s="122" t="s">
        <v>94</v>
      </c>
      <c r="T111" s="122" t="s">
        <v>94</v>
      </c>
      <c r="U111" s="30"/>
      <c r="V111" s="30"/>
    </row>
    <row r="112" spans="1:24" x14ac:dyDescent="0.25">
      <c r="A112" s="26">
        <v>111</v>
      </c>
      <c r="B112" s="30" t="s">
        <v>893</v>
      </c>
      <c r="C112" s="26" t="s">
        <v>29</v>
      </c>
      <c r="D112" s="30" t="s">
        <v>815</v>
      </c>
      <c r="E112" s="30" t="s">
        <v>23</v>
      </c>
      <c r="F112" s="30" t="s">
        <v>29</v>
      </c>
      <c r="G112" s="30" t="s">
        <v>76</v>
      </c>
      <c r="H112" s="30" t="s">
        <v>819</v>
      </c>
      <c r="I112" s="36">
        <v>44439</v>
      </c>
      <c r="J112" s="30">
        <v>6</v>
      </c>
      <c r="K112" s="30">
        <v>91</v>
      </c>
      <c r="L112" s="30">
        <v>91</v>
      </c>
      <c r="M112" s="23">
        <f>((L112*19000)+(L112*19000)*10%)+8250+((L112*165))</f>
        <v>1925165</v>
      </c>
      <c r="N112" s="21">
        <f t="shared" si="20"/>
        <v>110110</v>
      </c>
      <c r="O112" s="21">
        <f t="shared" si="21"/>
        <v>188367</v>
      </c>
      <c r="P112" s="21">
        <f t="shared" si="22"/>
        <v>100100</v>
      </c>
      <c r="Q112" s="14">
        <f t="shared" si="23"/>
        <v>2323742</v>
      </c>
      <c r="R112" s="122" t="s">
        <v>94</v>
      </c>
      <c r="S112" s="122" t="s">
        <v>94</v>
      </c>
      <c r="T112" s="122" t="s">
        <v>94</v>
      </c>
      <c r="U112" s="30"/>
      <c r="V112" s="30"/>
      <c r="X112" s="79">
        <v>1100</v>
      </c>
    </row>
    <row r="113" spans="1:24" x14ac:dyDescent="0.25">
      <c r="A113" s="26">
        <v>112</v>
      </c>
      <c r="B113" s="30" t="s">
        <v>894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171</v>
      </c>
      <c r="H113" s="30" t="s">
        <v>246</v>
      </c>
      <c r="I113" s="36">
        <v>44439</v>
      </c>
      <c r="J113" s="30">
        <v>5</v>
      </c>
      <c r="K113" s="30">
        <v>39</v>
      </c>
      <c r="L113" s="30">
        <v>44</v>
      </c>
      <c r="M113" s="23">
        <f>((L113*12000)+(L113*12000)*10%)+8250+((0*165))</f>
        <v>589050</v>
      </c>
      <c r="N113" s="21">
        <f t="shared" si="20"/>
        <v>53240</v>
      </c>
      <c r="O113" s="21">
        <f t="shared" si="21"/>
        <v>92628</v>
      </c>
      <c r="P113" s="21">
        <f t="shared" si="22"/>
        <v>48400</v>
      </c>
      <c r="Q113" s="14">
        <f t="shared" si="23"/>
        <v>783318</v>
      </c>
      <c r="R113" s="122" t="s">
        <v>94</v>
      </c>
      <c r="S113" s="122" t="s">
        <v>94</v>
      </c>
      <c r="T113" s="122" t="s">
        <v>94</v>
      </c>
      <c r="U113" s="30"/>
      <c r="V113" s="30"/>
      <c r="X113" s="79">
        <f>SUM(X108:X112)</f>
        <v>37510</v>
      </c>
    </row>
    <row r="115" spans="1:24" x14ac:dyDescent="0.25">
      <c r="Q115" s="116"/>
      <c r="R115" s="93"/>
    </row>
  </sheetData>
  <autoFilter ref="A1:V113">
    <filterColumn colId="17">
      <filters>
        <filter val="Outstanding"/>
      </filters>
    </filterColumn>
    <sortState ref="A2:V100">
      <sortCondition ref="I1:I100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22"/>
  <sheetViews>
    <sheetView topLeftCell="A24" workbookViewId="0">
      <pane xSplit="4" topLeftCell="L1" activePane="topRight" state="frozen"/>
      <selection pane="topRight" activeCell="R37" sqref="R37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24.5703125" style="79" bestFit="1" customWidth="1"/>
    <col min="5" max="5" width="12.7109375" style="79" bestFit="1" customWidth="1"/>
    <col min="6" max="8" width="10.42578125" style="79" bestFit="1" customWidth="1"/>
    <col min="9" max="9" width="10.42578125" style="80" bestFit="1" customWidth="1"/>
    <col min="10" max="12" width="10.5703125" style="79" bestFit="1" customWidth="1"/>
    <col min="13" max="13" width="12.85546875" style="79" customWidth="1"/>
    <col min="14" max="15" width="9.140625" style="79" customWidth="1"/>
    <col min="16" max="16" width="13.140625" style="79" bestFit="1" customWidth="1"/>
    <col min="17" max="19" width="14.140625" style="79" bestFit="1" customWidth="1"/>
    <col min="20" max="20" width="12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765</v>
      </c>
      <c r="V1" s="45" t="s">
        <v>313</v>
      </c>
    </row>
    <row r="2" spans="1:22" x14ac:dyDescent="0.25">
      <c r="A2" s="26">
        <v>1</v>
      </c>
      <c r="B2" s="30" t="s">
        <v>947</v>
      </c>
      <c r="C2" s="26" t="s">
        <v>29</v>
      </c>
      <c r="D2" s="30" t="s">
        <v>815</v>
      </c>
      <c r="E2" s="30" t="s">
        <v>23</v>
      </c>
      <c r="F2" s="30" t="s">
        <v>29</v>
      </c>
      <c r="G2" s="30" t="s">
        <v>210</v>
      </c>
      <c r="H2" s="30" t="s">
        <v>516</v>
      </c>
      <c r="I2" s="36">
        <v>44440</v>
      </c>
      <c r="J2" s="30">
        <v>5</v>
      </c>
      <c r="K2" s="30">
        <v>71</v>
      </c>
      <c r="L2" s="30">
        <v>71</v>
      </c>
      <c r="M2" s="23">
        <f>((L2*8500)+(L2*8500)*10%)+8250+((0*150))</f>
        <v>672100</v>
      </c>
      <c r="N2" s="21">
        <f t="shared" ref="N2" si="0">L2*1210</f>
        <v>85910</v>
      </c>
      <c r="O2" s="21">
        <f t="shared" ref="O2" si="1">(L2*2037)+3000</f>
        <v>147627</v>
      </c>
      <c r="P2" s="21">
        <f>L2*1100</f>
        <v>78100</v>
      </c>
      <c r="Q2" s="14">
        <f t="shared" ref="Q2" si="2">SUM(M2:P2)</f>
        <v>983737</v>
      </c>
      <c r="R2" s="121" t="s">
        <v>94</v>
      </c>
      <c r="S2" s="121" t="s">
        <v>94</v>
      </c>
      <c r="T2" s="121" t="s">
        <v>94</v>
      </c>
      <c r="U2" s="30"/>
      <c r="V2" s="30"/>
    </row>
    <row r="3" spans="1:22" x14ac:dyDescent="0.25">
      <c r="A3" s="26">
        <v>2</v>
      </c>
      <c r="B3" s="30" t="s">
        <v>948</v>
      </c>
      <c r="C3" s="26" t="s">
        <v>29</v>
      </c>
      <c r="D3" s="30" t="s">
        <v>815</v>
      </c>
      <c r="E3" s="30" t="s">
        <v>23</v>
      </c>
      <c r="F3" s="30" t="s">
        <v>29</v>
      </c>
      <c r="G3" s="30" t="s">
        <v>184</v>
      </c>
      <c r="H3" s="30" t="s">
        <v>219</v>
      </c>
      <c r="I3" s="36">
        <v>44440</v>
      </c>
      <c r="J3" s="30">
        <v>14</v>
      </c>
      <c r="K3" s="30">
        <v>156</v>
      </c>
      <c r="L3" s="30">
        <v>156</v>
      </c>
      <c r="M3" s="23">
        <f>((L3*14000)+(L3*14000)*10%)+8250+((0*150))</f>
        <v>2410650</v>
      </c>
      <c r="N3" s="21">
        <f t="shared" ref="N3:N17" si="3">L3*1210</f>
        <v>188760</v>
      </c>
      <c r="O3" s="21">
        <f t="shared" ref="O3:O17" si="4">(L3*2037)+3000</f>
        <v>320772</v>
      </c>
      <c r="P3" s="21">
        <f>L3*1100</f>
        <v>171600</v>
      </c>
      <c r="Q3" s="14">
        <f t="shared" ref="Q3:Q17" si="5">SUM(M3:P3)</f>
        <v>3091782</v>
      </c>
      <c r="R3" s="121" t="s">
        <v>94</v>
      </c>
      <c r="S3" s="121" t="s">
        <v>94</v>
      </c>
      <c r="T3" s="121" t="s">
        <v>94</v>
      </c>
      <c r="U3" s="30"/>
      <c r="V3" s="30"/>
    </row>
    <row r="4" spans="1:22" x14ac:dyDescent="0.25">
      <c r="A4" s="26">
        <v>3</v>
      </c>
      <c r="B4" s="30" t="s">
        <v>949</v>
      </c>
      <c r="C4" s="26" t="s">
        <v>29</v>
      </c>
      <c r="D4" s="30" t="s">
        <v>815</v>
      </c>
      <c r="E4" s="30" t="s">
        <v>23</v>
      </c>
      <c r="F4" s="30" t="s">
        <v>29</v>
      </c>
      <c r="G4" s="30" t="s">
        <v>713</v>
      </c>
      <c r="H4" s="30" t="s">
        <v>714</v>
      </c>
      <c r="I4" s="36">
        <v>44440</v>
      </c>
      <c r="J4" s="30">
        <v>2</v>
      </c>
      <c r="K4" s="30">
        <v>6</v>
      </c>
      <c r="L4" s="30">
        <v>10</v>
      </c>
      <c r="M4" s="23">
        <f>((L4*14000)+(L4*14000)*10%)+8250+((0*150))</f>
        <v>162250</v>
      </c>
      <c r="N4" s="21">
        <f t="shared" si="3"/>
        <v>12100</v>
      </c>
      <c r="O4" s="21">
        <f t="shared" si="4"/>
        <v>23370</v>
      </c>
      <c r="P4" s="21">
        <f>L4*1100</f>
        <v>11000</v>
      </c>
      <c r="Q4" s="14">
        <f t="shared" si="5"/>
        <v>208720</v>
      </c>
      <c r="R4" s="121" t="s">
        <v>94</v>
      </c>
      <c r="S4" s="121" t="s">
        <v>94</v>
      </c>
      <c r="T4" s="121" t="s">
        <v>94</v>
      </c>
      <c r="U4" s="30"/>
      <c r="V4" s="30"/>
    </row>
    <row r="5" spans="1:22" x14ac:dyDescent="0.25">
      <c r="A5" s="26">
        <v>4</v>
      </c>
      <c r="B5" s="30" t="s">
        <v>950</v>
      </c>
      <c r="C5" s="26" t="s">
        <v>29</v>
      </c>
      <c r="D5" s="30" t="s">
        <v>574</v>
      </c>
      <c r="E5" s="30" t="s">
        <v>23</v>
      </c>
      <c r="F5" s="30" t="s">
        <v>29</v>
      </c>
      <c r="G5" s="30" t="s">
        <v>115</v>
      </c>
      <c r="H5" s="30" t="s">
        <v>233</v>
      </c>
      <c r="I5" s="36">
        <v>44440</v>
      </c>
      <c r="J5" s="30">
        <v>3</v>
      </c>
      <c r="K5" s="30">
        <v>38</v>
      </c>
      <c r="L5" s="30">
        <v>38</v>
      </c>
      <c r="M5" s="23">
        <f>((L5*60500)+(L5*60500)*10%)+8250+((0*150))</f>
        <v>2537150</v>
      </c>
      <c r="N5" s="21">
        <f t="shared" si="3"/>
        <v>45980</v>
      </c>
      <c r="O5" s="21">
        <f t="shared" si="4"/>
        <v>80406</v>
      </c>
      <c r="P5" s="21">
        <f>L5*2500</f>
        <v>95000</v>
      </c>
      <c r="Q5" s="14">
        <f t="shared" si="5"/>
        <v>2758536</v>
      </c>
      <c r="R5" s="121" t="s">
        <v>94</v>
      </c>
      <c r="S5" s="121" t="s">
        <v>94</v>
      </c>
      <c r="T5" s="121" t="s">
        <v>94</v>
      </c>
      <c r="U5" s="30"/>
      <c r="V5" s="30"/>
    </row>
    <row r="6" spans="1:22" x14ac:dyDescent="0.25">
      <c r="A6" s="26">
        <v>5</v>
      </c>
      <c r="B6" s="30" t="s">
        <v>951</v>
      </c>
      <c r="C6" s="26" t="s">
        <v>29</v>
      </c>
      <c r="D6" s="30" t="s">
        <v>815</v>
      </c>
      <c r="E6" s="30" t="s">
        <v>23</v>
      </c>
      <c r="F6" s="30" t="s">
        <v>29</v>
      </c>
      <c r="G6" s="30" t="s">
        <v>24</v>
      </c>
      <c r="H6" s="30" t="s">
        <v>128</v>
      </c>
      <c r="I6" s="36">
        <v>44440</v>
      </c>
      <c r="J6" s="30">
        <v>9</v>
      </c>
      <c r="K6" s="30">
        <v>125</v>
      </c>
      <c r="L6" s="30">
        <v>125</v>
      </c>
      <c r="M6" s="23">
        <f>((L6*22000)+(L6*22000)*10%)+8250+((L6*165))</f>
        <v>3053875</v>
      </c>
      <c r="N6" s="21">
        <f t="shared" si="3"/>
        <v>151250</v>
      </c>
      <c r="O6" s="21">
        <f t="shared" si="4"/>
        <v>257625</v>
      </c>
      <c r="P6" s="21">
        <f>L6*1100</f>
        <v>137500</v>
      </c>
      <c r="Q6" s="14">
        <f t="shared" si="5"/>
        <v>3600250</v>
      </c>
      <c r="R6" s="121" t="s">
        <v>94</v>
      </c>
      <c r="S6" s="121" t="s">
        <v>94</v>
      </c>
      <c r="T6" s="121" t="s">
        <v>94</v>
      </c>
      <c r="U6" s="30"/>
      <c r="V6" s="30"/>
    </row>
    <row r="7" spans="1:22" x14ac:dyDescent="0.25">
      <c r="A7" s="26">
        <v>6</v>
      </c>
      <c r="B7" s="30" t="s">
        <v>952</v>
      </c>
      <c r="C7" s="26" t="s">
        <v>29</v>
      </c>
      <c r="D7" s="30" t="s">
        <v>30</v>
      </c>
      <c r="E7" s="30" t="s">
        <v>473</v>
      </c>
      <c r="F7" s="30" t="s">
        <v>29</v>
      </c>
      <c r="G7" s="30" t="s">
        <v>263</v>
      </c>
      <c r="H7" s="30" t="s">
        <v>264</v>
      </c>
      <c r="I7" s="36">
        <v>44441</v>
      </c>
      <c r="J7" s="30">
        <v>2</v>
      </c>
      <c r="K7" s="30">
        <v>63</v>
      </c>
      <c r="L7" s="30">
        <v>63</v>
      </c>
      <c r="M7" s="23">
        <f>((L7*10500)+(L7*10500)*10%)+8250+((0*150))</f>
        <v>735900</v>
      </c>
      <c r="N7" s="21">
        <f t="shared" si="3"/>
        <v>76230</v>
      </c>
      <c r="O7" s="21">
        <f t="shared" si="4"/>
        <v>131331</v>
      </c>
      <c r="P7" s="21">
        <f t="shared" ref="P7:P10" si="6">L7*2100</f>
        <v>132300</v>
      </c>
      <c r="Q7" s="14">
        <f t="shared" si="5"/>
        <v>1075761</v>
      </c>
      <c r="R7" s="121" t="s">
        <v>94</v>
      </c>
      <c r="S7" s="121" t="s">
        <v>94</v>
      </c>
      <c r="T7" s="121" t="s">
        <v>94</v>
      </c>
      <c r="U7" s="30"/>
      <c r="V7" s="30"/>
    </row>
    <row r="8" spans="1:22" x14ac:dyDescent="0.25">
      <c r="A8" s="26">
        <v>7</v>
      </c>
      <c r="B8" s="30" t="s">
        <v>953</v>
      </c>
      <c r="C8" s="26" t="s">
        <v>29</v>
      </c>
      <c r="D8" s="30" t="s">
        <v>30</v>
      </c>
      <c r="E8" s="30" t="s">
        <v>473</v>
      </c>
      <c r="F8" s="30" t="s">
        <v>29</v>
      </c>
      <c r="G8" s="30" t="s">
        <v>210</v>
      </c>
      <c r="H8" s="30" t="s">
        <v>516</v>
      </c>
      <c r="I8" s="36">
        <v>44441</v>
      </c>
      <c r="J8" s="30">
        <v>5</v>
      </c>
      <c r="K8" s="30">
        <v>158</v>
      </c>
      <c r="L8" s="30">
        <v>158</v>
      </c>
      <c r="M8" s="23">
        <f>((L8*8500)+(L8*8500)*10%)+8250+((0*150))</f>
        <v>1485550</v>
      </c>
      <c r="N8" s="21">
        <f t="shared" si="3"/>
        <v>191180</v>
      </c>
      <c r="O8" s="21">
        <f t="shared" si="4"/>
        <v>324846</v>
      </c>
      <c r="P8" s="21">
        <f t="shared" si="6"/>
        <v>331800</v>
      </c>
      <c r="Q8" s="14">
        <f t="shared" si="5"/>
        <v>2333376</v>
      </c>
      <c r="R8" s="121" t="s">
        <v>94</v>
      </c>
      <c r="S8" s="121" t="s">
        <v>94</v>
      </c>
      <c r="T8" s="121" t="s">
        <v>94</v>
      </c>
      <c r="U8" s="30"/>
      <c r="V8" s="30"/>
    </row>
    <row r="9" spans="1:22" x14ac:dyDescent="0.25">
      <c r="A9" s="26">
        <v>8</v>
      </c>
      <c r="B9" s="30" t="s">
        <v>954</v>
      </c>
      <c r="C9" s="26" t="s">
        <v>29</v>
      </c>
      <c r="D9" s="30" t="s">
        <v>30</v>
      </c>
      <c r="E9" s="30" t="s">
        <v>473</v>
      </c>
      <c r="F9" s="30" t="s">
        <v>29</v>
      </c>
      <c r="G9" s="30" t="s">
        <v>35</v>
      </c>
      <c r="H9" s="30" t="s">
        <v>963</v>
      </c>
      <c r="I9" s="36">
        <v>44441</v>
      </c>
      <c r="J9" s="30">
        <v>2</v>
      </c>
      <c r="K9" s="30">
        <v>58</v>
      </c>
      <c r="L9" s="30">
        <v>58</v>
      </c>
      <c r="M9" s="23">
        <f t="shared" ref="M9" si="7">((L9*10000)+(L9*10000)*10%)+8250+((0*150))</f>
        <v>646250</v>
      </c>
      <c r="N9" s="21">
        <f t="shared" si="3"/>
        <v>70180</v>
      </c>
      <c r="O9" s="21">
        <f t="shared" si="4"/>
        <v>121146</v>
      </c>
      <c r="P9" s="21">
        <f t="shared" si="6"/>
        <v>121800</v>
      </c>
      <c r="Q9" s="14">
        <f t="shared" si="5"/>
        <v>959376</v>
      </c>
      <c r="R9" s="121" t="s">
        <v>94</v>
      </c>
      <c r="S9" s="121" t="s">
        <v>94</v>
      </c>
      <c r="T9" s="121" t="s">
        <v>94</v>
      </c>
      <c r="U9" s="30"/>
      <c r="V9" s="30"/>
    </row>
    <row r="10" spans="1:22" x14ac:dyDescent="0.25">
      <c r="A10" s="26">
        <v>9</v>
      </c>
      <c r="B10" s="30" t="s">
        <v>955</v>
      </c>
      <c r="C10" s="26" t="s">
        <v>29</v>
      </c>
      <c r="D10" s="30" t="s">
        <v>30</v>
      </c>
      <c r="E10" s="30" t="s">
        <v>473</v>
      </c>
      <c r="F10" s="30" t="s">
        <v>29</v>
      </c>
      <c r="G10" s="30" t="s">
        <v>69</v>
      </c>
      <c r="H10" s="30" t="s">
        <v>488</v>
      </c>
      <c r="I10" s="36">
        <v>44441</v>
      </c>
      <c r="J10" s="30">
        <v>5</v>
      </c>
      <c r="K10" s="30">
        <v>156</v>
      </c>
      <c r="L10" s="30">
        <v>156</v>
      </c>
      <c r="M10" s="23">
        <f>((L10*11000)+(L10*11000)*10%)+8250+((0*150))</f>
        <v>1895850</v>
      </c>
      <c r="N10" s="21">
        <f t="shared" si="3"/>
        <v>188760</v>
      </c>
      <c r="O10" s="21">
        <f t="shared" si="4"/>
        <v>320772</v>
      </c>
      <c r="P10" s="21">
        <f t="shared" si="6"/>
        <v>327600</v>
      </c>
      <c r="Q10" s="14">
        <f t="shared" si="5"/>
        <v>2732982</v>
      </c>
      <c r="R10" s="121" t="s">
        <v>94</v>
      </c>
      <c r="S10" s="121" t="s">
        <v>94</v>
      </c>
      <c r="T10" s="121" t="s">
        <v>94</v>
      </c>
      <c r="U10" s="30"/>
      <c r="V10" s="30"/>
    </row>
    <row r="11" spans="1:22" x14ac:dyDescent="0.25">
      <c r="A11" s="26">
        <v>10</v>
      </c>
      <c r="B11" s="30" t="s">
        <v>956</v>
      </c>
      <c r="C11" s="26" t="s">
        <v>29</v>
      </c>
      <c r="D11" s="30" t="s">
        <v>815</v>
      </c>
      <c r="E11" s="30" t="s">
        <v>23</v>
      </c>
      <c r="F11" s="30" t="s">
        <v>29</v>
      </c>
      <c r="G11" s="30" t="s">
        <v>50</v>
      </c>
      <c r="H11" s="30" t="s">
        <v>58</v>
      </c>
      <c r="I11" s="36">
        <v>44442</v>
      </c>
      <c r="J11" s="30">
        <v>2</v>
      </c>
      <c r="K11" s="30">
        <v>27</v>
      </c>
      <c r="L11" s="30">
        <v>27</v>
      </c>
      <c r="M11" s="23">
        <f>((L11*31000)+(L11*31000)*10%)+8250+((0*150))</f>
        <v>928950</v>
      </c>
      <c r="N11" s="21">
        <f t="shared" si="3"/>
        <v>32670</v>
      </c>
      <c r="O11" s="21">
        <f t="shared" si="4"/>
        <v>57999</v>
      </c>
      <c r="P11" s="21">
        <f>L11*1100</f>
        <v>29700</v>
      </c>
      <c r="Q11" s="14">
        <f t="shared" si="5"/>
        <v>1049319</v>
      </c>
      <c r="R11" s="121" t="s">
        <v>94</v>
      </c>
      <c r="S11" s="121" t="s">
        <v>94</v>
      </c>
      <c r="T11" s="121" t="s">
        <v>94</v>
      </c>
      <c r="U11" s="30"/>
      <c r="V11" s="30"/>
    </row>
    <row r="12" spans="1:22" x14ac:dyDescent="0.25">
      <c r="A12" s="26">
        <v>11</v>
      </c>
      <c r="B12" s="30" t="s">
        <v>957</v>
      </c>
      <c r="C12" s="26" t="s">
        <v>29</v>
      </c>
      <c r="D12" s="30" t="s">
        <v>85</v>
      </c>
      <c r="E12" s="30" t="s">
        <v>505</v>
      </c>
      <c r="F12" s="30" t="s">
        <v>29</v>
      </c>
      <c r="G12" s="30" t="s">
        <v>72</v>
      </c>
      <c r="H12" s="30" t="s">
        <v>964</v>
      </c>
      <c r="I12" s="36">
        <v>44442</v>
      </c>
      <c r="J12" s="30">
        <v>7</v>
      </c>
      <c r="K12" s="30">
        <v>149</v>
      </c>
      <c r="L12" s="30">
        <v>149</v>
      </c>
      <c r="M12" s="23">
        <f>((L12*16500)+(L12*16500)*10%)+8250+((0*150))</f>
        <v>2712600</v>
      </c>
      <c r="N12" s="21">
        <f t="shared" si="3"/>
        <v>180290</v>
      </c>
      <c r="O12" s="21">
        <f t="shared" si="4"/>
        <v>306513</v>
      </c>
      <c r="P12" s="21">
        <f>L12*1100</f>
        <v>163900</v>
      </c>
      <c r="Q12" s="14">
        <f t="shared" si="5"/>
        <v>3363303</v>
      </c>
      <c r="R12" s="121" t="s">
        <v>94</v>
      </c>
      <c r="S12" s="121" t="s">
        <v>94</v>
      </c>
      <c r="T12" s="121" t="s">
        <v>94</v>
      </c>
      <c r="U12" s="30"/>
      <c r="V12" s="30"/>
    </row>
    <row r="13" spans="1:22" x14ac:dyDescent="0.25">
      <c r="A13" s="26">
        <v>12</v>
      </c>
      <c r="B13" s="30" t="s">
        <v>958</v>
      </c>
      <c r="C13" s="26" t="s">
        <v>29</v>
      </c>
      <c r="D13" s="30" t="s">
        <v>815</v>
      </c>
      <c r="E13" s="30" t="s">
        <v>23</v>
      </c>
      <c r="F13" s="30" t="s">
        <v>29</v>
      </c>
      <c r="G13" s="30" t="s">
        <v>112</v>
      </c>
      <c r="H13" s="30" t="s">
        <v>113</v>
      </c>
      <c r="I13" s="36">
        <v>44442</v>
      </c>
      <c r="J13" s="30">
        <v>3</v>
      </c>
      <c r="K13" s="30">
        <v>43</v>
      </c>
      <c r="L13" s="30">
        <v>49</v>
      </c>
      <c r="M13" s="23">
        <f>((L13*41500)+(L13*41500)*10%)+8250+((L13*165))</f>
        <v>2253185</v>
      </c>
      <c r="N13" s="21">
        <f t="shared" si="3"/>
        <v>59290</v>
      </c>
      <c r="O13" s="21">
        <f t="shared" si="4"/>
        <v>102813</v>
      </c>
      <c r="P13" s="21">
        <f>L13*1100</f>
        <v>53900</v>
      </c>
      <c r="Q13" s="14">
        <f t="shared" si="5"/>
        <v>2469188</v>
      </c>
      <c r="R13" s="121" t="s">
        <v>94</v>
      </c>
      <c r="S13" s="121" t="s">
        <v>94</v>
      </c>
      <c r="T13" s="121" t="s">
        <v>94</v>
      </c>
      <c r="U13" s="30"/>
      <c r="V13" s="30"/>
    </row>
    <row r="14" spans="1:22" x14ac:dyDescent="0.25">
      <c r="A14" s="26">
        <v>13</v>
      </c>
      <c r="B14" s="30" t="s">
        <v>959</v>
      </c>
      <c r="C14" s="26" t="s">
        <v>29</v>
      </c>
      <c r="D14" s="30" t="s">
        <v>30</v>
      </c>
      <c r="E14" s="30" t="s">
        <v>473</v>
      </c>
      <c r="F14" s="30" t="s">
        <v>29</v>
      </c>
      <c r="G14" s="30" t="s">
        <v>166</v>
      </c>
      <c r="H14" s="30" t="s">
        <v>485</v>
      </c>
      <c r="I14" s="36">
        <v>44443</v>
      </c>
      <c r="J14" s="30">
        <v>7</v>
      </c>
      <c r="K14" s="30">
        <v>181</v>
      </c>
      <c r="L14" s="30">
        <v>181</v>
      </c>
      <c r="M14" s="23">
        <f>((L14*9000)+(L14*9000)*10%)+8250+((0*150))</f>
        <v>1800150</v>
      </c>
      <c r="N14" s="21">
        <f t="shared" si="3"/>
        <v>219010</v>
      </c>
      <c r="O14" s="21">
        <f t="shared" si="4"/>
        <v>371697</v>
      </c>
      <c r="P14" s="21">
        <f>L14*2100</f>
        <v>380100</v>
      </c>
      <c r="Q14" s="14">
        <f t="shared" si="5"/>
        <v>2770957</v>
      </c>
      <c r="R14" s="121" t="s">
        <v>94</v>
      </c>
      <c r="S14" s="121" t="s">
        <v>94</v>
      </c>
      <c r="T14" s="121" t="s">
        <v>94</v>
      </c>
      <c r="U14" s="30"/>
      <c r="V14" s="30"/>
    </row>
    <row r="15" spans="1:22" x14ac:dyDescent="0.25">
      <c r="A15" s="26">
        <v>14</v>
      </c>
      <c r="B15" s="30" t="s">
        <v>960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79</v>
      </c>
      <c r="H15" s="30" t="s">
        <v>89</v>
      </c>
      <c r="I15" s="36">
        <v>44443</v>
      </c>
      <c r="J15" s="30">
        <v>3</v>
      </c>
      <c r="K15" s="30">
        <v>59</v>
      </c>
      <c r="L15" s="30">
        <v>60</v>
      </c>
      <c r="M15" s="23">
        <f>((L15*15000)+(L15*15000)*10%)+8250+((0*150))</f>
        <v>998250</v>
      </c>
      <c r="N15" s="21">
        <f t="shared" si="3"/>
        <v>72600</v>
      </c>
      <c r="O15" s="21">
        <f t="shared" si="4"/>
        <v>125220</v>
      </c>
      <c r="P15" s="21">
        <f>L15*2100</f>
        <v>126000</v>
      </c>
      <c r="Q15" s="14">
        <f t="shared" si="5"/>
        <v>1322070</v>
      </c>
      <c r="R15" s="121" t="s">
        <v>94</v>
      </c>
      <c r="S15" s="121" t="s">
        <v>94</v>
      </c>
      <c r="T15" s="121" t="s">
        <v>94</v>
      </c>
      <c r="U15" s="30"/>
      <c r="V15" s="30"/>
    </row>
    <row r="16" spans="1:22" x14ac:dyDescent="0.25">
      <c r="A16" s="26">
        <v>15</v>
      </c>
      <c r="B16" s="30" t="s">
        <v>961</v>
      </c>
      <c r="C16" s="26" t="s">
        <v>29</v>
      </c>
      <c r="D16" s="30" t="s">
        <v>815</v>
      </c>
      <c r="E16" s="30" t="s">
        <v>23</v>
      </c>
      <c r="F16" s="30" t="s">
        <v>29</v>
      </c>
      <c r="G16" s="30" t="s">
        <v>50</v>
      </c>
      <c r="H16" s="30" t="s">
        <v>58</v>
      </c>
      <c r="I16" s="36">
        <v>44443</v>
      </c>
      <c r="J16" s="30">
        <v>2</v>
      </c>
      <c r="K16" s="30">
        <v>30</v>
      </c>
      <c r="L16" s="30">
        <v>30</v>
      </c>
      <c r="M16" s="23">
        <f>((L16*31000)+(L16*31000)*10%)+8250+((0*150))</f>
        <v>1031250</v>
      </c>
      <c r="N16" s="21">
        <f t="shared" si="3"/>
        <v>36300</v>
      </c>
      <c r="O16" s="21">
        <f t="shared" si="4"/>
        <v>64110</v>
      </c>
      <c r="P16" s="21">
        <f>L16*1100</f>
        <v>33000</v>
      </c>
      <c r="Q16" s="14">
        <f t="shared" si="5"/>
        <v>1164660</v>
      </c>
      <c r="R16" s="121" t="s">
        <v>94</v>
      </c>
      <c r="S16" s="121" t="s">
        <v>94</v>
      </c>
      <c r="T16" s="121" t="s">
        <v>94</v>
      </c>
      <c r="U16" s="30"/>
      <c r="V16" s="30"/>
    </row>
    <row r="17" spans="1:22" x14ac:dyDescent="0.25">
      <c r="A17" s="26">
        <v>16</v>
      </c>
      <c r="B17" s="30" t="s">
        <v>962</v>
      </c>
      <c r="C17" s="26" t="s">
        <v>29</v>
      </c>
      <c r="D17" s="30" t="s">
        <v>815</v>
      </c>
      <c r="E17" s="30" t="s">
        <v>23</v>
      </c>
      <c r="F17" s="30" t="s">
        <v>29</v>
      </c>
      <c r="G17" s="30" t="s">
        <v>50</v>
      </c>
      <c r="H17" s="30" t="s">
        <v>58</v>
      </c>
      <c r="I17" s="36">
        <v>44444</v>
      </c>
      <c r="J17" s="30">
        <v>2</v>
      </c>
      <c r="K17" s="30">
        <v>30</v>
      </c>
      <c r="L17" s="30">
        <v>30</v>
      </c>
      <c r="M17" s="23">
        <f>((L17*31000)+(L17*31000)*10%)+8250+((0*150))</f>
        <v>1031250</v>
      </c>
      <c r="N17" s="21">
        <f t="shared" si="3"/>
        <v>36300</v>
      </c>
      <c r="O17" s="21">
        <f t="shared" si="4"/>
        <v>64110</v>
      </c>
      <c r="P17" s="109">
        <f>L17*2000</f>
        <v>60000</v>
      </c>
      <c r="Q17" s="14">
        <f t="shared" si="5"/>
        <v>1191660</v>
      </c>
      <c r="R17" s="121" t="s">
        <v>94</v>
      </c>
      <c r="S17" s="121" t="s">
        <v>94</v>
      </c>
      <c r="T17" s="121" t="s">
        <v>94</v>
      </c>
      <c r="U17" s="30"/>
      <c r="V17" s="30"/>
    </row>
    <row r="18" spans="1:22" hidden="1" x14ac:dyDescent="0.25">
      <c r="A18" s="26">
        <v>17</v>
      </c>
      <c r="B18" s="30" t="s">
        <v>1046</v>
      </c>
      <c r="C18" s="26" t="s">
        <v>21</v>
      </c>
      <c r="D18" s="30" t="s">
        <v>1047</v>
      </c>
      <c r="E18" s="30" t="s">
        <v>23</v>
      </c>
      <c r="F18" s="30" t="s">
        <v>21</v>
      </c>
      <c r="G18" s="30" t="s">
        <v>40</v>
      </c>
      <c r="H18" s="30" t="s">
        <v>214</v>
      </c>
      <c r="I18" s="36">
        <v>44445</v>
      </c>
      <c r="J18" s="30">
        <v>1</v>
      </c>
      <c r="K18" s="30">
        <v>19</v>
      </c>
      <c r="L18" s="30">
        <v>19</v>
      </c>
      <c r="M18" s="23">
        <f>((L18*5000)+(L18*5000)*10%)+8250+((L18*165))</f>
        <v>115885</v>
      </c>
      <c r="N18" s="21">
        <f>L18*869</f>
        <v>16511</v>
      </c>
      <c r="O18" s="21">
        <f>(L18*1153)+20000</f>
        <v>41907</v>
      </c>
      <c r="P18" s="21">
        <f>L18*1100</f>
        <v>20900</v>
      </c>
      <c r="Q18" s="14">
        <f t="shared" ref="Q18" si="8">SUM(M18:P18)</f>
        <v>195203</v>
      </c>
      <c r="R18" s="121">
        <v>195230</v>
      </c>
      <c r="S18" s="128" t="s">
        <v>966</v>
      </c>
      <c r="T18" s="121" t="s">
        <v>27</v>
      </c>
      <c r="U18" s="30"/>
      <c r="V18" s="30"/>
    </row>
    <row r="19" spans="1:22" x14ac:dyDescent="0.25">
      <c r="A19" s="26">
        <v>18</v>
      </c>
      <c r="B19" s="30" t="s">
        <v>968</v>
      </c>
      <c r="C19" s="26" t="s">
        <v>29</v>
      </c>
      <c r="D19" s="30" t="s">
        <v>815</v>
      </c>
      <c r="E19" s="30" t="s">
        <v>23</v>
      </c>
      <c r="F19" s="30" t="s">
        <v>29</v>
      </c>
      <c r="G19" s="30" t="s">
        <v>713</v>
      </c>
      <c r="H19" s="30" t="s">
        <v>714</v>
      </c>
      <c r="I19" s="36">
        <v>44446</v>
      </c>
      <c r="J19" s="30">
        <v>2</v>
      </c>
      <c r="K19" s="30">
        <v>5</v>
      </c>
      <c r="L19" s="30">
        <v>10</v>
      </c>
      <c r="M19" s="23">
        <f>((L19*14000)+(L19*14000)*10%)+8250+((0*150))</f>
        <v>162250</v>
      </c>
      <c r="N19" s="21">
        <f t="shared" ref="N19:N55" si="9">L19*1210</f>
        <v>12100</v>
      </c>
      <c r="O19" s="21">
        <f t="shared" ref="O19:O55" si="10">(L19*2037)+3000</f>
        <v>23370</v>
      </c>
      <c r="P19" s="109">
        <f>L19*2000</f>
        <v>20000</v>
      </c>
      <c r="Q19" s="14">
        <f t="shared" ref="Q19:Q55" si="11">SUM(M19:P19)</f>
        <v>217720</v>
      </c>
      <c r="R19" s="121" t="s">
        <v>94</v>
      </c>
      <c r="S19" s="121" t="s">
        <v>94</v>
      </c>
      <c r="T19" s="121" t="s">
        <v>94</v>
      </c>
      <c r="U19" s="30"/>
      <c r="V19" s="30"/>
    </row>
    <row r="20" spans="1:22" ht="15" hidden="1" customHeight="1" x14ac:dyDescent="0.25">
      <c r="A20" s="26">
        <v>19</v>
      </c>
      <c r="B20" s="30" t="s">
        <v>969</v>
      </c>
      <c r="C20" s="26" t="s">
        <v>29</v>
      </c>
      <c r="D20" s="30" t="s">
        <v>491</v>
      </c>
      <c r="E20" s="30" t="s">
        <v>23</v>
      </c>
      <c r="F20" s="30" t="s">
        <v>29</v>
      </c>
      <c r="G20" s="30" t="s">
        <v>184</v>
      </c>
      <c r="H20" s="30" t="s">
        <v>219</v>
      </c>
      <c r="I20" s="36">
        <v>44446</v>
      </c>
      <c r="J20" s="30">
        <v>2</v>
      </c>
      <c r="K20" s="30">
        <v>41</v>
      </c>
      <c r="L20" s="30">
        <v>41</v>
      </c>
      <c r="M20" s="23">
        <f>((L20*14000)+(L20*14000)*10%)+8250+((0*150))</f>
        <v>639650</v>
      </c>
      <c r="N20" s="21">
        <f t="shared" si="9"/>
        <v>49610</v>
      </c>
      <c r="O20" s="21">
        <f t="shared" si="10"/>
        <v>86517</v>
      </c>
      <c r="P20" s="21">
        <f t="shared" ref="P19:P55" si="12">L20*1100</f>
        <v>45100</v>
      </c>
      <c r="Q20" s="14">
        <f t="shared" si="11"/>
        <v>820877</v>
      </c>
      <c r="R20" s="121">
        <v>30413395</v>
      </c>
      <c r="S20" s="128" t="s">
        <v>1073</v>
      </c>
      <c r="T20" s="121" t="s">
        <v>27</v>
      </c>
      <c r="U20" s="30"/>
      <c r="V20" s="30"/>
    </row>
    <row r="21" spans="1:22" x14ac:dyDescent="0.25">
      <c r="A21" s="26">
        <v>20</v>
      </c>
      <c r="B21" s="30" t="s">
        <v>970</v>
      </c>
      <c r="C21" s="26" t="s">
        <v>29</v>
      </c>
      <c r="D21" s="30" t="s">
        <v>815</v>
      </c>
      <c r="E21" s="30" t="s">
        <v>23</v>
      </c>
      <c r="F21" s="30" t="s">
        <v>29</v>
      </c>
      <c r="G21" s="30" t="s">
        <v>112</v>
      </c>
      <c r="H21" s="30" t="s">
        <v>1003</v>
      </c>
      <c r="I21" s="36">
        <v>44446</v>
      </c>
      <c r="J21" s="30">
        <v>2</v>
      </c>
      <c r="K21" s="30">
        <v>4</v>
      </c>
      <c r="L21" s="30">
        <v>10</v>
      </c>
      <c r="M21" s="23">
        <f>((L21*41500)+(L21*41500)*10%)+8250+((L21*165))</f>
        <v>466400</v>
      </c>
      <c r="N21" s="21">
        <f t="shared" si="9"/>
        <v>12100</v>
      </c>
      <c r="O21" s="21">
        <f t="shared" si="10"/>
        <v>23370</v>
      </c>
      <c r="P21" s="109">
        <f>L21*2000</f>
        <v>20000</v>
      </c>
      <c r="Q21" s="14">
        <f t="shared" si="11"/>
        <v>521870</v>
      </c>
      <c r="R21" s="121" t="s">
        <v>94</v>
      </c>
      <c r="S21" s="121" t="s">
        <v>94</v>
      </c>
      <c r="T21" s="121" t="s">
        <v>94</v>
      </c>
      <c r="U21" s="30"/>
      <c r="V21" s="30"/>
    </row>
    <row r="22" spans="1:22" x14ac:dyDescent="0.25">
      <c r="A22" s="26">
        <v>21</v>
      </c>
      <c r="B22" s="30" t="s">
        <v>971</v>
      </c>
      <c r="C22" s="26" t="s">
        <v>29</v>
      </c>
      <c r="D22" s="30" t="s">
        <v>815</v>
      </c>
      <c r="E22" s="30" t="s">
        <v>23</v>
      </c>
      <c r="F22" s="30" t="s">
        <v>29</v>
      </c>
      <c r="G22" s="30" t="s">
        <v>79</v>
      </c>
      <c r="H22" s="30" t="s">
        <v>89</v>
      </c>
      <c r="I22" s="36">
        <v>44446</v>
      </c>
      <c r="J22" s="30">
        <v>2</v>
      </c>
      <c r="K22" s="30">
        <v>40</v>
      </c>
      <c r="L22" s="30">
        <v>40</v>
      </c>
      <c r="M22" s="23">
        <f>((L22*15000)+(L22*15000)*10%)+8250+((0*165))</f>
        <v>668250</v>
      </c>
      <c r="N22" s="21">
        <f t="shared" si="9"/>
        <v>48400</v>
      </c>
      <c r="O22" s="21">
        <f t="shared" si="10"/>
        <v>84480</v>
      </c>
      <c r="P22" s="109">
        <f>L22*2000</f>
        <v>80000</v>
      </c>
      <c r="Q22" s="14">
        <f t="shared" si="11"/>
        <v>881130</v>
      </c>
      <c r="R22" s="121" t="s">
        <v>94</v>
      </c>
      <c r="S22" s="121" t="s">
        <v>94</v>
      </c>
      <c r="T22" s="121" t="s">
        <v>94</v>
      </c>
      <c r="U22" s="30"/>
      <c r="V22" s="30"/>
    </row>
    <row r="23" spans="1:22" x14ac:dyDescent="0.25">
      <c r="A23" s="26">
        <v>22</v>
      </c>
      <c r="B23" s="30" t="s">
        <v>972</v>
      </c>
      <c r="C23" s="26" t="s">
        <v>29</v>
      </c>
      <c r="D23" s="30" t="s">
        <v>815</v>
      </c>
      <c r="E23" s="30" t="s">
        <v>23</v>
      </c>
      <c r="F23" s="30" t="s">
        <v>29</v>
      </c>
      <c r="G23" s="30" t="s">
        <v>281</v>
      </c>
      <c r="H23" s="30" t="s">
        <v>1004</v>
      </c>
      <c r="I23" s="36">
        <v>44446</v>
      </c>
      <c r="J23" s="30">
        <v>7</v>
      </c>
      <c r="K23" s="30">
        <v>81</v>
      </c>
      <c r="L23" s="30">
        <v>81</v>
      </c>
      <c r="M23" s="23">
        <f>((L23*14000)+(L23*14000)*10%)+8250+((0*165))</f>
        <v>1255650</v>
      </c>
      <c r="N23" s="21">
        <f t="shared" si="9"/>
        <v>98010</v>
      </c>
      <c r="O23" s="21">
        <f t="shared" si="10"/>
        <v>167997</v>
      </c>
      <c r="P23" s="109">
        <f>L23*2000</f>
        <v>162000</v>
      </c>
      <c r="Q23" s="14">
        <f t="shared" si="11"/>
        <v>1683657</v>
      </c>
      <c r="R23" s="121" t="s">
        <v>94</v>
      </c>
      <c r="S23" s="121" t="s">
        <v>94</v>
      </c>
      <c r="T23" s="121" t="s">
        <v>94</v>
      </c>
      <c r="U23" s="30"/>
      <c r="V23" s="30"/>
    </row>
    <row r="24" spans="1:22" x14ac:dyDescent="0.25">
      <c r="A24" s="26">
        <v>23</v>
      </c>
      <c r="B24" s="30" t="s">
        <v>973</v>
      </c>
      <c r="C24" s="26" t="s">
        <v>29</v>
      </c>
      <c r="D24" s="30" t="s">
        <v>815</v>
      </c>
      <c r="E24" s="30" t="s">
        <v>23</v>
      </c>
      <c r="F24" s="30" t="s">
        <v>29</v>
      </c>
      <c r="G24" s="30" t="s">
        <v>24</v>
      </c>
      <c r="H24" s="30" t="s">
        <v>138</v>
      </c>
      <c r="I24" s="36">
        <v>44446</v>
      </c>
      <c r="J24" s="30">
        <v>4</v>
      </c>
      <c r="K24" s="30">
        <v>75</v>
      </c>
      <c r="L24" s="30">
        <v>75</v>
      </c>
      <c r="M24" s="23">
        <f>((L24*22000)+(L24*22000)*10%)+8250+((L24*165))</f>
        <v>1835625</v>
      </c>
      <c r="N24" s="21">
        <f t="shared" si="9"/>
        <v>90750</v>
      </c>
      <c r="O24" s="21">
        <f t="shared" si="10"/>
        <v>155775</v>
      </c>
      <c r="P24" s="109">
        <f>L24*2000</f>
        <v>150000</v>
      </c>
      <c r="Q24" s="14">
        <f t="shared" si="11"/>
        <v>2232150</v>
      </c>
      <c r="R24" s="121" t="s">
        <v>94</v>
      </c>
      <c r="S24" s="121" t="s">
        <v>94</v>
      </c>
      <c r="T24" s="121" t="s">
        <v>94</v>
      </c>
      <c r="U24" s="30"/>
      <c r="V24" s="30"/>
    </row>
    <row r="25" spans="1:22" x14ac:dyDescent="0.25">
      <c r="A25" s="26">
        <v>24</v>
      </c>
      <c r="B25" s="30" t="s">
        <v>974</v>
      </c>
      <c r="C25" s="26" t="s">
        <v>29</v>
      </c>
      <c r="D25" s="30" t="s">
        <v>815</v>
      </c>
      <c r="E25" s="30" t="s">
        <v>23</v>
      </c>
      <c r="F25" s="30" t="s">
        <v>29</v>
      </c>
      <c r="G25" s="30" t="s">
        <v>50</v>
      </c>
      <c r="H25" s="30" t="s">
        <v>58</v>
      </c>
      <c r="I25" s="36">
        <v>44446</v>
      </c>
      <c r="J25" s="30">
        <v>5</v>
      </c>
      <c r="K25" s="30">
        <v>69</v>
      </c>
      <c r="L25" s="30">
        <v>69</v>
      </c>
      <c r="M25" s="23">
        <f>((L25*31000)+(L25*31000)*10%)+8250+((0*150))</f>
        <v>2361150</v>
      </c>
      <c r="N25" s="21">
        <f t="shared" si="9"/>
        <v>83490</v>
      </c>
      <c r="O25" s="21">
        <f t="shared" si="10"/>
        <v>143553</v>
      </c>
      <c r="P25" s="109">
        <f>L25*2000</f>
        <v>138000</v>
      </c>
      <c r="Q25" s="14">
        <f t="shared" si="11"/>
        <v>2726193</v>
      </c>
      <c r="R25" s="121" t="s">
        <v>94</v>
      </c>
      <c r="S25" s="121" t="s">
        <v>94</v>
      </c>
      <c r="T25" s="121" t="s">
        <v>94</v>
      </c>
      <c r="U25" s="30"/>
      <c r="V25" s="30"/>
    </row>
    <row r="26" spans="1:22" x14ac:dyDescent="0.25">
      <c r="A26" s="26">
        <v>25</v>
      </c>
      <c r="B26" s="30" t="s">
        <v>975</v>
      </c>
      <c r="C26" s="26" t="s">
        <v>29</v>
      </c>
      <c r="D26" s="30" t="s">
        <v>30</v>
      </c>
      <c r="E26" s="30" t="s">
        <v>473</v>
      </c>
      <c r="F26" s="30" t="s">
        <v>29</v>
      </c>
      <c r="G26" s="30" t="s">
        <v>64</v>
      </c>
      <c r="H26" s="30" t="s">
        <v>499</v>
      </c>
      <c r="I26" s="36">
        <v>44446</v>
      </c>
      <c r="J26" s="30">
        <v>2</v>
      </c>
      <c r="K26" s="30">
        <v>38</v>
      </c>
      <c r="L26" s="30">
        <v>38</v>
      </c>
      <c r="M26" s="23">
        <f>((L26*14400)+(L26*14400)*10%)+8250+((0*165))</f>
        <v>610170</v>
      </c>
      <c r="N26" s="21">
        <f t="shared" si="9"/>
        <v>45980</v>
      </c>
      <c r="O26" s="21">
        <f t="shared" si="10"/>
        <v>80406</v>
      </c>
      <c r="P26" s="21">
        <f>L26*2100</f>
        <v>79800</v>
      </c>
      <c r="Q26" s="14">
        <f t="shared" si="11"/>
        <v>816356</v>
      </c>
      <c r="R26" s="121" t="s">
        <v>94</v>
      </c>
      <c r="S26" s="121" t="s">
        <v>94</v>
      </c>
      <c r="T26" s="121" t="s">
        <v>94</v>
      </c>
      <c r="U26" s="30"/>
      <c r="V26" s="30"/>
    </row>
    <row r="27" spans="1:22" x14ac:dyDescent="0.25">
      <c r="A27" s="26">
        <v>26</v>
      </c>
      <c r="B27" s="30" t="s">
        <v>976</v>
      </c>
      <c r="C27" s="26" t="s">
        <v>29</v>
      </c>
      <c r="D27" s="30" t="s">
        <v>815</v>
      </c>
      <c r="E27" s="30" t="s">
        <v>23</v>
      </c>
      <c r="F27" s="30" t="s">
        <v>29</v>
      </c>
      <c r="G27" s="30" t="s">
        <v>184</v>
      </c>
      <c r="H27" s="30" t="s">
        <v>219</v>
      </c>
      <c r="I27" s="36">
        <v>44446</v>
      </c>
      <c r="J27" s="30">
        <v>3</v>
      </c>
      <c r="K27" s="30">
        <v>16</v>
      </c>
      <c r="L27" s="30">
        <v>16</v>
      </c>
      <c r="M27" s="23">
        <f>((L27*14000)+(L27*14000)*10%)+8250+((0*150))</f>
        <v>254650</v>
      </c>
      <c r="N27" s="21">
        <f t="shared" si="9"/>
        <v>19360</v>
      </c>
      <c r="O27" s="21">
        <f t="shared" si="10"/>
        <v>35592</v>
      </c>
      <c r="P27" s="109">
        <f>L27*2000</f>
        <v>32000</v>
      </c>
      <c r="Q27" s="14">
        <f t="shared" si="11"/>
        <v>341602</v>
      </c>
      <c r="R27" s="121" t="s">
        <v>94</v>
      </c>
      <c r="S27" s="121" t="s">
        <v>94</v>
      </c>
      <c r="T27" s="121" t="s">
        <v>94</v>
      </c>
      <c r="U27" s="30"/>
      <c r="V27" s="30"/>
    </row>
    <row r="28" spans="1:22" x14ac:dyDescent="0.25">
      <c r="A28" s="26">
        <v>27</v>
      </c>
      <c r="B28" s="30" t="s">
        <v>977</v>
      </c>
      <c r="C28" s="26" t="s">
        <v>29</v>
      </c>
      <c r="D28" s="30" t="s">
        <v>30</v>
      </c>
      <c r="E28" s="30" t="s">
        <v>473</v>
      </c>
      <c r="F28" s="30" t="s">
        <v>29</v>
      </c>
      <c r="G28" s="30" t="s">
        <v>35</v>
      </c>
      <c r="H28" s="30" t="s">
        <v>963</v>
      </c>
      <c r="I28" s="36">
        <v>44446</v>
      </c>
      <c r="J28" s="30">
        <v>2</v>
      </c>
      <c r="K28" s="30">
        <v>37</v>
      </c>
      <c r="L28" s="30">
        <v>37</v>
      </c>
      <c r="M28" s="23">
        <f>((L28*10000)+(L28*10000)*10%)+8250+((L28*165))</f>
        <v>421355</v>
      </c>
      <c r="N28" s="21">
        <f t="shared" si="9"/>
        <v>44770</v>
      </c>
      <c r="O28" s="21">
        <f t="shared" si="10"/>
        <v>78369</v>
      </c>
      <c r="P28" s="21">
        <f>L28*2100</f>
        <v>77700</v>
      </c>
      <c r="Q28" s="14">
        <f t="shared" si="11"/>
        <v>622194</v>
      </c>
      <c r="R28" s="121" t="s">
        <v>94</v>
      </c>
      <c r="S28" s="121" t="s">
        <v>94</v>
      </c>
      <c r="T28" s="121" t="s">
        <v>94</v>
      </c>
      <c r="U28" s="30"/>
      <c r="V28" s="30"/>
    </row>
    <row r="29" spans="1:22" x14ac:dyDescent="0.25">
      <c r="A29" s="26">
        <v>28</v>
      </c>
      <c r="B29" s="30" t="s">
        <v>978</v>
      </c>
      <c r="C29" s="26" t="s">
        <v>29</v>
      </c>
      <c r="D29" s="30" t="s">
        <v>30</v>
      </c>
      <c r="E29" s="30" t="s">
        <v>473</v>
      </c>
      <c r="F29" s="30" t="s">
        <v>29</v>
      </c>
      <c r="G29" s="30" t="s">
        <v>184</v>
      </c>
      <c r="H29" s="30" t="s">
        <v>219</v>
      </c>
      <c r="I29" s="36">
        <v>44446</v>
      </c>
      <c r="J29" s="30">
        <v>4</v>
      </c>
      <c r="K29" s="30">
        <v>56</v>
      </c>
      <c r="L29" s="30">
        <v>56</v>
      </c>
      <c r="M29" s="23">
        <f>((L29*14000)+(L29*14000)*10%)+8250+((0*150))</f>
        <v>870650</v>
      </c>
      <c r="N29" s="21">
        <f t="shared" si="9"/>
        <v>67760</v>
      </c>
      <c r="O29" s="21">
        <f t="shared" si="10"/>
        <v>117072</v>
      </c>
      <c r="P29" s="21">
        <f>L29*2100</f>
        <v>117600</v>
      </c>
      <c r="Q29" s="14">
        <f t="shared" si="11"/>
        <v>1173082</v>
      </c>
      <c r="R29" s="121" t="s">
        <v>94</v>
      </c>
      <c r="S29" s="121" t="s">
        <v>94</v>
      </c>
      <c r="T29" s="121" t="s">
        <v>94</v>
      </c>
      <c r="U29" s="30"/>
      <c r="V29" s="30"/>
    </row>
    <row r="30" spans="1:22" x14ac:dyDescent="0.25">
      <c r="A30" s="26">
        <v>29</v>
      </c>
      <c r="B30" s="30" t="s">
        <v>979</v>
      </c>
      <c r="C30" s="26" t="s">
        <v>29</v>
      </c>
      <c r="D30" s="30" t="s">
        <v>815</v>
      </c>
      <c r="E30" s="30" t="s">
        <v>23</v>
      </c>
      <c r="F30" s="30" t="s">
        <v>29</v>
      </c>
      <c r="G30" s="30" t="s">
        <v>210</v>
      </c>
      <c r="H30" s="30" t="s">
        <v>516</v>
      </c>
      <c r="I30" s="36">
        <v>44446</v>
      </c>
      <c r="J30" s="30">
        <v>2</v>
      </c>
      <c r="K30" s="30">
        <v>5</v>
      </c>
      <c r="L30" s="30">
        <v>10</v>
      </c>
      <c r="M30" s="23">
        <f>((L30*8500)+(L30*8500)*10%)+8250+((0*165))</f>
        <v>101750</v>
      </c>
      <c r="N30" s="21">
        <f t="shared" si="9"/>
        <v>12100</v>
      </c>
      <c r="O30" s="21">
        <f t="shared" si="10"/>
        <v>23370</v>
      </c>
      <c r="P30" s="109">
        <f>L30*2000</f>
        <v>20000</v>
      </c>
      <c r="Q30" s="14">
        <f t="shared" si="11"/>
        <v>157220</v>
      </c>
      <c r="R30" s="121" t="s">
        <v>94</v>
      </c>
      <c r="S30" s="121" t="s">
        <v>94</v>
      </c>
      <c r="T30" s="121" t="s">
        <v>94</v>
      </c>
      <c r="U30" s="30"/>
      <c r="V30" s="30"/>
    </row>
    <row r="31" spans="1:22" x14ac:dyDescent="0.25">
      <c r="A31" s="26">
        <v>30</v>
      </c>
      <c r="B31" s="30" t="s">
        <v>980</v>
      </c>
      <c r="C31" s="26" t="s">
        <v>29</v>
      </c>
      <c r="D31" s="30" t="s">
        <v>30</v>
      </c>
      <c r="E31" s="30" t="s">
        <v>473</v>
      </c>
      <c r="F31" s="30" t="s">
        <v>29</v>
      </c>
      <c r="G31" s="30" t="s">
        <v>171</v>
      </c>
      <c r="H31" s="30" t="s">
        <v>735</v>
      </c>
      <c r="I31" s="36">
        <v>44446</v>
      </c>
      <c r="J31" s="30">
        <v>2</v>
      </c>
      <c r="K31" s="30">
        <v>38</v>
      </c>
      <c r="L31" s="30">
        <v>38</v>
      </c>
      <c r="M31" s="23">
        <f>((L31*12000)+(L31*12000)*10%)+8250+((0*165))</f>
        <v>509850</v>
      </c>
      <c r="N31" s="21">
        <f t="shared" si="9"/>
        <v>45980</v>
      </c>
      <c r="O31" s="21">
        <f t="shared" si="10"/>
        <v>80406</v>
      </c>
      <c r="P31" s="21">
        <f>L31*2100</f>
        <v>79800</v>
      </c>
      <c r="Q31" s="14">
        <f t="shared" si="11"/>
        <v>716036</v>
      </c>
      <c r="R31" s="121" t="s">
        <v>94</v>
      </c>
      <c r="S31" s="121" t="s">
        <v>94</v>
      </c>
      <c r="T31" s="121" t="s">
        <v>94</v>
      </c>
      <c r="U31" s="30"/>
      <c r="V31" s="30"/>
    </row>
    <row r="32" spans="1:22" hidden="1" x14ac:dyDescent="0.25">
      <c r="A32" s="26">
        <v>31</v>
      </c>
      <c r="B32" s="30" t="s">
        <v>1048</v>
      </c>
      <c r="C32" s="26" t="s">
        <v>21</v>
      </c>
      <c r="D32" s="30" t="s">
        <v>1049</v>
      </c>
      <c r="E32" s="30" t="s">
        <v>1007</v>
      </c>
      <c r="F32" s="30" t="s">
        <v>21</v>
      </c>
      <c r="G32" s="30" t="s">
        <v>79</v>
      </c>
      <c r="H32" s="30" t="s">
        <v>200</v>
      </c>
      <c r="I32" s="111">
        <v>44447</v>
      </c>
      <c r="J32" s="30">
        <v>1</v>
      </c>
      <c r="K32" s="30">
        <v>146</v>
      </c>
      <c r="L32" s="30">
        <v>164</v>
      </c>
      <c r="M32" s="23">
        <f>((L32*25000)+(L32*25000)*10%)+8250+((0*165))</f>
        <v>4518250</v>
      </c>
      <c r="N32" s="21">
        <f>L32*869</f>
        <v>142516</v>
      </c>
      <c r="O32" s="21">
        <f>(L32*1153)+20000</f>
        <v>209092</v>
      </c>
      <c r="P32" s="21">
        <f>L32*1100</f>
        <v>180400</v>
      </c>
      <c r="Q32" s="14">
        <f t="shared" si="11"/>
        <v>5050258</v>
      </c>
      <c r="R32" s="121">
        <v>5051000</v>
      </c>
      <c r="S32" s="128" t="s">
        <v>1050</v>
      </c>
      <c r="T32" s="128" t="s">
        <v>27</v>
      </c>
      <c r="U32" s="30"/>
      <c r="V32" s="30"/>
    </row>
    <row r="33" spans="1:23" x14ac:dyDescent="0.25">
      <c r="A33" s="26">
        <v>32</v>
      </c>
      <c r="B33" s="30" t="s">
        <v>981</v>
      </c>
      <c r="C33" s="26" t="s">
        <v>29</v>
      </c>
      <c r="D33" s="30" t="s">
        <v>815</v>
      </c>
      <c r="E33" s="30" t="s">
        <v>23</v>
      </c>
      <c r="F33" s="30" t="s">
        <v>29</v>
      </c>
      <c r="G33" s="30" t="s">
        <v>210</v>
      </c>
      <c r="H33" s="30" t="s">
        <v>516</v>
      </c>
      <c r="I33" s="36">
        <v>44447</v>
      </c>
      <c r="J33" s="30">
        <v>1</v>
      </c>
      <c r="K33" s="30">
        <v>1</v>
      </c>
      <c r="L33" s="30">
        <v>10</v>
      </c>
      <c r="M33" s="23">
        <f>((L33*8500)+(L33*8500)*10%)+8250+((0*165))</f>
        <v>101750</v>
      </c>
      <c r="N33" s="21">
        <f t="shared" si="9"/>
        <v>12100</v>
      </c>
      <c r="O33" s="21">
        <f t="shared" si="10"/>
        <v>23370</v>
      </c>
      <c r="P33" s="109">
        <f>L33*2000</f>
        <v>20000</v>
      </c>
      <c r="Q33" s="14">
        <f t="shared" si="11"/>
        <v>157220</v>
      </c>
      <c r="R33" s="121" t="s">
        <v>94</v>
      </c>
      <c r="S33" s="121" t="s">
        <v>94</v>
      </c>
      <c r="T33" s="121" t="s">
        <v>94</v>
      </c>
      <c r="U33" s="30"/>
      <c r="V33" s="30"/>
    </row>
    <row r="34" spans="1:23" ht="15" hidden="1" customHeight="1" x14ac:dyDescent="0.25">
      <c r="A34" s="26">
        <v>33</v>
      </c>
      <c r="B34" s="30" t="s">
        <v>982</v>
      </c>
      <c r="C34" s="26" t="s">
        <v>29</v>
      </c>
      <c r="D34" s="30" t="s">
        <v>491</v>
      </c>
      <c r="E34" s="30" t="s">
        <v>23</v>
      </c>
      <c r="F34" s="30" t="s">
        <v>29</v>
      </c>
      <c r="G34" s="30" t="s">
        <v>101</v>
      </c>
      <c r="H34" s="30" t="s">
        <v>1005</v>
      </c>
      <c r="I34" s="36">
        <v>44447</v>
      </c>
      <c r="J34" s="30">
        <v>1</v>
      </c>
      <c r="K34" s="30">
        <v>7</v>
      </c>
      <c r="L34" s="30">
        <v>10</v>
      </c>
      <c r="M34" s="23">
        <f>((L34*36000)+(L34*36000)*10%)+8250+((L34*165))</f>
        <v>405900</v>
      </c>
      <c r="N34" s="21">
        <f t="shared" si="9"/>
        <v>12100</v>
      </c>
      <c r="O34" s="21">
        <f t="shared" si="10"/>
        <v>23370</v>
      </c>
      <c r="P34" s="21">
        <f t="shared" si="12"/>
        <v>11000</v>
      </c>
      <c r="Q34" s="14">
        <f t="shared" si="11"/>
        <v>452370</v>
      </c>
      <c r="R34" s="121">
        <v>30413395</v>
      </c>
      <c r="S34" s="128" t="s">
        <v>1073</v>
      </c>
      <c r="T34" s="121" t="s">
        <v>27</v>
      </c>
      <c r="U34" s="30"/>
      <c r="V34" s="30"/>
    </row>
    <row r="35" spans="1:23" x14ac:dyDescent="0.25">
      <c r="A35" s="26">
        <v>34</v>
      </c>
      <c r="B35" s="30" t="s">
        <v>983</v>
      </c>
      <c r="C35" s="26" t="s">
        <v>29</v>
      </c>
      <c r="D35" s="30" t="s">
        <v>815</v>
      </c>
      <c r="E35" s="30" t="s">
        <v>23</v>
      </c>
      <c r="F35" s="30" t="s">
        <v>29</v>
      </c>
      <c r="G35" s="30" t="s">
        <v>60</v>
      </c>
      <c r="H35" s="30" t="s">
        <v>816</v>
      </c>
      <c r="I35" s="36">
        <v>44447</v>
      </c>
      <c r="J35" s="30">
        <v>3</v>
      </c>
      <c r="K35" s="30">
        <v>15</v>
      </c>
      <c r="L35" s="30">
        <v>26</v>
      </c>
      <c r="M35" s="23">
        <f>((L35*14500)+(L35*14500)*10%)+8250+((0*165))</f>
        <v>422950</v>
      </c>
      <c r="N35" s="21">
        <f t="shared" si="9"/>
        <v>31460</v>
      </c>
      <c r="O35" s="21">
        <f t="shared" si="10"/>
        <v>55962</v>
      </c>
      <c r="P35" s="109">
        <f>L35*2000</f>
        <v>52000</v>
      </c>
      <c r="Q35" s="14">
        <f t="shared" si="11"/>
        <v>562372</v>
      </c>
      <c r="R35" s="121" t="s">
        <v>94</v>
      </c>
      <c r="S35" s="121" t="s">
        <v>94</v>
      </c>
      <c r="T35" s="121" t="s">
        <v>94</v>
      </c>
      <c r="U35" s="30"/>
      <c r="V35" s="30"/>
    </row>
    <row r="36" spans="1:23" x14ac:dyDescent="0.25">
      <c r="A36" s="26">
        <v>35</v>
      </c>
      <c r="B36" s="30" t="s">
        <v>984</v>
      </c>
      <c r="C36" s="26" t="s">
        <v>29</v>
      </c>
      <c r="D36" s="30" t="s">
        <v>815</v>
      </c>
      <c r="E36" s="30" t="s">
        <v>23</v>
      </c>
      <c r="F36" s="30" t="s">
        <v>29</v>
      </c>
      <c r="G36" s="30" t="s">
        <v>50</v>
      </c>
      <c r="H36" s="30" t="s">
        <v>58</v>
      </c>
      <c r="I36" s="36">
        <v>44447</v>
      </c>
      <c r="J36" s="30">
        <v>4</v>
      </c>
      <c r="K36" s="30">
        <v>43</v>
      </c>
      <c r="L36" s="30">
        <v>43</v>
      </c>
      <c r="M36" s="23">
        <f>((L36*31000)+(L36*31000)*10%)+8250+((0*165))</f>
        <v>1474550</v>
      </c>
      <c r="N36" s="21">
        <f t="shared" si="9"/>
        <v>52030</v>
      </c>
      <c r="O36" s="21">
        <f t="shared" si="10"/>
        <v>90591</v>
      </c>
      <c r="P36" s="109">
        <f>L36*2000</f>
        <v>86000</v>
      </c>
      <c r="Q36" s="14">
        <f t="shared" si="11"/>
        <v>1703171</v>
      </c>
      <c r="R36" s="121" t="s">
        <v>94</v>
      </c>
      <c r="S36" s="121" t="s">
        <v>94</v>
      </c>
      <c r="T36" s="121" t="s">
        <v>94</v>
      </c>
      <c r="U36" s="30"/>
      <c r="V36" s="30"/>
    </row>
    <row r="37" spans="1:23" x14ac:dyDescent="0.25">
      <c r="A37" s="26">
        <v>36</v>
      </c>
      <c r="B37" s="30" t="s">
        <v>985</v>
      </c>
      <c r="C37" s="26" t="s">
        <v>29</v>
      </c>
      <c r="D37" s="30" t="s">
        <v>1006</v>
      </c>
      <c r="E37" s="30" t="s">
        <v>1007</v>
      </c>
      <c r="F37" s="30" t="s">
        <v>29</v>
      </c>
      <c r="G37" s="30" t="s">
        <v>79</v>
      </c>
      <c r="H37" s="30" t="s">
        <v>208</v>
      </c>
      <c r="I37" s="36">
        <v>44447</v>
      </c>
      <c r="J37" s="30">
        <v>1</v>
      </c>
      <c r="K37" s="30">
        <v>100</v>
      </c>
      <c r="L37" s="30">
        <v>205</v>
      </c>
      <c r="M37" s="23">
        <f>((L37*30000)+(L37*30000)*10%)+8250+((0*165))</f>
        <v>6773250</v>
      </c>
      <c r="N37" s="21">
        <f t="shared" si="9"/>
        <v>248050</v>
      </c>
      <c r="O37" s="21">
        <f t="shared" si="10"/>
        <v>420585</v>
      </c>
      <c r="P37" s="21">
        <f t="shared" si="12"/>
        <v>225500</v>
      </c>
      <c r="Q37" s="14">
        <f t="shared" si="11"/>
        <v>7667385</v>
      </c>
      <c r="R37" s="121" t="s">
        <v>1107</v>
      </c>
      <c r="S37" s="121" t="s">
        <v>1107</v>
      </c>
      <c r="T37" s="121" t="s">
        <v>1107</v>
      </c>
      <c r="U37" s="30"/>
      <c r="V37" s="30"/>
      <c r="W37" s="79" t="s">
        <v>1108</v>
      </c>
    </row>
    <row r="38" spans="1:23" x14ac:dyDescent="0.25">
      <c r="A38" s="26">
        <v>37</v>
      </c>
      <c r="B38" s="30" t="s">
        <v>986</v>
      </c>
      <c r="C38" s="26" t="s">
        <v>29</v>
      </c>
      <c r="D38" s="30" t="s">
        <v>815</v>
      </c>
      <c r="E38" s="30" t="s">
        <v>23</v>
      </c>
      <c r="F38" s="30" t="s">
        <v>29</v>
      </c>
      <c r="G38" s="30" t="s">
        <v>69</v>
      </c>
      <c r="H38" s="30" t="s">
        <v>488</v>
      </c>
      <c r="I38" s="36">
        <v>44447</v>
      </c>
      <c r="J38" s="30">
        <v>2</v>
      </c>
      <c r="K38" s="30">
        <v>2</v>
      </c>
      <c r="L38" s="30">
        <v>10</v>
      </c>
      <c r="M38" s="23">
        <f>((L38*11000)+(L38*11000)*10%)+8250+((0*165))</f>
        <v>129250</v>
      </c>
      <c r="N38" s="21">
        <f t="shared" si="9"/>
        <v>12100</v>
      </c>
      <c r="O38" s="21">
        <f t="shared" si="10"/>
        <v>23370</v>
      </c>
      <c r="P38" s="109">
        <f>L38*2000</f>
        <v>20000</v>
      </c>
      <c r="Q38" s="14">
        <f t="shared" si="11"/>
        <v>184720</v>
      </c>
      <c r="R38" s="121" t="s">
        <v>94</v>
      </c>
      <c r="S38" s="121" t="s">
        <v>94</v>
      </c>
      <c r="T38" s="121" t="s">
        <v>94</v>
      </c>
      <c r="U38" s="30"/>
      <c r="V38" s="30"/>
    </row>
    <row r="39" spans="1:23" x14ac:dyDescent="0.25">
      <c r="A39" s="26">
        <v>38</v>
      </c>
      <c r="B39" s="30" t="s">
        <v>987</v>
      </c>
      <c r="C39" s="26" t="s">
        <v>29</v>
      </c>
      <c r="D39" s="30" t="s">
        <v>85</v>
      </c>
      <c r="E39" s="30" t="s">
        <v>23</v>
      </c>
      <c r="F39" s="30" t="s">
        <v>29</v>
      </c>
      <c r="G39" s="30" t="s">
        <v>115</v>
      </c>
      <c r="H39" s="30" t="s">
        <v>233</v>
      </c>
      <c r="I39" s="36">
        <v>44447</v>
      </c>
      <c r="J39" s="30">
        <v>14</v>
      </c>
      <c r="K39" s="30">
        <v>277</v>
      </c>
      <c r="L39" s="30">
        <v>290</v>
      </c>
      <c r="M39" s="23">
        <f>((L39*60500)+(L39*60500)*10%)+8250+((0*165))</f>
        <v>19307750</v>
      </c>
      <c r="N39" s="21">
        <f t="shared" si="9"/>
        <v>350900</v>
      </c>
      <c r="O39" s="21">
        <f t="shared" si="10"/>
        <v>593730</v>
      </c>
      <c r="P39" s="21">
        <f t="shared" si="12"/>
        <v>319000</v>
      </c>
      <c r="Q39" s="14">
        <f t="shared" si="11"/>
        <v>20571380</v>
      </c>
      <c r="R39" s="121" t="s">
        <v>94</v>
      </c>
      <c r="S39" s="121" t="s">
        <v>94</v>
      </c>
      <c r="T39" s="121" t="s">
        <v>94</v>
      </c>
      <c r="U39" s="30"/>
      <c r="V39" s="30"/>
    </row>
    <row r="40" spans="1:23" x14ac:dyDescent="0.25">
      <c r="A40" s="26">
        <v>39</v>
      </c>
      <c r="B40" s="30" t="s">
        <v>988</v>
      </c>
      <c r="C40" s="26" t="s">
        <v>29</v>
      </c>
      <c r="D40" s="30" t="s">
        <v>85</v>
      </c>
      <c r="E40" s="30" t="s">
        <v>23</v>
      </c>
      <c r="F40" s="30" t="s">
        <v>29</v>
      </c>
      <c r="G40" s="30" t="s">
        <v>115</v>
      </c>
      <c r="H40" s="30" t="s">
        <v>233</v>
      </c>
      <c r="I40" s="36">
        <v>44447</v>
      </c>
      <c r="J40" s="30">
        <v>13</v>
      </c>
      <c r="K40" s="30">
        <v>258</v>
      </c>
      <c r="L40" s="30">
        <v>263</v>
      </c>
      <c r="M40" s="23">
        <f>((L40*60500)+(L40*60500)*10%)+8250+((0*165))</f>
        <v>17510900</v>
      </c>
      <c r="N40" s="21">
        <f t="shared" si="9"/>
        <v>318230</v>
      </c>
      <c r="O40" s="21">
        <f t="shared" si="10"/>
        <v>538731</v>
      </c>
      <c r="P40" s="21">
        <f t="shared" si="12"/>
        <v>289300</v>
      </c>
      <c r="Q40" s="14">
        <f t="shared" si="11"/>
        <v>18657161</v>
      </c>
      <c r="R40" s="121" t="s">
        <v>94</v>
      </c>
      <c r="S40" s="121" t="s">
        <v>94</v>
      </c>
      <c r="T40" s="121" t="s">
        <v>94</v>
      </c>
      <c r="U40" s="30"/>
      <c r="V40" s="30"/>
    </row>
    <row r="41" spans="1:23" x14ac:dyDescent="0.25">
      <c r="A41" s="26">
        <v>40</v>
      </c>
      <c r="B41" s="30" t="s">
        <v>989</v>
      </c>
      <c r="C41" s="26" t="s">
        <v>29</v>
      </c>
      <c r="D41" s="30" t="s">
        <v>815</v>
      </c>
      <c r="E41" s="30" t="s">
        <v>23</v>
      </c>
      <c r="F41" s="30" t="s">
        <v>29</v>
      </c>
      <c r="G41" s="30" t="s">
        <v>24</v>
      </c>
      <c r="H41" s="30" t="s">
        <v>128</v>
      </c>
      <c r="I41" s="36">
        <v>44447</v>
      </c>
      <c r="J41" s="30">
        <v>6</v>
      </c>
      <c r="K41" s="30">
        <v>44</v>
      </c>
      <c r="L41" s="30">
        <v>62</v>
      </c>
      <c r="M41" s="23">
        <f>((L41*22000)+(L41*22000)*10%)+8250+((L41*165))</f>
        <v>1518880</v>
      </c>
      <c r="N41" s="21">
        <f t="shared" si="9"/>
        <v>75020</v>
      </c>
      <c r="O41" s="21">
        <f t="shared" si="10"/>
        <v>129294</v>
      </c>
      <c r="P41" s="109">
        <f>L41*2000</f>
        <v>124000</v>
      </c>
      <c r="Q41" s="14">
        <f t="shared" si="11"/>
        <v>1847194</v>
      </c>
      <c r="R41" s="121" t="s">
        <v>94</v>
      </c>
      <c r="S41" s="121" t="s">
        <v>94</v>
      </c>
      <c r="T41" s="121" t="s">
        <v>94</v>
      </c>
      <c r="U41" s="30"/>
      <c r="V41" s="30"/>
    </row>
    <row r="42" spans="1:23" x14ac:dyDescent="0.25">
      <c r="A42" s="26">
        <v>41</v>
      </c>
      <c r="B42" s="30" t="s">
        <v>990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281</v>
      </c>
      <c r="H42" s="30" t="s">
        <v>1004</v>
      </c>
      <c r="I42" s="36">
        <v>44447</v>
      </c>
      <c r="J42" s="30">
        <v>2</v>
      </c>
      <c r="K42" s="30">
        <v>5</v>
      </c>
      <c r="L42" s="30">
        <v>10</v>
      </c>
      <c r="M42" s="23">
        <f>((L42*14000)+(L42*14000)*10%)+8250+((0*150))</f>
        <v>162250</v>
      </c>
      <c r="N42" s="21">
        <f t="shared" si="9"/>
        <v>12100</v>
      </c>
      <c r="O42" s="21">
        <f t="shared" si="10"/>
        <v>23370</v>
      </c>
      <c r="P42" s="109">
        <f>L42*2000</f>
        <v>20000</v>
      </c>
      <c r="Q42" s="14">
        <f t="shared" si="11"/>
        <v>217720</v>
      </c>
      <c r="R42" s="121" t="s">
        <v>94</v>
      </c>
      <c r="S42" s="121" t="s">
        <v>94</v>
      </c>
      <c r="T42" s="121" t="s">
        <v>94</v>
      </c>
      <c r="U42" s="30"/>
      <c r="V42" s="30"/>
    </row>
    <row r="43" spans="1:23" x14ac:dyDescent="0.25">
      <c r="A43" s="26">
        <v>42</v>
      </c>
      <c r="B43" s="30" t="s">
        <v>991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184</v>
      </c>
      <c r="H43" s="30" t="s">
        <v>219</v>
      </c>
      <c r="I43" s="36">
        <v>44447</v>
      </c>
      <c r="J43" s="30">
        <v>7</v>
      </c>
      <c r="K43" s="30">
        <v>61</v>
      </c>
      <c r="L43" s="30">
        <v>61</v>
      </c>
      <c r="M43" s="23">
        <f>((L43*14000)+(L43*14000)*10%)+8250+((0*150))</f>
        <v>947650</v>
      </c>
      <c r="N43" s="21">
        <f t="shared" si="9"/>
        <v>73810</v>
      </c>
      <c r="O43" s="21">
        <f t="shared" si="10"/>
        <v>127257</v>
      </c>
      <c r="P43" s="109">
        <f>L43*2000</f>
        <v>122000</v>
      </c>
      <c r="Q43" s="14">
        <f t="shared" si="11"/>
        <v>1270717</v>
      </c>
      <c r="R43" s="121" t="s">
        <v>94</v>
      </c>
      <c r="S43" s="121" t="s">
        <v>94</v>
      </c>
      <c r="T43" s="121" t="s">
        <v>94</v>
      </c>
      <c r="U43" s="30"/>
      <c r="V43" s="30"/>
    </row>
    <row r="44" spans="1:23" x14ac:dyDescent="0.25">
      <c r="A44" s="26">
        <v>43</v>
      </c>
      <c r="B44" s="30" t="s">
        <v>992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713</v>
      </c>
      <c r="H44" s="30" t="s">
        <v>714</v>
      </c>
      <c r="I44" s="36">
        <v>44447</v>
      </c>
      <c r="J44" s="30">
        <v>3</v>
      </c>
      <c r="K44" s="30">
        <v>1</v>
      </c>
      <c r="L44" s="30">
        <v>13</v>
      </c>
      <c r="M44" s="23">
        <f>((L44*14000)+(L44*14000)*10%)+8250+((0*150))</f>
        <v>208450</v>
      </c>
      <c r="N44" s="21">
        <f t="shared" si="9"/>
        <v>15730</v>
      </c>
      <c r="O44" s="21">
        <f t="shared" si="10"/>
        <v>29481</v>
      </c>
      <c r="P44" s="109">
        <f>L44*2000</f>
        <v>26000</v>
      </c>
      <c r="Q44" s="14">
        <f t="shared" si="11"/>
        <v>279661</v>
      </c>
      <c r="R44" s="121" t="s">
        <v>94</v>
      </c>
      <c r="S44" s="121" t="s">
        <v>94</v>
      </c>
      <c r="T44" s="121" t="s">
        <v>94</v>
      </c>
      <c r="U44" s="30"/>
      <c r="V44" s="30"/>
    </row>
    <row r="45" spans="1:23" hidden="1" x14ac:dyDescent="0.25">
      <c r="A45" s="26">
        <v>44</v>
      </c>
      <c r="B45" s="30" t="s">
        <v>1051</v>
      </c>
      <c r="C45" s="26" t="s">
        <v>21</v>
      </c>
      <c r="D45" s="30" t="s">
        <v>1052</v>
      </c>
      <c r="E45" s="30" t="s">
        <v>505</v>
      </c>
      <c r="F45" s="114" t="s">
        <v>21</v>
      </c>
      <c r="G45" s="89" t="s">
        <v>171</v>
      </c>
      <c r="H45" s="87" t="s">
        <v>189</v>
      </c>
      <c r="I45" s="186">
        <v>44448</v>
      </c>
      <c r="J45" s="87">
        <v>8</v>
      </c>
      <c r="K45" s="87">
        <v>135</v>
      </c>
      <c r="L45" s="87">
        <v>135</v>
      </c>
      <c r="M45" s="23">
        <f>((L45*6500)+(L45*6500)*10%)+8250+((0*165))</f>
        <v>973500</v>
      </c>
      <c r="N45" s="21">
        <f>L45*869</f>
        <v>117315</v>
      </c>
      <c r="O45" s="21">
        <f>(L45*1153)+20000</f>
        <v>175655</v>
      </c>
      <c r="P45" s="21">
        <f>L45*1100</f>
        <v>148500</v>
      </c>
      <c r="Q45" s="14">
        <f t="shared" ref="Q45" si="13">SUM(M45:P45)</f>
        <v>1414970</v>
      </c>
      <c r="R45" s="121">
        <v>1415000</v>
      </c>
      <c r="S45" s="128" t="s">
        <v>1010</v>
      </c>
      <c r="T45" s="121" t="s">
        <v>27</v>
      </c>
      <c r="U45" s="30"/>
      <c r="V45" s="30"/>
    </row>
    <row r="46" spans="1:23" x14ac:dyDescent="0.25">
      <c r="A46" s="26">
        <v>45</v>
      </c>
      <c r="B46" s="30" t="s">
        <v>993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76</v>
      </c>
      <c r="H46" s="30" t="s">
        <v>819</v>
      </c>
      <c r="I46" s="36">
        <v>44448</v>
      </c>
      <c r="J46" s="30">
        <v>1</v>
      </c>
      <c r="K46" s="30">
        <v>41</v>
      </c>
      <c r="L46" s="30">
        <v>41</v>
      </c>
      <c r="M46" s="23">
        <f>((L46*19000)+(L46*19000)*10%)+8250+((L46*165))</f>
        <v>871915</v>
      </c>
      <c r="N46" s="21">
        <f t="shared" si="9"/>
        <v>49610</v>
      </c>
      <c r="O46" s="21">
        <f t="shared" si="10"/>
        <v>86517</v>
      </c>
      <c r="P46" s="109">
        <f>L46*2000</f>
        <v>82000</v>
      </c>
      <c r="Q46" s="14">
        <f t="shared" si="11"/>
        <v>1090042</v>
      </c>
      <c r="R46" s="121" t="s">
        <v>94</v>
      </c>
      <c r="S46" s="121" t="s">
        <v>94</v>
      </c>
      <c r="T46" s="121" t="s">
        <v>94</v>
      </c>
      <c r="U46" s="30"/>
      <c r="V46" s="30"/>
    </row>
    <row r="47" spans="1:23" x14ac:dyDescent="0.25">
      <c r="A47" s="26">
        <v>46</v>
      </c>
      <c r="B47" s="30" t="s">
        <v>994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184</v>
      </c>
      <c r="H47" s="30" t="s">
        <v>724</v>
      </c>
      <c r="I47" s="36">
        <v>44448</v>
      </c>
      <c r="J47" s="30">
        <v>5</v>
      </c>
      <c r="K47" s="30">
        <v>48</v>
      </c>
      <c r="L47" s="30">
        <v>48</v>
      </c>
      <c r="M47" s="23">
        <f>((L47*14000)+(L47*14000)*10%)+8250+((0*150))</f>
        <v>747450</v>
      </c>
      <c r="N47" s="21">
        <f t="shared" si="9"/>
        <v>58080</v>
      </c>
      <c r="O47" s="21">
        <f t="shared" si="10"/>
        <v>100776</v>
      </c>
      <c r="P47" s="109">
        <f>L47*2000</f>
        <v>96000</v>
      </c>
      <c r="Q47" s="14">
        <f t="shared" si="11"/>
        <v>1002306</v>
      </c>
      <c r="R47" s="121" t="s">
        <v>94</v>
      </c>
      <c r="S47" s="121" t="s">
        <v>94</v>
      </c>
      <c r="T47" s="121" t="s">
        <v>94</v>
      </c>
      <c r="U47" s="30"/>
      <c r="V47" s="30"/>
    </row>
    <row r="48" spans="1:23" x14ac:dyDescent="0.25">
      <c r="A48" s="26">
        <v>47</v>
      </c>
      <c r="B48" s="30" t="s">
        <v>995</v>
      </c>
      <c r="C48" s="26" t="s">
        <v>29</v>
      </c>
      <c r="D48" s="30" t="s">
        <v>221</v>
      </c>
      <c r="E48" s="30" t="s">
        <v>23</v>
      </c>
      <c r="F48" s="30" t="s">
        <v>29</v>
      </c>
      <c r="G48" s="30" t="s">
        <v>235</v>
      </c>
      <c r="H48" s="30" t="s">
        <v>236</v>
      </c>
      <c r="I48" s="36">
        <v>44448</v>
      </c>
      <c r="J48" s="30">
        <v>1</v>
      </c>
      <c r="K48" s="30">
        <v>23</v>
      </c>
      <c r="L48" s="30">
        <v>23</v>
      </c>
      <c r="M48" s="23">
        <f>((L48*35500)+(L48*35500)*10%)+8250+((L48*165))</f>
        <v>910195</v>
      </c>
      <c r="N48" s="21">
        <f t="shared" si="9"/>
        <v>27830</v>
      </c>
      <c r="O48" s="21">
        <f t="shared" si="10"/>
        <v>49851</v>
      </c>
      <c r="P48" s="21">
        <f t="shared" si="12"/>
        <v>25300</v>
      </c>
      <c r="Q48" s="14">
        <f t="shared" si="11"/>
        <v>1013176</v>
      </c>
      <c r="R48" s="121" t="s">
        <v>94</v>
      </c>
      <c r="S48" s="121" t="s">
        <v>94</v>
      </c>
      <c r="T48" s="121" t="s">
        <v>94</v>
      </c>
      <c r="U48" s="30"/>
      <c r="V48" s="30"/>
    </row>
    <row r="49" spans="1:22" x14ac:dyDescent="0.25">
      <c r="A49" s="26">
        <v>48</v>
      </c>
      <c r="B49" s="30" t="s">
        <v>996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171</v>
      </c>
      <c r="H49" s="30" t="s">
        <v>735</v>
      </c>
      <c r="I49" s="36">
        <v>44448</v>
      </c>
      <c r="J49" s="30">
        <v>5</v>
      </c>
      <c r="K49" s="30">
        <v>87</v>
      </c>
      <c r="L49" s="30">
        <v>87</v>
      </c>
      <c r="M49" s="23">
        <f>((L49*12000)+(L49*12000)*10%)+8250+((0*165))</f>
        <v>1156650</v>
      </c>
      <c r="N49" s="21">
        <f t="shared" si="9"/>
        <v>105270</v>
      </c>
      <c r="O49" s="21">
        <f t="shared" si="10"/>
        <v>180219</v>
      </c>
      <c r="P49" s="109">
        <f>L49*2000</f>
        <v>174000</v>
      </c>
      <c r="Q49" s="14">
        <f t="shared" si="11"/>
        <v>1616139</v>
      </c>
      <c r="R49" s="121" t="s">
        <v>94</v>
      </c>
      <c r="S49" s="121" t="s">
        <v>94</v>
      </c>
      <c r="T49" s="121" t="s">
        <v>94</v>
      </c>
      <c r="U49" s="30"/>
      <c r="V49" s="30"/>
    </row>
    <row r="50" spans="1:22" x14ac:dyDescent="0.25">
      <c r="A50" s="26">
        <v>49</v>
      </c>
      <c r="B50" s="30" t="s">
        <v>997</v>
      </c>
      <c r="C50" s="26" t="s">
        <v>29</v>
      </c>
      <c r="D50" s="30" t="s">
        <v>30</v>
      </c>
      <c r="E50" s="30" t="s">
        <v>473</v>
      </c>
      <c r="F50" s="30" t="s">
        <v>29</v>
      </c>
      <c r="G50" s="30" t="s">
        <v>35</v>
      </c>
      <c r="H50" s="30" t="s">
        <v>277</v>
      </c>
      <c r="I50" s="36">
        <v>44448</v>
      </c>
      <c r="J50" s="30">
        <v>2</v>
      </c>
      <c r="K50" s="30">
        <v>40</v>
      </c>
      <c r="L50" s="30">
        <v>40</v>
      </c>
      <c r="M50" s="23">
        <f>((L50*10000)+(L50*10000)*10%)+8250+((0*165))</f>
        <v>448250</v>
      </c>
      <c r="N50" s="21">
        <f t="shared" si="9"/>
        <v>48400</v>
      </c>
      <c r="O50" s="21">
        <f t="shared" si="10"/>
        <v>84480</v>
      </c>
      <c r="P50" s="21">
        <f>L50*2100</f>
        <v>84000</v>
      </c>
      <c r="Q50" s="14">
        <f t="shared" si="11"/>
        <v>665130</v>
      </c>
      <c r="R50" s="121" t="s">
        <v>94</v>
      </c>
      <c r="S50" s="121" t="s">
        <v>94</v>
      </c>
      <c r="T50" s="121" t="s">
        <v>94</v>
      </c>
      <c r="U50" s="30"/>
      <c r="V50" s="30"/>
    </row>
    <row r="51" spans="1:22" x14ac:dyDescent="0.25">
      <c r="A51" s="26">
        <v>50</v>
      </c>
      <c r="B51" s="30" t="s">
        <v>998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210</v>
      </c>
      <c r="H51" s="30" t="s">
        <v>1008</v>
      </c>
      <c r="I51" s="36">
        <v>44448</v>
      </c>
      <c r="J51" s="30">
        <v>5</v>
      </c>
      <c r="K51" s="30">
        <v>60</v>
      </c>
      <c r="L51" s="30">
        <v>60</v>
      </c>
      <c r="M51" s="23">
        <f>((L51*8500)+(L51*8500)*10%)+8250+((0*165))</f>
        <v>569250</v>
      </c>
      <c r="N51" s="21">
        <f t="shared" si="9"/>
        <v>72600</v>
      </c>
      <c r="O51" s="21">
        <f t="shared" si="10"/>
        <v>125220</v>
      </c>
      <c r="P51" s="109">
        <f>L51*2000</f>
        <v>120000</v>
      </c>
      <c r="Q51" s="14">
        <f t="shared" si="11"/>
        <v>887070</v>
      </c>
      <c r="R51" s="121" t="s">
        <v>94</v>
      </c>
      <c r="S51" s="121" t="s">
        <v>94</v>
      </c>
      <c r="T51" s="121" t="s">
        <v>94</v>
      </c>
      <c r="U51" s="30"/>
      <c r="V51" s="30"/>
    </row>
    <row r="52" spans="1:22" x14ac:dyDescent="0.25">
      <c r="A52" s="26">
        <v>51</v>
      </c>
      <c r="B52" s="30" t="s">
        <v>999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60</v>
      </c>
      <c r="H52" s="30" t="s">
        <v>816</v>
      </c>
      <c r="I52" s="36">
        <v>44448</v>
      </c>
      <c r="J52" s="30">
        <v>7</v>
      </c>
      <c r="K52" s="30">
        <v>50</v>
      </c>
      <c r="L52" s="30">
        <v>71</v>
      </c>
      <c r="M52" s="23">
        <f>((L52*14500)+(L52*14500)*10%)+8250+((0*165))</f>
        <v>1140700</v>
      </c>
      <c r="N52" s="21">
        <f t="shared" si="9"/>
        <v>85910</v>
      </c>
      <c r="O52" s="21">
        <f t="shared" si="10"/>
        <v>147627</v>
      </c>
      <c r="P52" s="109">
        <f>L52*2000</f>
        <v>142000</v>
      </c>
      <c r="Q52" s="14">
        <f t="shared" si="11"/>
        <v>1516237</v>
      </c>
      <c r="R52" s="121" t="s">
        <v>94</v>
      </c>
      <c r="S52" s="121" t="s">
        <v>94</v>
      </c>
      <c r="T52" s="121" t="s">
        <v>94</v>
      </c>
      <c r="U52" s="30"/>
      <c r="V52" s="30"/>
    </row>
    <row r="53" spans="1:22" hidden="1" x14ac:dyDescent="0.25">
      <c r="A53" s="26">
        <v>52</v>
      </c>
      <c r="B53" s="30" t="s">
        <v>1000</v>
      </c>
      <c r="C53" s="26" t="s">
        <v>29</v>
      </c>
      <c r="D53" s="30" t="s">
        <v>491</v>
      </c>
      <c r="E53" s="30" t="s">
        <v>23</v>
      </c>
      <c r="F53" s="30" t="s">
        <v>29</v>
      </c>
      <c r="G53" s="30" t="s">
        <v>79</v>
      </c>
      <c r="H53" s="30" t="s">
        <v>80</v>
      </c>
      <c r="I53" s="36">
        <v>44448</v>
      </c>
      <c r="J53" s="30">
        <v>1</v>
      </c>
      <c r="K53" s="30">
        <v>4</v>
      </c>
      <c r="L53" s="30">
        <v>10</v>
      </c>
      <c r="M53" s="23">
        <f>((L53*15000)+(L53*15000)*10%)+8250+((0*165))</f>
        <v>173250</v>
      </c>
      <c r="N53" s="21">
        <f t="shared" si="9"/>
        <v>12100</v>
      </c>
      <c r="O53" s="21">
        <f t="shared" si="10"/>
        <v>23370</v>
      </c>
      <c r="P53" s="21">
        <f t="shared" si="12"/>
        <v>11000</v>
      </c>
      <c r="Q53" s="14">
        <f t="shared" si="11"/>
        <v>219720</v>
      </c>
      <c r="R53" s="121">
        <v>30413395</v>
      </c>
      <c r="S53" s="128" t="s">
        <v>1073</v>
      </c>
      <c r="T53" s="184" t="s">
        <v>27</v>
      </c>
      <c r="U53" s="30"/>
      <c r="V53" s="30"/>
    </row>
    <row r="54" spans="1:22" ht="15" customHeight="1" x14ac:dyDescent="0.25">
      <c r="A54" s="26">
        <v>53</v>
      </c>
      <c r="B54" s="30" t="s">
        <v>1001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72</v>
      </c>
      <c r="H54" s="30" t="s">
        <v>1009</v>
      </c>
      <c r="I54" s="36">
        <v>44448</v>
      </c>
      <c r="J54" s="30">
        <v>3</v>
      </c>
      <c r="K54" s="30">
        <v>33</v>
      </c>
      <c r="L54" s="30">
        <v>53</v>
      </c>
      <c r="M54" s="23">
        <f>((L54*16500)+(L54*16500)*10%)+8250+((0*165))</f>
        <v>970200</v>
      </c>
      <c r="N54" s="21">
        <f t="shared" si="9"/>
        <v>64130</v>
      </c>
      <c r="O54" s="21">
        <f t="shared" si="10"/>
        <v>110961</v>
      </c>
      <c r="P54" s="109">
        <f>L54*2000</f>
        <v>106000</v>
      </c>
      <c r="Q54" s="14">
        <f t="shared" si="11"/>
        <v>1251291</v>
      </c>
      <c r="R54" s="121" t="s">
        <v>94</v>
      </c>
      <c r="S54" s="121" t="s">
        <v>94</v>
      </c>
      <c r="T54" s="121" t="s">
        <v>94</v>
      </c>
      <c r="U54" s="30"/>
      <c r="V54" s="30"/>
    </row>
    <row r="55" spans="1:22" ht="15" customHeight="1" x14ac:dyDescent="0.25">
      <c r="A55" s="26">
        <v>54</v>
      </c>
      <c r="B55" s="30" t="s">
        <v>1002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50</v>
      </c>
      <c r="H55" s="30" t="s">
        <v>58</v>
      </c>
      <c r="I55" s="36">
        <v>44448</v>
      </c>
      <c r="J55" s="30">
        <v>2</v>
      </c>
      <c r="K55" s="30">
        <v>9</v>
      </c>
      <c r="L55" s="30">
        <v>10</v>
      </c>
      <c r="M55" s="23">
        <f>((L55*31000)+(L55*31000)*10%)+8250+((L55*165))</f>
        <v>350900</v>
      </c>
      <c r="N55" s="21">
        <f t="shared" si="9"/>
        <v>12100</v>
      </c>
      <c r="O55" s="21">
        <f t="shared" si="10"/>
        <v>23370</v>
      </c>
      <c r="P55" s="109">
        <f>L55*2000</f>
        <v>20000</v>
      </c>
      <c r="Q55" s="14">
        <f t="shared" si="11"/>
        <v>406370</v>
      </c>
      <c r="R55" s="121" t="s">
        <v>94</v>
      </c>
      <c r="S55" s="121" t="s">
        <v>94</v>
      </c>
      <c r="T55" s="121" t="s">
        <v>94</v>
      </c>
      <c r="U55" s="30"/>
      <c r="V55" s="30"/>
    </row>
    <row r="56" spans="1:22" ht="15" customHeight="1" x14ac:dyDescent="0.25">
      <c r="A56" s="26">
        <v>55</v>
      </c>
      <c r="B56" s="30" t="s">
        <v>1011</v>
      </c>
      <c r="C56" s="26" t="s">
        <v>29</v>
      </c>
      <c r="D56" s="30" t="s">
        <v>617</v>
      </c>
      <c r="E56" s="30" t="s">
        <v>23</v>
      </c>
      <c r="F56" s="30" t="s">
        <v>29</v>
      </c>
      <c r="G56" s="30" t="s">
        <v>618</v>
      </c>
      <c r="H56" s="30" t="s">
        <v>1028</v>
      </c>
      <c r="I56" s="36">
        <v>44449</v>
      </c>
      <c r="J56" s="30">
        <v>1</v>
      </c>
      <c r="K56" s="30">
        <v>20</v>
      </c>
      <c r="L56" s="30">
        <v>20</v>
      </c>
      <c r="M56" s="23">
        <f>((L56*6000)+(L56*6000)*10%)+8250+((L56*165))</f>
        <v>143550</v>
      </c>
      <c r="N56" s="21">
        <f t="shared" ref="N56:N73" si="14">L56*1210</f>
        <v>24200</v>
      </c>
      <c r="O56" s="21">
        <f t="shared" ref="O56:O73" si="15">(L56*2037)+3000</f>
        <v>43740</v>
      </c>
      <c r="P56" s="21">
        <f t="shared" ref="P56:P73" si="16">L56*1100</f>
        <v>22000</v>
      </c>
      <c r="Q56" s="14">
        <f t="shared" ref="Q56:Q73" si="17">SUM(M56:P56)</f>
        <v>233490</v>
      </c>
      <c r="R56" s="121" t="s">
        <v>94</v>
      </c>
      <c r="S56" s="121" t="s">
        <v>94</v>
      </c>
      <c r="T56" s="121" t="s">
        <v>94</v>
      </c>
      <c r="U56" s="30"/>
      <c r="V56" s="30"/>
    </row>
    <row r="57" spans="1:22" hidden="1" x14ac:dyDescent="0.25">
      <c r="A57" s="26">
        <v>56</v>
      </c>
      <c r="B57" s="30" t="s">
        <v>1012</v>
      </c>
      <c r="C57" s="26" t="s">
        <v>29</v>
      </c>
      <c r="D57" s="30" t="s">
        <v>491</v>
      </c>
      <c r="E57" s="30" t="s">
        <v>23</v>
      </c>
      <c r="F57" s="30" t="s">
        <v>29</v>
      </c>
      <c r="G57" s="30" t="s">
        <v>24</v>
      </c>
      <c r="H57" s="30" t="s">
        <v>93</v>
      </c>
      <c r="I57" s="36">
        <v>44449</v>
      </c>
      <c r="J57" s="30">
        <v>1</v>
      </c>
      <c r="K57" s="30">
        <v>6</v>
      </c>
      <c r="L57" s="30">
        <v>10</v>
      </c>
      <c r="M57" s="23">
        <f>((L57*22000)+(L57*22000)*10%)+8250+((L57*165))</f>
        <v>251900</v>
      </c>
      <c r="N57" s="21">
        <f t="shared" si="14"/>
        <v>12100</v>
      </c>
      <c r="O57" s="21">
        <f t="shared" si="15"/>
        <v>23370</v>
      </c>
      <c r="P57" s="21">
        <f t="shared" si="16"/>
        <v>11000</v>
      </c>
      <c r="Q57" s="14">
        <f t="shared" si="17"/>
        <v>298370</v>
      </c>
      <c r="R57" s="121">
        <v>30413395</v>
      </c>
      <c r="S57" s="128" t="s">
        <v>1073</v>
      </c>
      <c r="T57" s="184" t="s">
        <v>27</v>
      </c>
      <c r="U57" s="30"/>
      <c r="V57" s="30"/>
    </row>
    <row r="58" spans="1:22" x14ac:dyDescent="0.25">
      <c r="A58" s="26">
        <v>57</v>
      </c>
      <c r="B58" s="30" t="s">
        <v>1013</v>
      </c>
      <c r="C58" s="26" t="s">
        <v>29</v>
      </c>
      <c r="D58" s="30" t="s">
        <v>815</v>
      </c>
      <c r="E58" s="30" t="s">
        <v>23</v>
      </c>
      <c r="F58" s="30" t="s">
        <v>29</v>
      </c>
      <c r="G58" s="30" t="s">
        <v>64</v>
      </c>
      <c r="H58" s="30" t="s">
        <v>487</v>
      </c>
      <c r="I58" s="36">
        <v>44449</v>
      </c>
      <c r="J58" s="30">
        <v>3</v>
      </c>
      <c r="K58" s="30">
        <v>26</v>
      </c>
      <c r="L58" s="30">
        <v>26</v>
      </c>
      <c r="M58" s="23">
        <f>((L58*14400)+(L58*14400)*10%)+8250+((0*165))</f>
        <v>420090</v>
      </c>
      <c r="N58" s="21">
        <f t="shared" si="14"/>
        <v>31460</v>
      </c>
      <c r="O58" s="21">
        <f t="shared" si="15"/>
        <v>55962</v>
      </c>
      <c r="P58" s="109">
        <f>L58*2000</f>
        <v>52000</v>
      </c>
      <c r="Q58" s="14">
        <f t="shared" si="17"/>
        <v>559512</v>
      </c>
      <c r="R58" s="121" t="s">
        <v>94</v>
      </c>
      <c r="S58" s="121" t="s">
        <v>94</v>
      </c>
      <c r="T58" s="121" t="s">
        <v>94</v>
      </c>
      <c r="U58" s="30"/>
      <c r="V58" s="30"/>
    </row>
    <row r="59" spans="1:22" x14ac:dyDescent="0.25">
      <c r="A59" s="26">
        <v>58</v>
      </c>
      <c r="B59" s="30" t="s">
        <v>1014</v>
      </c>
      <c r="C59" s="26" t="s">
        <v>29</v>
      </c>
      <c r="D59" s="30" t="s">
        <v>815</v>
      </c>
      <c r="E59" s="30" t="s">
        <v>23</v>
      </c>
      <c r="F59" s="30" t="s">
        <v>29</v>
      </c>
      <c r="G59" s="30" t="s">
        <v>171</v>
      </c>
      <c r="H59" s="30" t="s">
        <v>258</v>
      </c>
      <c r="I59" s="36">
        <v>44449</v>
      </c>
      <c r="J59" s="30">
        <v>4</v>
      </c>
      <c r="K59" s="30">
        <v>14</v>
      </c>
      <c r="L59" s="30">
        <v>14</v>
      </c>
      <c r="M59" s="23">
        <f>((L59*12000)+(L59*12000)*10%)+8250+((0*165))</f>
        <v>193050</v>
      </c>
      <c r="N59" s="21">
        <f t="shared" si="14"/>
        <v>16940</v>
      </c>
      <c r="O59" s="21">
        <f t="shared" si="15"/>
        <v>31518</v>
      </c>
      <c r="P59" s="109">
        <f>L59*2000</f>
        <v>28000</v>
      </c>
      <c r="Q59" s="14">
        <f t="shared" si="17"/>
        <v>269508</v>
      </c>
      <c r="R59" s="121" t="s">
        <v>94</v>
      </c>
      <c r="S59" s="121" t="s">
        <v>94</v>
      </c>
      <c r="T59" s="121" t="s">
        <v>94</v>
      </c>
      <c r="U59" s="30"/>
      <c r="V59" s="30"/>
    </row>
    <row r="60" spans="1:22" hidden="1" x14ac:dyDescent="0.25">
      <c r="A60" s="26">
        <v>59</v>
      </c>
      <c r="B60" s="30" t="s">
        <v>1015</v>
      </c>
      <c r="C60" s="26" t="s">
        <v>29</v>
      </c>
      <c r="D60" s="30" t="s">
        <v>491</v>
      </c>
      <c r="E60" s="30" t="s">
        <v>23</v>
      </c>
      <c r="F60" s="30" t="s">
        <v>29</v>
      </c>
      <c r="G60" s="30" t="s">
        <v>709</v>
      </c>
      <c r="H60" s="30" t="s">
        <v>533</v>
      </c>
      <c r="I60" s="36">
        <v>44449</v>
      </c>
      <c r="J60" s="30">
        <v>5</v>
      </c>
      <c r="K60" s="30">
        <v>226</v>
      </c>
      <c r="L60" s="30">
        <v>226</v>
      </c>
      <c r="M60" s="23">
        <f>((L60*32000)+(L60*32000)*10%)+8250+((0*165))</f>
        <v>7963450</v>
      </c>
      <c r="N60" s="21">
        <f t="shared" si="14"/>
        <v>273460</v>
      </c>
      <c r="O60" s="21">
        <f t="shared" si="15"/>
        <v>463362</v>
      </c>
      <c r="P60" s="21">
        <f t="shared" si="16"/>
        <v>248600</v>
      </c>
      <c r="Q60" s="14">
        <f t="shared" si="17"/>
        <v>8948872</v>
      </c>
      <c r="R60" s="213">
        <v>23739450</v>
      </c>
      <c r="S60" s="221" t="s">
        <v>1074</v>
      </c>
      <c r="T60" s="198" t="s">
        <v>27</v>
      </c>
      <c r="U60" s="204" t="s">
        <v>1072</v>
      </c>
      <c r="V60" s="30"/>
    </row>
    <row r="61" spans="1:22" hidden="1" x14ac:dyDescent="0.25">
      <c r="A61" s="26">
        <v>60</v>
      </c>
      <c r="B61" s="30" t="s">
        <v>1016</v>
      </c>
      <c r="C61" s="26" t="s">
        <v>29</v>
      </c>
      <c r="D61" s="30" t="s">
        <v>491</v>
      </c>
      <c r="E61" s="30" t="s">
        <v>23</v>
      </c>
      <c r="F61" s="30" t="s">
        <v>29</v>
      </c>
      <c r="G61" s="30" t="s">
        <v>709</v>
      </c>
      <c r="H61" s="30" t="s">
        <v>533</v>
      </c>
      <c r="I61" s="36">
        <v>44449</v>
      </c>
      <c r="J61" s="30">
        <v>5</v>
      </c>
      <c r="K61" s="30">
        <v>227</v>
      </c>
      <c r="L61" s="30">
        <v>227</v>
      </c>
      <c r="M61" s="23">
        <f t="shared" ref="M61:M64" si="18">((L61*32000)+(L61*32000)*10%)+8250+((0*165))</f>
        <v>7998650</v>
      </c>
      <c r="N61" s="21">
        <f t="shared" si="14"/>
        <v>274670</v>
      </c>
      <c r="O61" s="21">
        <f t="shared" si="15"/>
        <v>465399</v>
      </c>
      <c r="P61" s="21">
        <f t="shared" si="16"/>
        <v>249700</v>
      </c>
      <c r="Q61" s="14">
        <f t="shared" si="17"/>
        <v>8988419</v>
      </c>
      <c r="R61" s="213"/>
      <c r="S61" s="222"/>
      <c r="T61" s="199"/>
      <c r="U61" s="205"/>
      <c r="V61" s="30"/>
    </row>
    <row r="62" spans="1:22" hidden="1" x14ac:dyDescent="0.25">
      <c r="A62" s="26">
        <v>61</v>
      </c>
      <c r="B62" s="30" t="s">
        <v>1017</v>
      </c>
      <c r="C62" s="26" t="s">
        <v>29</v>
      </c>
      <c r="D62" s="30" t="s">
        <v>491</v>
      </c>
      <c r="E62" s="30" t="s">
        <v>23</v>
      </c>
      <c r="F62" s="30" t="s">
        <v>29</v>
      </c>
      <c r="G62" s="30" t="s">
        <v>709</v>
      </c>
      <c r="H62" s="30" t="s">
        <v>533</v>
      </c>
      <c r="I62" s="36">
        <v>44449</v>
      </c>
      <c r="J62" s="30">
        <v>5</v>
      </c>
      <c r="K62" s="30">
        <v>228</v>
      </c>
      <c r="L62" s="30">
        <v>228</v>
      </c>
      <c r="M62" s="23">
        <f t="shared" si="18"/>
        <v>8033850</v>
      </c>
      <c r="N62" s="21">
        <f t="shared" si="14"/>
        <v>275880</v>
      </c>
      <c r="O62" s="21">
        <f t="shared" si="15"/>
        <v>467436</v>
      </c>
      <c r="P62" s="21">
        <f t="shared" si="16"/>
        <v>250800</v>
      </c>
      <c r="Q62" s="14">
        <f t="shared" si="17"/>
        <v>9027966</v>
      </c>
      <c r="R62" s="213"/>
      <c r="S62" s="222"/>
      <c r="T62" s="199"/>
      <c r="U62" s="205"/>
      <c r="V62" s="30"/>
    </row>
    <row r="63" spans="1:22" hidden="1" x14ac:dyDescent="0.25">
      <c r="A63" s="26">
        <v>62</v>
      </c>
      <c r="B63" s="30" t="s">
        <v>1018</v>
      </c>
      <c r="C63" s="26" t="s">
        <v>29</v>
      </c>
      <c r="D63" s="30" t="s">
        <v>491</v>
      </c>
      <c r="E63" s="30" t="s">
        <v>23</v>
      </c>
      <c r="F63" s="30" t="s">
        <v>29</v>
      </c>
      <c r="G63" s="30" t="s">
        <v>709</v>
      </c>
      <c r="H63" s="30" t="s">
        <v>533</v>
      </c>
      <c r="I63" s="36">
        <v>44449</v>
      </c>
      <c r="J63" s="30">
        <v>5</v>
      </c>
      <c r="K63" s="30">
        <v>237</v>
      </c>
      <c r="L63" s="30">
        <v>237</v>
      </c>
      <c r="M63" s="23">
        <f t="shared" si="18"/>
        <v>8350650</v>
      </c>
      <c r="N63" s="21">
        <f t="shared" si="14"/>
        <v>286770</v>
      </c>
      <c r="O63" s="21">
        <f t="shared" si="15"/>
        <v>485769</v>
      </c>
      <c r="P63" s="21">
        <f t="shared" si="16"/>
        <v>260700</v>
      </c>
      <c r="Q63" s="14">
        <f t="shared" si="17"/>
        <v>9383889</v>
      </c>
      <c r="R63" s="213">
        <v>30413395</v>
      </c>
      <c r="S63" s="222"/>
      <c r="T63" s="199"/>
      <c r="U63" s="205"/>
      <c r="V63" s="30"/>
    </row>
    <row r="64" spans="1:22" hidden="1" x14ac:dyDescent="0.25">
      <c r="A64" s="26">
        <v>63</v>
      </c>
      <c r="B64" s="30" t="s">
        <v>1019</v>
      </c>
      <c r="C64" s="26" t="s">
        <v>29</v>
      </c>
      <c r="D64" s="30" t="s">
        <v>491</v>
      </c>
      <c r="E64" s="30" t="s">
        <v>23</v>
      </c>
      <c r="F64" s="30" t="s">
        <v>29</v>
      </c>
      <c r="G64" s="30" t="s">
        <v>709</v>
      </c>
      <c r="H64" s="30" t="s">
        <v>533</v>
      </c>
      <c r="I64" s="36">
        <v>44449</v>
      </c>
      <c r="J64" s="30">
        <v>8</v>
      </c>
      <c r="K64" s="30">
        <v>350</v>
      </c>
      <c r="L64" s="30">
        <v>350</v>
      </c>
      <c r="M64" s="23">
        <f t="shared" si="18"/>
        <v>12328250</v>
      </c>
      <c r="N64" s="21">
        <f t="shared" si="14"/>
        <v>423500</v>
      </c>
      <c r="O64" s="21">
        <f t="shared" si="15"/>
        <v>715950</v>
      </c>
      <c r="P64" s="21">
        <f t="shared" si="16"/>
        <v>385000</v>
      </c>
      <c r="Q64" s="14">
        <f t="shared" si="17"/>
        <v>13852700</v>
      </c>
      <c r="R64" s="213"/>
      <c r="S64" s="222"/>
      <c r="T64" s="200"/>
      <c r="U64" s="206"/>
      <c r="V64" s="30"/>
    </row>
    <row r="65" spans="1:22" hidden="1" x14ac:dyDescent="0.25">
      <c r="A65" s="26">
        <v>64</v>
      </c>
      <c r="B65" s="30" t="s">
        <v>1020</v>
      </c>
      <c r="C65" s="26" t="s">
        <v>29</v>
      </c>
      <c r="D65" s="30" t="s">
        <v>491</v>
      </c>
      <c r="E65" s="30" t="s">
        <v>23</v>
      </c>
      <c r="F65" s="30" t="s">
        <v>29</v>
      </c>
      <c r="G65" s="30" t="s">
        <v>241</v>
      </c>
      <c r="H65" s="30" t="s">
        <v>233</v>
      </c>
      <c r="I65" s="36">
        <v>44449</v>
      </c>
      <c r="J65" s="30">
        <v>1</v>
      </c>
      <c r="K65" s="30">
        <v>12</v>
      </c>
      <c r="L65" s="30">
        <v>12</v>
      </c>
      <c r="M65" s="23">
        <f>((L65*27500)+(L65*27500)*10%)+8250+((L65*165))</f>
        <v>373230</v>
      </c>
      <c r="N65" s="21">
        <f t="shared" si="14"/>
        <v>14520</v>
      </c>
      <c r="O65" s="21">
        <f t="shared" si="15"/>
        <v>27444</v>
      </c>
      <c r="P65" s="21">
        <f t="shared" si="16"/>
        <v>13200</v>
      </c>
      <c r="Q65" s="14">
        <f t="shared" si="17"/>
        <v>428394</v>
      </c>
      <c r="R65" s="121">
        <v>30413395</v>
      </c>
      <c r="S65" s="128" t="s">
        <v>1073</v>
      </c>
      <c r="T65" s="184" t="s">
        <v>27</v>
      </c>
      <c r="U65" s="30"/>
      <c r="V65" s="30"/>
    </row>
    <row r="66" spans="1:22" hidden="1" x14ac:dyDescent="0.25">
      <c r="A66" s="26">
        <v>65</v>
      </c>
      <c r="B66" s="30" t="s">
        <v>1021</v>
      </c>
      <c r="C66" s="26" t="s">
        <v>29</v>
      </c>
      <c r="D66" s="30" t="s">
        <v>1029</v>
      </c>
      <c r="E66" s="30" t="s">
        <v>23</v>
      </c>
      <c r="F66" s="30" t="s">
        <v>29</v>
      </c>
      <c r="G66" s="30" t="s">
        <v>115</v>
      </c>
      <c r="H66" s="30" t="s">
        <v>233</v>
      </c>
      <c r="I66" s="36">
        <v>44449</v>
      </c>
      <c r="J66" s="30">
        <v>1</v>
      </c>
      <c r="K66" s="30">
        <v>29</v>
      </c>
      <c r="L66" s="30">
        <v>50</v>
      </c>
      <c r="M66" s="23">
        <f>((L66*60500)+(L66*60500)*10%)+8250+((0*165))</f>
        <v>3335750</v>
      </c>
      <c r="N66" s="21">
        <f t="shared" si="14"/>
        <v>60500</v>
      </c>
      <c r="O66" s="21">
        <f t="shared" si="15"/>
        <v>104850</v>
      </c>
      <c r="P66" s="21">
        <f>L66*2500</f>
        <v>125000</v>
      </c>
      <c r="Q66" s="14">
        <f t="shared" si="17"/>
        <v>3626100</v>
      </c>
      <c r="R66" s="121">
        <v>3626100</v>
      </c>
      <c r="S66" s="128" t="s">
        <v>1033</v>
      </c>
      <c r="T66" s="121" t="s">
        <v>27</v>
      </c>
      <c r="U66" s="30"/>
      <c r="V66" s="30"/>
    </row>
    <row r="67" spans="1:22" x14ac:dyDescent="0.25">
      <c r="A67" s="26">
        <v>66</v>
      </c>
      <c r="B67" s="30" t="s">
        <v>1022</v>
      </c>
      <c r="C67" s="26" t="s">
        <v>29</v>
      </c>
      <c r="D67" s="30" t="s">
        <v>815</v>
      </c>
      <c r="E67" s="30" t="s">
        <v>23</v>
      </c>
      <c r="F67" s="30" t="s">
        <v>29</v>
      </c>
      <c r="G67" s="30" t="s">
        <v>104</v>
      </c>
      <c r="H67" s="30" t="s">
        <v>105</v>
      </c>
      <c r="I67" s="36">
        <v>44449</v>
      </c>
      <c r="J67" s="30">
        <v>1</v>
      </c>
      <c r="K67" s="30">
        <v>4</v>
      </c>
      <c r="L67" s="30">
        <v>14</v>
      </c>
      <c r="M67" s="23">
        <f>((L67*35000)+(L67*35000)*10%)+8250+((L67*165))</f>
        <v>549560</v>
      </c>
      <c r="N67" s="21">
        <f t="shared" si="14"/>
        <v>16940</v>
      </c>
      <c r="O67" s="21">
        <f t="shared" si="15"/>
        <v>31518</v>
      </c>
      <c r="P67" s="21">
        <f t="shared" si="16"/>
        <v>15400</v>
      </c>
      <c r="Q67" s="14">
        <f t="shared" si="17"/>
        <v>613418</v>
      </c>
      <c r="R67" s="121" t="s">
        <v>94</v>
      </c>
      <c r="S67" s="121" t="s">
        <v>94</v>
      </c>
      <c r="T67" s="121" t="s">
        <v>94</v>
      </c>
      <c r="U67" s="30"/>
      <c r="V67" s="30"/>
    </row>
    <row r="68" spans="1:22" x14ac:dyDescent="0.25">
      <c r="A68" s="26">
        <v>67</v>
      </c>
      <c r="B68" s="30" t="s">
        <v>1023</v>
      </c>
      <c r="C68" s="26" t="s">
        <v>29</v>
      </c>
      <c r="D68" s="30" t="s">
        <v>815</v>
      </c>
      <c r="E68" s="30" t="s">
        <v>23</v>
      </c>
      <c r="F68" s="30" t="s">
        <v>29</v>
      </c>
      <c r="G68" s="30" t="s">
        <v>231</v>
      </c>
      <c r="H68" s="30" t="s">
        <v>80</v>
      </c>
      <c r="I68" s="36">
        <v>44449</v>
      </c>
      <c r="J68" s="30">
        <v>3</v>
      </c>
      <c r="K68" s="30">
        <v>32</v>
      </c>
      <c r="L68" s="30">
        <v>32</v>
      </c>
      <c r="M68" s="23">
        <f>((L68*24000)+(L68*24000)*10%)+8250+((0*165))</f>
        <v>853050</v>
      </c>
      <c r="N68" s="21">
        <f t="shared" si="14"/>
        <v>38720</v>
      </c>
      <c r="O68" s="21">
        <f t="shared" si="15"/>
        <v>68184</v>
      </c>
      <c r="P68" s="109">
        <f>L68*2000</f>
        <v>64000</v>
      </c>
      <c r="Q68" s="14">
        <f t="shared" si="17"/>
        <v>1023954</v>
      </c>
      <c r="R68" s="121" t="s">
        <v>94</v>
      </c>
      <c r="S68" s="121" t="s">
        <v>94</v>
      </c>
      <c r="T68" s="121" t="s">
        <v>94</v>
      </c>
      <c r="U68" s="30"/>
      <c r="V68" s="30"/>
    </row>
    <row r="69" spans="1:22" x14ac:dyDescent="0.25">
      <c r="A69" s="26">
        <v>68</v>
      </c>
      <c r="B69" s="30" t="s">
        <v>1024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112</v>
      </c>
      <c r="H69" s="30" t="s">
        <v>1003</v>
      </c>
      <c r="I69" s="36">
        <v>44449</v>
      </c>
      <c r="J69" s="30">
        <v>3</v>
      </c>
      <c r="K69" s="30">
        <v>25</v>
      </c>
      <c r="L69" s="30">
        <v>25</v>
      </c>
      <c r="M69" s="23">
        <f>((L69*41500)+(L69*41500)*10%)+8250+((0*165))</f>
        <v>1149500</v>
      </c>
      <c r="N69" s="21">
        <f t="shared" si="14"/>
        <v>30250</v>
      </c>
      <c r="O69" s="21">
        <f t="shared" si="15"/>
        <v>53925</v>
      </c>
      <c r="P69" s="109">
        <f>L69*2000</f>
        <v>50000</v>
      </c>
      <c r="Q69" s="14">
        <f t="shared" si="17"/>
        <v>1283675</v>
      </c>
      <c r="R69" s="121" t="s">
        <v>94</v>
      </c>
      <c r="S69" s="121" t="s">
        <v>94</v>
      </c>
      <c r="T69" s="121" t="s">
        <v>94</v>
      </c>
      <c r="U69" s="30"/>
      <c r="V69" s="30"/>
    </row>
    <row r="70" spans="1:22" x14ac:dyDescent="0.25">
      <c r="A70" s="26">
        <v>69</v>
      </c>
      <c r="B70" s="30" t="s">
        <v>1025</v>
      </c>
      <c r="C70" s="26" t="s">
        <v>29</v>
      </c>
      <c r="D70" s="30" t="s">
        <v>815</v>
      </c>
      <c r="E70" s="30" t="s">
        <v>23</v>
      </c>
      <c r="F70" s="30" t="s">
        <v>29</v>
      </c>
      <c r="G70" s="30" t="s">
        <v>112</v>
      </c>
      <c r="H70" s="30" t="s">
        <v>113</v>
      </c>
      <c r="I70" s="36">
        <v>44449</v>
      </c>
      <c r="J70" s="30">
        <v>1</v>
      </c>
      <c r="K70" s="30">
        <v>4</v>
      </c>
      <c r="L70" s="30">
        <v>10</v>
      </c>
      <c r="M70" s="23">
        <f>((L70*41500)+(L70*41500)*10%)+8250+((0*165))</f>
        <v>464750</v>
      </c>
      <c r="N70" s="21">
        <f t="shared" si="14"/>
        <v>12100</v>
      </c>
      <c r="O70" s="21">
        <f t="shared" si="15"/>
        <v>23370</v>
      </c>
      <c r="P70" s="109">
        <f>L70*2000</f>
        <v>20000</v>
      </c>
      <c r="Q70" s="14">
        <f t="shared" si="17"/>
        <v>520220</v>
      </c>
      <c r="R70" s="121" t="s">
        <v>94</v>
      </c>
      <c r="S70" s="121" t="s">
        <v>94</v>
      </c>
      <c r="T70" s="121" t="s">
        <v>94</v>
      </c>
      <c r="U70" s="30"/>
      <c r="V70" s="30"/>
    </row>
    <row r="71" spans="1:22" x14ac:dyDescent="0.25">
      <c r="A71" s="26">
        <v>70</v>
      </c>
      <c r="B71" s="30" t="s">
        <v>1026</v>
      </c>
      <c r="C71" s="26" t="s">
        <v>29</v>
      </c>
      <c r="D71" s="30" t="s">
        <v>30</v>
      </c>
      <c r="E71" s="30" t="s">
        <v>23</v>
      </c>
      <c r="F71" s="30" t="s">
        <v>29</v>
      </c>
      <c r="G71" s="30" t="s">
        <v>79</v>
      </c>
      <c r="H71" s="30" t="s">
        <v>782</v>
      </c>
      <c r="I71" s="36">
        <v>44449</v>
      </c>
      <c r="J71" s="30">
        <v>3</v>
      </c>
      <c r="K71" s="30">
        <v>52</v>
      </c>
      <c r="L71" s="30">
        <v>55</v>
      </c>
      <c r="M71" s="23">
        <f>((L71*15000)+(L71*15000)*10%)+8250+((0*165))</f>
        <v>915750</v>
      </c>
      <c r="N71" s="21">
        <f t="shared" si="14"/>
        <v>66550</v>
      </c>
      <c r="O71" s="21">
        <f t="shared" si="15"/>
        <v>115035</v>
      </c>
      <c r="P71" s="109">
        <f>L71*2100</f>
        <v>115500</v>
      </c>
      <c r="Q71" s="14">
        <f t="shared" si="17"/>
        <v>1212835</v>
      </c>
      <c r="R71" s="121" t="s">
        <v>94</v>
      </c>
      <c r="S71" s="121" t="s">
        <v>94</v>
      </c>
      <c r="T71" s="121" t="s">
        <v>94</v>
      </c>
      <c r="U71" s="30"/>
      <c r="V71" s="30"/>
    </row>
    <row r="72" spans="1:22" hidden="1" x14ac:dyDescent="0.25">
      <c r="A72" s="26">
        <v>71</v>
      </c>
      <c r="B72" s="30" t="s">
        <v>1053</v>
      </c>
      <c r="C72" s="26" t="s">
        <v>21</v>
      </c>
      <c r="D72" s="30" t="s">
        <v>1054</v>
      </c>
      <c r="E72" s="87" t="s">
        <v>23</v>
      </c>
      <c r="F72" s="30" t="s">
        <v>21</v>
      </c>
      <c r="G72" s="30" t="s">
        <v>621</v>
      </c>
      <c r="H72" s="30" t="s">
        <v>1055</v>
      </c>
      <c r="I72" s="111">
        <v>44450</v>
      </c>
      <c r="J72" s="30">
        <v>3</v>
      </c>
      <c r="K72" s="30">
        <v>76</v>
      </c>
      <c r="L72" s="30">
        <v>76</v>
      </c>
      <c r="M72" s="23">
        <f>((L72*5000)+(L72*5000)*10%)+8250+((0*165))</f>
        <v>426250</v>
      </c>
      <c r="N72" s="21">
        <f>L72*869</f>
        <v>66044</v>
      </c>
      <c r="O72" s="21">
        <f>(L72*1153)+20000</f>
        <v>107628</v>
      </c>
      <c r="P72" s="21">
        <f>L72*1100</f>
        <v>83600</v>
      </c>
      <c r="Q72" s="14">
        <f t="shared" si="17"/>
        <v>683522</v>
      </c>
      <c r="R72" s="121">
        <v>683522</v>
      </c>
      <c r="S72" s="128" t="s">
        <v>1071</v>
      </c>
      <c r="T72" s="121" t="s">
        <v>27</v>
      </c>
      <c r="U72" s="30"/>
      <c r="V72" s="30"/>
    </row>
    <row r="73" spans="1:22" x14ac:dyDescent="0.25">
      <c r="A73" s="26">
        <v>72</v>
      </c>
      <c r="B73" s="30" t="s">
        <v>1027</v>
      </c>
      <c r="C73" s="26" t="s">
        <v>29</v>
      </c>
      <c r="D73" s="30" t="s">
        <v>815</v>
      </c>
      <c r="E73" s="30" t="s">
        <v>23</v>
      </c>
      <c r="F73" s="30" t="s">
        <v>29</v>
      </c>
      <c r="G73" s="30" t="s">
        <v>50</v>
      </c>
      <c r="H73" s="30" t="s">
        <v>58</v>
      </c>
      <c r="I73" s="36">
        <v>44450</v>
      </c>
      <c r="J73" s="30">
        <v>4</v>
      </c>
      <c r="K73" s="30">
        <v>22</v>
      </c>
      <c r="L73" s="30">
        <v>31</v>
      </c>
      <c r="M73" s="23">
        <f>((L73*31000)+(L73*31000)*10%)+8250+((L73*165))</f>
        <v>1070465</v>
      </c>
      <c r="N73" s="21">
        <f t="shared" si="14"/>
        <v>37510</v>
      </c>
      <c r="O73" s="21">
        <f t="shared" si="15"/>
        <v>66147</v>
      </c>
      <c r="P73" s="109">
        <f>L73*2000</f>
        <v>62000</v>
      </c>
      <c r="Q73" s="14">
        <f t="shared" si="17"/>
        <v>1236122</v>
      </c>
      <c r="R73" s="121" t="s">
        <v>94</v>
      </c>
      <c r="S73" s="121" t="s">
        <v>94</v>
      </c>
      <c r="T73" s="121" t="s">
        <v>94</v>
      </c>
      <c r="U73" s="30"/>
      <c r="V73" s="30"/>
    </row>
    <row r="74" spans="1:22" x14ac:dyDescent="0.25">
      <c r="A74" s="26">
        <v>73</v>
      </c>
      <c r="B74" s="30" t="s">
        <v>1034</v>
      </c>
      <c r="C74" s="26" t="s">
        <v>29</v>
      </c>
      <c r="D74" s="30" t="s">
        <v>815</v>
      </c>
      <c r="E74" s="30" t="s">
        <v>23</v>
      </c>
      <c r="F74" s="30" t="s">
        <v>29</v>
      </c>
      <c r="G74" s="30" t="s">
        <v>24</v>
      </c>
      <c r="H74" s="30" t="s">
        <v>93</v>
      </c>
      <c r="I74" s="36">
        <v>44450</v>
      </c>
      <c r="J74" s="30">
        <v>3</v>
      </c>
      <c r="K74" s="30">
        <v>13</v>
      </c>
      <c r="L74" s="30">
        <v>26</v>
      </c>
      <c r="M74" s="23">
        <f>((L74*22000)+(L74*22000)*10%)+8250+((L74*165))</f>
        <v>641740</v>
      </c>
      <c r="N74" s="21">
        <f t="shared" ref="N74:N85" si="19">L74*1210</f>
        <v>31460</v>
      </c>
      <c r="O74" s="21">
        <f t="shared" ref="O74:O85" si="20">(L74*2037)+3000</f>
        <v>55962</v>
      </c>
      <c r="P74" s="109">
        <f>L74*2000</f>
        <v>52000</v>
      </c>
      <c r="Q74" s="14">
        <f t="shared" ref="Q74:Q85" si="21">SUM(M74:P74)</f>
        <v>781162</v>
      </c>
      <c r="R74" s="121" t="s">
        <v>94</v>
      </c>
      <c r="S74" s="121" t="s">
        <v>94</v>
      </c>
      <c r="T74" s="121" t="s">
        <v>94</v>
      </c>
      <c r="U74" s="30"/>
      <c r="V74" s="30"/>
    </row>
    <row r="75" spans="1:22" hidden="1" x14ac:dyDescent="0.25">
      <c r="A75" s="26">
        <v>74</v>
      </c>
      <c r="B75" s="30" t="s">
        <v>1035</v>
      </c>
      <c r="C75" s="26" t="s">
        <v>29</v>
      </c>
      <c r="D75" s="30" t="s">
        <v>491</v>
      </c>
      <c r="E75" s="30" t="s">
        <v>23</v>
      </c>
      <c r="F75" s="30" t="s">
        <v>29</v>
      </c>
      <c r="G75" s="30" t="s">
        <v>24</v>
      </c>
      <c r="H75" s="30" t="s">
        <v>93</v>
      </c>
      <c r="I75" s="36">
        <v>44450</v>
      </c>
      <c r="J75" s="30">
        <v>1</v>
      </c>
      <c r="K75" s="30">
        <v>12</v>
      </c>
      <c r="L75" s="30">
        <v>12</v>
      </c>
      <c r="M75" s="23">
        <f>((L75*22000)+(L75*22000)*10%)+8250+((L75*165))</f>
        <v>300630</v>
      </c>
      <c r="N75" s="21">
        <f t="shared" si="19"/>
        <v>14520</v>
      </c>
      <c r="O75" s="21">
        <f t="shared" si="20"/>
        <v>27444</v>
      </c>
      <c r="P75" s="21">
        <f t="shared" ref="P74:P85" si="22">L75*1100</f>
        <v>13200</v>
      </c>
      <c r="Q75" s="14">
        <f t="shared" si="21"/>
        <v>355794</v>
      </c>
      <c r="R75" s="121">
        <v>30413395</v>
      </c>
      <c r="S75" s="128" t="s">
        <v>1073</v>
      </c>
      <c r="T75" s="184" t="s">
        <v>27</v>
      </c>
      <c r="U75" s="30"/>
      <c r="V75" s="30"/>
    </row>
    <row r="76" spans="1:22" x14ac:dyDescent="0.25">
      <c r="A76" s="26">
        <v>75</v>
      </c>
      <c r="B76" s="30" t="s">
        <v>1036</v>
      </c>
      <c r="C76" s="26" t="s">
        <v>29</v>
      </c>
      <c r="D76" s="30" t="s">
        <v>815</v>
      </c>
      <c r="E76" s="30" t="s">
        <v>23</v>
      </c>
      <c r="F76" s="30" t="s">
        <v>29</v>
      </c>
      <c r="G76" s="30" t="s">
        <v>50</v>
      </c>
      <c r="H76" s="30" t="s">
        <v>58</v>
      </c>
      <c r="I76" s="36">
        <v>44450</v>
      </c>
      <c r="J76" s="30">
        <v>2</v>
      </c>
      <c r="K76" s="30">
        <v>20</v>
      </c>
      <c r="L76" s="30">
        <v>20</v>
      </c>
      <c r="M76" s="23">
        <f t="shared" ref="M76" si="23">((L76*31000)+(L76*31000)*10%)+8250+((L76*165))</f>
        <v>693550</v>
      </c>
      <c r="N76" s="21">
        <f t="shared" si="19"/>
        <v>24200</v>
      </c>
      <c r="O76" s="21">
        <f t="shared" si="20"/>
        <v>43740</v>
      </c>
      <c r="P76" s="109">
        <f>L76*2000</f>
        <v>40000</v>
      </c>
      <c r="Q76" s="14">
        <f t="shared" si="21"/>
        <v>801490</v>
      </c>
      <c r="R76" s="121" t="s">
        <v>94</v>
      </c>
      <c r="S76" s="121" t="s">
        <v>94</v>
      </c>
      <c r="T76" s="121" t="s">
        <v>94</v>
      </c>
      <c r="U76" s="30"/>
      <c r="V76" s="30"/>
    </row>
    <row r="77" spans="1:22" x14ac:dyDescent="0.25">
      <c r="A77" s="26">
        <v>76</v>
      </c>
      <c r="B77" s="30" t="s">
        <v>1037</v>
      </c>
      <c r="C77" s="26" t="s">
        <v>29</v>
      </c>
      <c r="D77" s="30" t="s">
        <v>815</v>
      </c>
      <c r="E77" s="30" t="s">
        <v>23</v>
      </c>
      <c r="F77" s="30" t="s">
        <v>29</v>
      </c>
      <c r="G77" s="30" t="s">
        <v>210</v>
      </c>
      <c r="H77" s="30" t="s">
        <v>1008</v>
      </c>
      <c r="I77" s="36">
        <v>44450</v>
      </c>
      <c r="J77" s="30">
        <v>2</v>
      </c>
      <c r="K77" s="30">
        <v>12</v>
      </c>
      <c r="L77" s="30">
        <v>14</v>
      </c>
      <c r="M77" s="23">
        <f>((L77*8500)+(L77*8500)*10%)+8250+((0*165))</f>
        <v>139150</v>
      </c>
      <c r="N77" s="21">
        <f t="shared" si="19"/>
        <v>16940</v>
      </c>
      <c r="O77" s="21">
        <f t="shared" si="20"/>
        <v>31518</v>
      </c>
      <c r="P77" s="109">
        <f>L77*2000</f>
        <v>28000</v>
      </c>
      <c r="Q77" s="14">
        <f t="shared" si="21"/>
        <v>215608</v>
      </c>
      <c r="R77" s="121" t="s">
        <v>94</v>
      </c>
      <c r="S77" s="121" t="s">
        <v>94</v>
      </c>
      <c r="T77" s="121" t="s">
        <v>94</v>
      </c>
      <c r="U77" s="30"/>
      <c r="V77" s="30"/>
    </row>
    <row r="78" spans="1:22" x14ac:dyDescent="0.25">
      <c r="A78" s="26">
        <v>77</v>
      </c>
      <c r="B78" s="30" t="s">
        <v>1038</v>
      </c>
      <c r="C78" s="26" t="s">
        <v>29</v>
      </c>
      <c r="D78" s="30" t="s">
        <v>30</v>
      </c>
      <c r="E78" s="30" t="s">
        <v>23</v>
      </c>
      <c r="F78" s="30" t="s">
        <v>29</v>
      </c>
      <c r="G78" s="30" t="s">
        <v>210</v>
      </c>
      <c r="H78" s="30" t="s">
        <v>1008</v>
      </c>
      <c r="I78" s="36">
        <v>44450</v>
      </c>
      <c r="J78" s="30">
        <v>7</v>
      </c>
      <c r="K78" s="30">
        <v>119</v>
      </c>
      <c r="L78" s="30">
        <v>119</v>
      </c>
      <c r="M78" s="23">
        <f>((L78*8500)+(L78*8500)*10%)+8250+((0*165))</f>
        <v>1120900</v>
      </c>
      <c r="N78" s="21">
        <f t="shared" si="19"/>
        <v>143990</v>
      </c>
      <c r="O78" s="21">
        <f t="shared" si="20"/>
        <v>245403</v>
      </c>
      <c r="P78" s="109">
        <f>L78*2100</f>
        <v>249900</v>
      </c>
      <c r="Q78" s="14">
        <f t="shared" si="21"/>
        <v>1760193</v>
      </c>
      <c r="R78" s="121" t="s">
        <v>94</v>
      </c>
      <c r="S78" s="121" t="s">
        <v>94</v>
      </c>
      <c r="T78" s="121" t="s">
        <v>94</v>
      </c>
      <c r="U78" s="30"/>
      <c r="V78" s="30"/>
    </row>
    <row r="79" spans="1:22" x14ac:dyDescent="0.25">
      <c r="A79" s="26">
        <v>78</v>
      </c>
      <c r="B79" s="30" t="s">
        <v>1039</v>
      </c>
      <c r="C79" s="26" t="s">
        <v>29</v>
      </c>
      <c r="D79" s="30" t="s">
        <v>815</v>
      </c>
      <c r="E79" s="30" t="s">
        <v>23</v>
      </c>
      <c r="F79" s="30" t="s">
        <v>29</v>
      </c>
      <c r="G79" s="30" t="s">
        <v>263</v>
      </c>
      <c r="H79" s="30" t="s">
        <v>264</v>
      </c>
      <c r="I79" s="36">
        <v>44450</v>
      </c>
      <c r="J79" s="30">
        <v>1</v>
      </c>
      <c r="K79" s="30">
        <v>12</v>
      </c>
      <c r="L79" s="30">
        <v>12</v>
      </c>
      <c r="M79" s="23">
        <f>((L79*10500)+(L79*10500)*10%)+8250+((0*165))</f>
        <v>146850</v>
      </c>
      <c r="N79" s="21">
        <f t="shared" si="19"/>
        <v>14520</v>
      </c>
      <c r="O79" s="21">
        <f t="shared" si="20"/>
        <v>27444</v>
      </c>
      <c r="P79" s="109">
        <f>L79*2000</f>
        <v>24000</v>
      </c>
      <c r="Q79" s="14">
        <f t="shared" si="21"/>
        <v>212814</v>
      </c>
      <c r="R79" s="121" t="s">
        <v>94</v>
      </c>
      <c r="S79" s="121" t="s">
        <v>94</v>
      </c>
      <c r="T79" s="121" t="s">
        <v>94</v>
      </c>
      <c r="U79" s="30"/>
      <c r="V79" s="30"/>
    </row>
    <row r="80" spans="1:22" x14ac:dyDescent="0.25">
      <c r="A80" s="26">
        <v>79</v>
      </c>
      <c r="B80" s="30" t="s">
        <v>1040</v>
      </c>
      <c r="C80" s="26" t="s">
        <v>29</v>
      </c>
      <c r="D80" s="30" t="s">
        <v>30</v>
      </c>
      <c r="E80" s="30" t="s">
        <v>23</v>
      </c>
      <c r="F80" s="30" t="s">
        <v>29</v>
      </c>
      <c r="G80" s="30" t="s">
        <v>263</v>
      </c>
      <c r="H80" s="30" t="s">
        <v>264</v>
      </c>
      <c r="I80" s="36">
        <v>44450</v>
      </c>
      <c r="J80" s="30">
        <v>7</v>
      </c>
      <c r="K80" s="30">
        <v>121</v>
      </c>
      <c r="L80" s="30">
        <v>121</v>
      </c>
      <c r="M80" s="23">
        <f>((L80*10500)+(L80*10500)*10%)+8250+((0*165))</f>
        <v>1405800</v>
      </c>
      <c r="N80" s="21">
        <f t="shared" si="19"/>
        <v>146410</v>
      </c>
      <c r="O80" s="21">
        <f t="shared" si="20"/>
        <v>249477</v>
      </c>
      <c r="P80" s="109">
        <f>L80*2100</f>
        <v>254100</v>
      </c>
      <c r="Q80" s="14">
        <f t="shared" si="21"/>
        <v>2055787</v>
      </c>
      <c r="R80" s="121" t="s">
        <v>94</v>
      </c>
      <c r="S80" s="121" t="s">
        <v>94</v>
      </c>
      <c r="T80" s="121" t="s">
        <v>94</v>
      </c>
      <c r="U80" s="30"/>
      <c r="V80" s="30"/>
    </row>
    <row r="81" spans="1:22" x14ac:dyDescent="0.25">
      <c r="A81" s="26">
        <v>80</v>
      </c>
      <c r="B81" s="30" t="s">
        <v>1041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112</v>
      </c>
      <c r="H81" s="30" t="s">
        <v>1003</v>
      </c>
      <c r="I81" s="36">
        <v>44450</v>
      </c>
      <c r="J81" s="30">
        <v>2</v>
      </c>
      <c r="K81" s="30">
        <v>11</v>
      </c>
      <c r="L81" s="30">
        <v>11</v>
      </c>
      <c r="M81" s="23">
        <f>((L81*41500)+(L81*41500)*10%)+8250+((L81*165))</f>
        <v>512215</v>
      </c>
      <c r="N81" s="21">
        <f t="shared" si="19"/>
        <v>13310</v>
      </c>
      <c r="O81" s="21">
        <f t="shared" si="20"/>
        <v>25407</v>
      </c>
      <c r="P81" s="109">
        <f>L81*2000</f>
        <v>22000</v>
      </c>
      <c r="Q81" s="14">
        <f t="shared" si="21"/>
        <v>572932</v>
      </c>
      <c r="R81" s="121" t="s">
        <v>94</v>
      </c>
      <c r="S81" s="121" t="s">
        <v>94</v>
      </c>
      <c r="T81" s="121" t="s">
        <v>94</v>
      </c>
      <c r="U81" s="30"/>
      <c r="V81" s="30"/>
    </row>
    <row r="82" spans="1:22" hidden="1" x14ac:dyDescent="0.25">
      <c r="A82" s="26">
        <v>81</v>
      </c>
      <c r="B82" s="30" t="s">
        <v>1042</v>
      </c>
      <c r="C82" s="26" t="s">
        <v>29</v>
      </c>
      <c r="D82" s="30" t="s">
        <v>491</v>
      </c>
      <c r="E82" s="30" t="s">
        <v>23</v>
      </c>
      <c r="F82" s="30" t="s">
        <v>29</v>
      </c>
      <c r="G82" s="30" t="s">
        <v>235</v>
      </c>
      <c r="H82" s="30" t="s">
        <v>236</v>
      </c>
      <c r="I82" s="36">
        <v>44450</v>
      </c>
      <c r="J82" s="30">
        <v>2</v>
      </c>
      <c r="K82" s="30">
        <v>12</v>
      </c>
      <c r="L82" s="30">
        <v>13</v>
      </c>
      <c r="M82" s="23">
        <f>((L82*35500)+(L82*35500)*10%)+8250+((L82*165))</f>
        <v>518045</v>
      </c>
      <c r="N82" s="21">
        <f t="shared" si="19"/>
        <v>15730</v>
      </c>
      <c r="O82" s="21">
        <f t="shared" si="20"/>
        <v>29481</v>
      </c>
      <c r="P82" s="21">
        <f t="shared" si="22"/>
        <v>14300</v>
      </c>
      <c r="Q82" s="14">
        <f t="shared" si="21"/>
        <v>577556</v>
      </c>
      <c r="R82" s="121">
        <v>30413395</v>
      </c>
      <c r="S82" s="128" t="s">
        <v>1073</v>
      </c>
      <c r="T82" s="184" t="s">
        <v>27</v>
      </c>
      <c r="U82" s="30"/>
      <c r="V82" s="30"/>
    </row>
    <row r="83" spans="1:22" hidden="1" x14ac:dyDescent="0.25">
      <c r="A83" s="26">
        <v>82</v>
      </c>
      <c r="B83" s="30" t="s">
        <v>1043</v>
      </c>
      <c r="C83" s="26" t="s">
        <v>29</v>
      </c>
      <c r="D83" s="30" t="s">
        <v>491</v>
      </c>
      <c r="E83" s="30" t="s">
        <v>23</v>
      </c>
      <c r="F83" s="30" t="s">
        <v>29</v>
      </c>
      <c r="G83" s="30" t="s">
        <v>241</v>
      </c>
      <c r="H83" s="30" t="s">
        <v>233</v>
      </c>
      <c r="I83" s="36">
        <v>44450</v>
      </c>
      <c r="J83" s="30">
        <v>1</v>
      </c>
      <c r="K83" s="30">
        <v>12</v>
      </c>
      <c r="L83" s="30">
        <v>14</v>
      </c>
      <c r="M83" s="23">
        <f>((L83*27500)+(L83*27500)*10%)+8250+((L83*165))</f>
        <v>434060</v>
      </c>
      <c r="N83" s="21">
        <f t="shared" si="19"/>
        <v>16940</v>
      </c>
      <c r="O83" s="21">
        <f t="shared" si="20"/>
        <v>31518</v>
      </c>
      <c r="P83" s="21">
        <f t="shared" si="22"/>
        <v>15400</v>
      </c>
      <c r="Q83" s="14">
        <f t="shared" si="21"/>
        <v>497918</v>
      </c>
      <c r="R83" s="121">
        <v>30413395</v>
      </c>
      <c r="S83" s="128" t="s">
        <v>1073</v>
      </c>
      <c r="T83" s="184" t="s">
        <v>27</v>
      </c>
      <c r="U83" s="30"/>
      <c r="V83" s="30"/>
    </row>
    <row r="84" spans="1:22" x14ac:dyDescent="0.25">
      <c r="A84" s="26">
        <v>83</v>
      </c>
      <c r="B84" s="30" t="s">
        <v>1044</v>
      </c>
      <c r="C84" s="26" t="s">
        <v>29</v>
      </c>
      <c r="D84" s="30" t="s">
        <v>815</v>
      </c>
      <c r="E84" s="30" t="s">
        <v>23</v>
      </c>
      <c r="F84" s="30" t="s">
        <v>29</v>
      </c>
      <c r="G84" s="30" t="s">
        <v>184</v>
      </c>
      <c r="H84" s="30" t="s">
        <v>219</v>
      </c>
      <c r="I84" s="36">
        <v>44450</v>
      </c>
      <c r="J84" s="30">
        <v>9</v>
      </c>
      <c r="K84" s="30">
        <v>123</v>
      </c>
      <c r="L84" s="30">
        <v>123</v>
      </c>
      <c r="M84" s="23">
        <f>((L84*14000)+(L84*14000)*10%)+8250+((0*165))</f>
        <v>1902450</v>
      </c>
      <c r="N84" s="21">
        <f t="shared" si="19"/>
        <v>148830</v>
      </c>
      <c r="O84" s="21">
        <f t="shared" si="20"/>
        <v>253551</v>
      </c>
      <c r="P84" s="109">
        <f>L84*2000</f>
        <v>246000</v>
      </c>
      <c r="Q84" s="14">
        <f t="shared" si="21"/>
        <v>2550831</v>
      </c>
      <c r="R84" s="121" t="s">
        <v>94</v>
      </c>
      <c r="S84" s="121" t="s">
        <v>94</v>
      </c>
      <c r="T84" s="121" t="s">
        <v>94</v>
      </c>
      <c r="U84" s="30"/>
      <c r="V84" s="30"/>
    </row>
    <row r="85" spans="1:22" x14ac:dyDescent="0.25">
      <c r="A85" s="26">
        <v>84</v>
      </c>
      <c r="B85" s="30" t="s">
        <v>1045</v>
      </c>
      <c r="C85" s="26" t="s">
        <v>29</v>
      </c>
      <c r="D85" s="30" t="s">
        <v>815</v>
      </c>
      <c r="E85" s="30" t="s">
        <v>23</v>
      </c>
      <c r="F85" s="30" t="s">
        <v>29</v>
      </c>
      <c r="G85" s="30" t="s">
        <v>184</v>
      </c>
      <c r="H85" s="30" t="s">
        <v>219</v>
      </c>
      <c r="I85" s="36">
        <v>44450</v>
      </c>
      <c r="J85" s="30">
        <v>9</v>
      </c>
      <c r="K85" s="30">
        <v>162</v>
      </c>
      <c r="L85" s="30">
        <v>162</v>
      </c>
      <c r="M85" s="23">
        <f>((L85*14000)+(L85*14000)*10%)+8250+((0*165))</f>
        <v>2503050</v>
      </c>
      <c r="N85" s="21">
        <f t="shared" si="19"/>
        <v>196020</v>
      </c>
      <c r="O85" s="21">
        <f t="shared" si="20"/>
        <v>332994</v>
      </c>
      <c r="P85" s="109">
        <f>L85*2000</f>
        <v>324000</v>
      </c>
      <c r="Q85" s="14">
        <f t="shared" si="21"/>
        <v>3356064</v>
      </c>
      <c r="R85" s="121" t="s">
        <v>94</v>
      </c>
      <c r="S85" s="121" t="s">
        <v>94</v>
      </c>
      <c r="T85" s="121" t="s">
        <v>94</v>
      </c>
      <c r="U85" s="30"/>
      <c r="V85" s="30"/>
    </row>
    <row r="86" spans="1:22" x14ac:dyDescent="0.25">
      <c r="A86" s="26">
        <v>85</v>
      </c>
      <c r="B86" s="30" t="s">
        <v>1056</v>
      </c>
      <c r="C86" s="26" t="s">
        <v>29</v>
      </c>
      <c r="D86" s="30" t="s">
        <v>815</v>
      </c>
      <c r="E86" s="30" t="s">
        <v>23</v>
      </c>
      <c r="F86" s="30" t="s">
        <v>29</v>
      </c>
      <c r="G86" s="30" t="s">
        <v>210</v>
      </c>
      <c r="H86" s="30" t="s">
        <v>1008</v>
      </c>
      <c r="I86" s="36">
        <v>44453</v>
      </c>
      <c r="J86" s="30">
        <v>4</v>
      </c>
      <c r="K86" s="30">
        <v>50</v>
      </c>
      <c r="L86" s="30">
        <v>50</v>
      </c>
      <c r="M86" s="23">
        <f>((L86*8500)+(L86*8500)*10%)+8250+((0*165))</f>
        <v>475750</v>
      </c>
      <c r="N86" s="21">
        <f t="shared" ref="N86:N97" si="24">L86*1210</f>
        <v>60500</v>
      </c>
      <c r="O86" s="21">
        <f t="shared" ref="O86:O97" si="25">(L86*2037)+3000</f>
        <v>104850</v>
      </c>
      <c r="P86" s="109">
        <f>L86*2000</f>
        <v>100000</v>
      </c>
      <c r="Q86" s="14">
        <f t="shared" ref="Q86:Q98" si="26">SUM(M86:P86)</f>
        <v>741100</v>
      </c>
      <c r="R86" s="121" t="s">
        <v>94</v>
      </c>
      <c r="S86" s="121" t="s">
        <v>94</v>
      </c>
      <c r="T86" s="121" t="s">
        <v>94</v>
      </c>
      <c r="U86" s="30"/>
    </row>
    <row r="87" spans="1:22" x14ac:dyDescent="0.25">
      <c r="A87" s="26">
        <v>86</v>
      </c>
      <c r="B87" s="30" t="s">
        <v>1057</v>
      </c>
      <c r="C87" s="26" t="s">
        <v>29</v>
      </c>
      <c r="D87" s="30" t="s">
        <v>815</v>
      </c>
      <c r="E87" s="30" t="s">
        <v>23</v>
      </c>
      <c r="F87" s="30" t="s">
        <v>29</v>
      </c>
      <c r="G87" s="30" t="s">
        <v>76</v>
      </c>
      <c r="H87" s="30" t="s">
        <v>819</v>
      </c>
      <c r="I87" s="36">
        <v>44453</v>
      </c>
      <c r="J87" s="30">
        <v>3</v>
      </c>
      <c r="K87" s="30">
        <v>90</v>
      </c>
      <c r="L87" s="30">
        <v>90</v>
      </c>
      <c r="M87" s="23">
        <f>((L87*19000)+(L87*19000)*10%)+8250+((L87*165))</f>
        <v>1904100</v>
      </c>
      <c r="N87" s="21">
        <f t="shared" si="24"/>
        <v>108900</v>
      </c>
      <c r="O87" s="21">
        <f t="shared" si="25"/>
        <v>186330</v>
      </c>
      <c r="P87" s="109">
        <f>L87*2000</f>
        <v>180000</v>
      </c>
      <c r="Q87" s="14">
        <f t="shared" si="26"/>
        <v>2379330</v>
      </c>
      <c r="R87" s="121" t="s">
        <v>94</v>
      </c>
      <c r="S87" s="121" t="s">
        <v>94</v>
      </c>
      <c r="T87" s="121" t="s">
        <v>94</v>
      </c>
      <c r="U87" s="30"/>
    </row>
    <row r="88" spans="1:22" x14ac:dyDescent="0.25">
      <c r="A88" s="26">
        <v>87</v>
      </c>
      <c r="B88" s="30" t="s">
        <v>1058</v>
      </c>
      <c r="C88" s="26" t="s">
        <v>29</v>
      </c>
      <c r="D88" s="30" t="s">
        <v>815</v>
      </c>
      <c r="E88" s="30" t="s">
        <v>23</v>
      </c>
      <c r="F88" s="30" t="s">
        <v>29</v>
      </c>
      <c r="G88" s="30" t="s">
        <v>50</v>
      </c>
      <c r="H88" s="30" t="s">
        <v>58</v>
      </c>
      <c r="I88" s="36">
        <v>44453</v>
      </c>
      <c r="J88" s="30">
        <v>3</v>
      </c>
      <c r="K88" s="30">
        <v>6</v>
      </c>
      <c r="L88" s="30">
        <v>21</v>
      </c>
      <c r="M88" s="23">
        <f>((L88*31000)+(L88*31000)*10%)+8250+((0*165))</f>
        <v>724350</v>
      </c>
      <c r="N88" s="21">
        <f t="shared" si="24"/>
        <v>25410</v>
      </c>
      <c r="O88" s="21">
        <f t="shared" si="25"/>
        <v>45777</v>
      </c>
      <c r="P88" s="109">
        <f>L88*2000</f>
        <v>42000</v>
      </c>
      <c r="Q88" s="14">
        <f t="shared" si="26"/>
        <v>837537</v>
      </c>
      <c r="R88" s="121" t="s">
        <v>94</v>
      </c>
      <c r="S88" s="121" t="s">
        <v>94</v>
      </c>
      <c r="T88" s="121" t="s">
        <v>94</v>
      </c>
      <c r="U88" s="30"/>
    </row>
    <row r="89" spans="1:22" x14ac:dyDescent="0.25">
      <c r="A89" s="26">
        <v>88</v>
      </c>
      <c r="B89" s="30" t="s">
        <v>1059</v>
      </c>
      <c r="C89" s="26" t="s">
        <v>29</v>
      </c>
      <c r="D89" s="30" t="s">
        <v>30</v>
      </c>
      <c r="E89" s="30" t="s">
        <v>473</v>
      </c>
      <c r="F89" s="30" t="s">
        <v>29</v>
      </c>
      <c r="G89" s="30" t="s">
        <v>64</v>
      </c>
      <c r="H89" s="30" t="s">
        <v>1068</v>
      </c>
      <c r="I89" s="36">
        <v>44453</v>
      </c>
      <c r="J89" s="30">
        <v>4</v>
      </c>
      <c r="K89" s="30">
        <v>61</v>
      </c>
      <c r="L89" s="30">
        <v>61</v>
      </c>
      <c r="M89" s="23">
        <f>((L89*14400)+(L89*14400)*10%)+8250+((0*165))</f>
        <v>974490</v>
      </c>
      <c r="N89" s="21">
        <f t="shared" si="24"/>
        <v>73810</v>
      </c>
      <c r="O89" s="21">
        <f t="shared" si="25"/>
        <v>127257</v>
      </c>
      <c r="P89" s="109">
        <f>L89*2100</f>
        <v>128100</v>
      </c>
      <c r="Q89" s="14">
        <f t="shared" si="26"/>
        <v>1303657</v>
      </c>
      <c r="R89" s="121" t="s">
        <v>94</v>
      </c>
      <c r="S89" s="121" t="s">
        <v>94</v>
      </c>
      <c r="T89" s="121" t="s">
        <v>94</v>
      </c>
      <c r="U89" s="30"/>
    </row>
    <row r="90" spans="1:22" x14ac:dyDescent="0.25">
      <c r="A90" s="26">
        <v>89</v>
      </c>
      <c r="B90" s="30" t="s">
        <v>1060</v>
      </c>
      <c r="C90" s="26" t="s">
        <v>29</v>
      </c>
      <c r="D90" s="30" t="s">
        <v>30</v>
      </c>
      <c r="E90" s="30" t="s">
        <v>473</v>
      </c>
      <c r="F90" s="30" t="s">
        <v>29</v>
      </c>
      <c r="G90" s="30" t="s">
        <v>171</v>
      </c>
      <c r="H90" s="30" t="s">
        <v>735</v>
      </c>
      <c r="I90" s="36">
        <v>44453</v>
      </c>
      <c r="J90" s="30">
        <v>5</v>
      </c>
      <c r="K90" s="30">
        <v>84</v>
      </c>
      <c r="L90" s="30">
        <v>84</v>
      </c>
      <c r="M90" s="23">
        <f>((L90*12000)+(L90*12000)*10%)+8250+((0*165))</f>
        <v>1117050</v>
      </c>
      <c r="N90" s="21">
        <f t="shared" si="24"/>
        <v>101640</v>
      </c>
      <c r="O90" s="21">
        <f t="shared" si="25"/>
        <v>174108</v>
      </c>
      <c r="P90" s="109">
        <f>L90*2100</f>
        <v>176400</v>
      </c>
      <c r="Q90" s="14">
        <f t="shared" si="26"/>
        <v>1569198</v>
      </c>
      <c r="R90" s="121" t="s">
        <v>94</v>
      </c>
      <c r="S90" s="121" t="s">
        <v>94</v>
      </c>
      <c r="T90" s="121" t="s">
        <v>94</v>
      </c>
      <c r="U90" s="30"/>
    </row>
    <row r="91" spans="1:22" x14ac:dyDescent="0.25">
      <c r="A91" s="26">
        <v>90</v>
      </c>
      <c r="B91" s="30" t="s">
        <v>1061</v>
      </c>
      <c r="C91" s="26" t="s">
        <v>29</v>
      </c>
      <c r="D91" s="30" t="s">
        <v>30</v>
      </c>
      <c r="E91" s="30" t="s">
        <v>473</v>
      </c>
      <c r="F91" s="30" t="s">
        <v>29</v>
      </c>
      <c r="G91" s="30" t="s">
        <v>184</v>
      </c>
      <c r="H91" s="30" t="s">
        <v>219</v>
      </c>
      <c r="I91" s="36">
        <v>44453</v>
      </c>
      <c r="J91" s="30">
        <v>5</v>
      </c>
      <c r="K91" s="30">
        <v>85</v>
      </c>
      <c r="L91" s="30">
        <v>85</v>
      </c>
      <c r="M91" s="23">
        <f t="shared" ref="M91:M95" si="27">((L91*14000)+(L91*14000)*10%)+8250+((0*165))</f>
        <v>1317250</v>
      </c>
      <c r="N91" s="21">
        <f t="shared" si="24"/>
        <v>102850</v>
      </c>
      <c r="O91" s="21">
        <f t="shared" si="25"/>
        <v>176145</v>
      </c>
      <c r="P91" s="109">
        <f>L91*2100</f>
        <v>178500</v>
      </c>
      <c r="Q91" s="14">
        <f t="shared" si="26"/>
        <v>1774745</v>
      </c>
      <c r="R91" s="121" t="s">
        <v>94</v>
      </c>
      <c r="S91" s="121" t="s">
        <v>94</v>
      </c>
      <c r="T91" s="121" t="s">
        <v>94</v>
      </c>
      <c r="U91" s="30"/>
    </row>
    <row r="92" spans="1:22" x14ac:dyDescent="0.25">
      <c r="A92" s="26">
        <v>91</v>
      </c>
      <c r="B92" s="30" t="s">
        <v>1062</v>
      </c>
      <c r="C92" s="26" t="s">
        <v>29</v>
      </c>
      <c r="D92" s="30" t="s">
        <v>815</v>
      </c>
      <c r="E92" s="30" t="s">
        <v>23</v>
      </c>
      <c r="F92" s="30" t="s">
        <v>29</v>
      </c>
      <c r="G92" s="30" t="s">
        <v>72</v>
      </c>
      <c r="H92" s="30" t="s">
        <v>1009</v>
      </c>
      <c r="I92" s="36">
        <v>44453</v>
      </c>
      <c r="J92" s="30">
        <v>6</v>
      </c>
      <c r="K92" s="30">
        <v>62</v>
      </c>
      <c r="L92" s="30">
        <v>62</v>
      </c>
      <c r="M92" s="23">
        <f>((L92*16500)+(L92*16500)*10%)+8250+((0*165))</f>
        <v>1133550</v>
      </c>
      <c r="N92" s="21">
        <f t="shared" si="24"/>
        <v>75020</v>
      </c>
      <c r="O92" s="21">
        <f t="shared" si="25"/>
        <v>129294</v>
      </c>
      <c r="P92" s="109">
        <f>L92*2000</f>
        <v>124000</v>
      </c>
      <c r="Q92" s="14">
        <f t="shared" si="26"/>
        <v>1461864</v>
      </c>
      <c r="R92" s="121" t="s">
        <v>94</v>
      </c>
      <c r="S92" s="121" t="s">
        <v>94</v>
      </c>
      <c r="T92" s="121" t="s">
        <v>94</v>
      </c>
      <c r="U92" s="30"/>
    </row>
    <row r="93" spans="1:22" x14ac:dyDescent="0.25">
      <c r="A93" s="26">
        <v>92</v>
      </c>
      <c r="B93" s="30" t="s">
        <v>1063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69</v>
      </c>
      <c r="H93" s="30" t="s">
        <v>70</v>
      </c>
      <c r="I93" s="36">
        <v>44453</v>
      </c>
      <c r="J93" s="30">
        <v>1</v>
      </c>
      <c r="K93" s="30">
        <v>7</v>
      </c>
      <c r="L93" s="30">
        <v>12</v>
      </c>
      <c r="M93" s="23">
        <f>((L93*11000)+(L93*11000)*10%)+8250+((0*165))</f>
        <v>153450</v>
      </c>
      <c r="N93" s="21">
        <f t="shared" si="24"/>
        <v>14520</v>
      </c>
      <c r="O93" s="21">
        <f t="shared" si="25"/>
        <v>27444</v>
      </c>
      <c r="P93" s="109">
        <f>L93*2000</f>
        <v>24000</v>
      </c>
      <c r="Q93" s="14">
        <f t="shared" si="26"/>
        <v>219414</v>
      </c>
      <c r="R93" s="121" t="s">
        <v>94</v>
      </c>
      <c r="S93" s="121" t="s">
        <v>94</v>
      </c>
      <c r="T93" s="121" t="s">
        <v>94</v>
      </c>
      <c r="U93" s="30"/>
    </row>
    <row r="94" spans="1:22" x14ac:dyDescent="0.25">
      <c r="A94" s="26">
        <v>93</v>
      </c>
      <c r="B94" s="30" t="s">
        <v>1064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281</v>
      </c>
      <c r="H94" s="30" t="s">
        <v>1004</v>
      </c>
      <c r="I94" s="36">
        <v>44453</v>
      </c>
      <c r="J94" s="30">
        <v>4</v>
      </c>
      <c r="K94" s="30">
        <v>35</v>
      </c>
      <c r="L94" s="30">
        <v>35</v>
      </c>
      <c r="M94" s="23">
        <f t="shared" si="27"/>
        <v>547250</v>
      </c>
      <c r="N94" s="21">
        <f t="shared" si="24"/>
        <v>42350</v>
      </c>
      <c r="O94" s="21">
        <f t="shared" si="25"/>
        <v>74295</v>
      </c>
      <c r="P94" s="109">
        <f>L94*2000</f>
        <v>70000</v>
      </c>
      <c r="Q94" s="14">
        <f t="shared" si="26"/>
        <v>733895</v>
      </c>
      <c r="R94" s="121" t="s">
        <v>94</v>
      </c>
      <c r="S94" s="121" t="s">
        <v>94</v>
      </c>
      <c r="T94" s="121" t="s">
        <v>94</v>
      </c>
      <c r="U94" s="30"/>
    </row>
    <row r="95" spans="1:22" hidden="1" x14ac:dyDescent="0.25">
      <c r="A95" s="26">
        <v>94</v>
      </c>
      <c r="B95" s="30" t="s">
        <v>1065</v>
      </c>
      <c r="C95" s="26" t="s">
        <v>29</v>
      </c>
      <c r="D95" s="30" t="s">
        <v>1069</v>
      </c>
      <c r="E95" s="30" t="s">
        <v>23</v>
      </c>
      <c r="F95" s="30" t="s">
        <v>29</v>
      </c>
      <c r="G95" s="30" t="s">
        <v>713</v>
      </c>
      <c r="H95" s="30" t="s">
        <v>714</v>
      </c>
      <c r="I95" s="36">
        <v>44453</v>
      </c>
      <c r="J95" s="30">
        <v>1</v>
      </c>
      <c r="K95" s="30">
        <v>23</v>
      </c>
      <c r="L95" s="30">
        <v>23</v>
      </c>
      <c r="M95" s="23">
        <f t="shared" si="27"/>
        <v>362450</v>
      </c>
      <c r="N95" s="21">
        <f t="shared" si="24"/>
        <v>27830</v>
      </c>
      <c r="O95" s="21">
        <f t="shared" si="25"/>
        <v>49851</v>
      </c>
      <c r="P95" s="21">
        <f>L95*2100</f>
        <v>48300</v>
      </c>
      <c r="Q95" s="14">
        <f t="shared" si="26"/>
        <v>488431</v>
      </c>
      <c r="R95" s="121">
        <v>488431</v>
      </c>
      <c r="S95" s="128" t="s">
        <v>1073</v>
      </c>
      <c r="T95" s="121" t="s">
        <v>27</v>
      </c>
      <c r="U95" s="30"/>
    </row>
    <row r="96" spans="1:22" x14ac:dyDescent="0.25">
      <c r="A96" s="26">
        <v>95</v>
      </c>
      <c r="B96" s="30" t="s">
        <v>1066</v>
      </c>
      <c r="C96" s="26" t="s">
        <v>29</v>
      </c>
      <c r="D96" s="30" t="s">
        <v>221</v>
      </c>
      <c r="E96" s="30" t="s">
        <v>23</v>
      </c>
      <c r="F96" s="30" t="s">
        <v>29</v>
      </c>
      <c r="G96" s="30" t="s">
        <v>494</v>
      </c>
      <c r="H96" s="30" t="s">
        <v>110</v>
      </c>
      <c r="I96" s="36">
        <v>44453</v>
      </c>
      <c r="J96" s="30">
        <v>1</v>
      </c>
      <c r="K96" s="30">
        <v>37</v>
      </c>
      <c r="L96" s="30">
        <v>37</v>
      </c>
      <c r="M96" s="23">
        <f>((L96*53500)+(L96*53500)*10%)+8250+((0*165))</f>
        <v>2185700</v>
      </c>
      <c r="N96" s="21">
        <f t="shared" si="24"/>
        <v>44770</v>
      </c>
      <c r="O96" s="21">
        <f t="shared" si="25"/>
        <v>78369</v>
      </c>
      <c r="P96" s="21">
        <f>L96*3000</f>
        <v>111000</v>
      </c>
      <c r="Q96" s="14">
        <f t="shared" si="26"/>
        <v>2419839</v>
      </c>
      <c r="R96" s="121" t="s">
        <v>94</v>
      </c>
      <c r="S96" s="121" t="s">
        <v>94</v>
      </c>
      <c r="T96" s="121" t="s">
        <v>94</v>
      </c>
      <c r="U96" s="30"/>
    </row>
    <row r="97" spans="1:21" x14ac:dyDescent="0.25">
      <c r="A97" s="26">
        <v>96</v>
      </c>
      <c r="B97" s="87" t="s">
        <v>1067</v>
      </c>
      <c r="C97" s="185" t="s">
        <v>29</v>
      </c>
      <c r="D97" s="87" t="s">
        <v>815</v>
      </c>
      <c r="E97" s="87" t="s">
        <v>23</v>
      </c>
      <c r="F97" s="87" t="s">
        <v>29</v>
      </c>
      <c r="G97" s="87" t="s">
        <v>231</v>
      </c>
      <c r="H97" s="87" t="s">
        <v>583</v>
      </c>
      <c r="I97" s="119">
        <v>44454</v>
      </c>
      <c r="J97" s="87">
        <v>2</v>
      </c>
      <c r="K97" s="87">
        <v>6</v>
      </c>
      <c r="L97" s="87">
        <v>10</v>
      </c>
      <c r="M97" s="108">
        <f>((L97*24000)+(L97*24000)*10%)+8250+((0*165))</f>
        <v>272250</v>
      </c>
      <c r="N97" s="109">
        <f t="shared" si="24"/>
        <v>12100</v>
      </c>
      <c r="O97" s="109">
        <f t="shared" si="25"/>
        <v>23370</v>
      </c>
      <c r="P97" s="109">
        <f>L97*2000</f>
        <v>20000</v>
      </c>
      <c r="Q97" s="110">
        <f t="shared" si="26"/>
        <v>327720</v>
      </c>
      <c r="R97" s="121" t="s">
        <v>94</v>
      </c>
      <c r="S97" s="121" t="s">
        <v>94</v>
      </c>
      <c r="T97" s="121" t="s">
        <v>94</v>
      </c>
      <c r="U97" s="87"/>
    </row>
    <row r="98" spans="1:21" hidden="1" x14ac:dyDescent="0.25">
      <c r="A98" s="26">
        <v>97</v>
      </c>
      <c r="B98" s="30" t="s">
        <v>1070</v>
      </c>
      <c r="C98" s="26" t="s">
        <v>21</v>
      </c>
      <c r="D98" s="30" t="s">
        <v>1052</v>
      </c>
      <c r="E98" s="30" t="s">
        <v>505</v>
      </c>
      <c r="F98" s="30" t="s">
        <v>21</v>
      </c>
      <c r="G98" s="30" t="s">
        <v>171</v>
      </c>
      <c r="H98" s="30" t="s">
        <v>189</v>
      </c>
      <c r="I98" s="36">
        <v>44453</v>
      </c>
      <c r="J98" s="30">
        <v>4</v>
      </c>
      <c r="K98" s="30">
        <v>36</v>
      </c>
      <c r="L98" s="30">
        <v>40</v>
      </c>
      <c r="M98" s="23">
        <f>((L98*6500)+(L98*6500)*10%)+8250+((0*165))</f>
        <v>294250</v>
      </c>
      <c r="N98" s="21">
        <f>L98*869</f>
        <v>34760</v>
      </c>
      <c r="O98" s="21">
        <f>(L98*1153)+20000</f>
        <v>66120</v>
      </c>
      <c r="P98" s="21">
        <f>L98*1100</f>
        <v>44000</v>
      </c>
      <c r="Q98" s="14">
        <f t="shared" si="26"/>
        <v>439130</v>
      </c>
      <c r="R98" s="121">
        <v>440000</v>
      </c>
      <c r="S98" s="128" t="s">
        <v>1073</v>
      </c>
      <c r="T98" s="121" t="s">
        <v>27</v>
      </c>
      <c r="U98" s="30"/>
    </row>
    <row r="99" spans="1:21" x14ac:dyDescent="0.25">
      <c r="A99" s="26">
        <v>98</v>
      </c>
      <c r="B99" s="30" t="s">
        <v>1067</v>
      </c>
      <c r="C99" s="187" t="s">
        <v>29</v>
      </c>
      <c r="D99" s="30" t="s">
        <v>815</v>
      </c>
      <c r="E99" s="30" t="s">
        <v>23</v>
      </c>
      <c r="F99" s="30" t="s">
        <v>29</v>
      </c>
      <c r="G99" s="30" t="s">
        <v>231</v>
      </c>
      <c r="H99" s="30" t="s">
        <v>583</v>
      </c>
      <c r="I99" s="36">
        <v>44454</v>
      </c>
      <c r="J99" s="30">
        <v>2</v>
      </c>
      <c r="K99" s="30">
        <v>6</v>
      </c>
      <c r="L99" s="30">
        <v>10</v>
      </c>
      <c r="M99" s="108">
        <f t="shared" ref="M99:M122" si="28">((L99*24000)+(L99*24000)*10%)+8250+((0*165))</f>
        <v>272250</v>
      </c>
      <c r="N99" s="109">
        <f t="shared" ref="N99:N122" si="29">L99*1210</f>
        <v>12100</v>
      </c>
      <c r="O99" s="109">
        <f t="shared" ref="O99:O122" si="30">(L99*2037)+3000</f>
        <v>23370</v>
      </c>
      <c r="P99" s="109">
        <f>L99*2000</f>
        <v>20000</v>
      </c>
      <c r="Q99" s="110">
        <f t="shared" ref="Q99:Q122" si="31">SUM(M99:P99)</f>
        <v>327720</v>
      </c>
      <c r="R99" s="121" t="s">
        <v>94</v>
      </c>
      <c r="S99" s="121" t="s">
        <v>94</v>
      </c>
      <c r="T99" s="121" t="s">
        <v>94</v>
      </c>
      <c r="U99" s="87"/>
    </row>
    <row r="100" spans="1:21" x14ac:dyDescent="0.25">
      <c r="A100" s="26">
        <v>99</v>
      </c>
      <c r="B100" s="30" t="s">
        <v>1080</v>
      </c>
      <c r="C100" s="187" t="s">
        <v>29</v>
      </c>
      <c r="D100" s="30" t="s">
        <v>815</v>
      </c>
      <c r="E100" s="30" t="s">
        <v>23</v>
      </c>
      <c r="F100" s="30" t="s">
        <v>29</v>
      </c>
      <c r="G100" s="30" t="s">
        <v>281</v>
      </c>
      <c r="H100" s="30" t="s">
        <v>1004</v>
      </c>
      <c r="I100" s="36">
        <v>44454</v>
      </c>
      <c r="J100" s="30">
        <v>3</v>
      </c>
      <c r="K100" s="30">
        <v>17</v>
      </c>
      <c r="L100" s="30">
        <v>17</v>
      </c>
      <c r="M100" s="108">
        <f>((L100*14000)+(L100*14000)*10%)+8250+((0*165))</f>
        <v>270050</v>
      </c>
      <c r="N100" s="109">
        <f t="shared" si="29"/>
        <v>20570</v>
      </c>
      <c r="O100" s="109">
        <f t="shared" si="30"/>
        <v>37629</v>
      </c>
      <c r="P100" s="109">
        <f>L100*2000</f>
        <v>34000</v>
      </c>
      <c r="Q100" s="110">
        <f t="shared" si="31"/>
        <v>362249</v>
      </c>
      <c r="R100" s="121" t="s">
        <v>94</v>
      </c>
      <c r="S100" s="121" t="s">
        <v>94</v>
      </c>
      <c r="T100" s="121" t="s">
        <v>94</v>
      </c>
      <c r="U100" s="87"/>
    </row>
    <row r="101" spans="1:21" x14ac:dyDescent="0.25">
      <c r="A101" s="26">
        <v>100</v>
      </c>
      <c r="B101" s="30" t="s">
        <v>1081</v>
      </c>
      <c r="C101" s="187" t="s">
        <v>29</v>
      </c>
      <c r="D101" s="30" t="s">
        <v>815</v>
      </c>
      <c r="E101" s="30" t="s">
        <v>23</v>
      </c>
      <c r="F101" s="30" t="s">
        <v>29</v>
      </c>
      <c r="G101" s="30" t="s">
        <v>713</v>
      </c>
      <c r="H101" s="30" t="s">
        <v>714</v>
      </c>
      <c r="I101" s="36">
        <v>44454</v>
      </c>
      <c r="J101" s="30">
        <v>2</v>
      </c>
      <c r="K101" s="30">
        <v>3</v>
      </c>
      <c r="L101" s="30">
        <v>10</v>
      </c>
      <c r="M101" s="108">
        <f>((L101*14000)+(L101*14000)*10%)+8250+((0*165))</f>
        <v>162250</v>
      </c>
      <c r="N101" s="109">
        <f t="shared" si="29"/>
        <v>12100</v>
      </c>
      <c r="O101" s="109">
        <f t="shared" si="30"/>
        <v>23370</v>
      </c>
      <c r="P101" s="109">
        <f>L101*2000</f>
        <v>20000</v>
      </c>
      <c r="Q101" s="110">
        <f t="shared" si="31"/>
        <v>217720</v>
      </c>
      <c r="R101" s="121" t="s">
        <v>94</v>
      </c>
      <c r="S101" s="121" t="s">
        <v>94</v>
      </c>
      <c r="T101" s="121" t="s">
        <v>94</v>
      </c>
      <c r="U101" s="87"/>
    </row>
    <row r="102" spans="1:21" x14ac:dyDescent="0.25">
      <c r="A102" s="26">
        <v>101</v>
      </c>
      <c r="B102" s="30" t="s">
        <v>1082</v>
      </c>
      <c r="C102" s="187" t="s">
        <v>29</v>
      </c>
      <c r="D102" s="30" t="s">
        <v>815</v>
      </c>
      <c r="E102" s="30" t="s">
        <v>23</v>
      </c>
      <c r="F102" s="30" t="s">
        <v>29</v>
      </c>
      <c r="G102" s="30" t="s">
        <v>24</v>
      </c>
      <c r="H102" s="30" t="s">
        <v>128</v>
      </c>
      <c r="I102" s="36">
        <v>44454</v>
      </c>
      <c r="J102" s="30">
        <v>6</v>
      </c>
      <c r="K102" s="30">
        <v>60</v>
      </c>
      <c r="L102" s="30">
        <v>60</v>
      </c>
      <c r="M102" s="108">
        <f>((L102*22000)+(L102*22000)*10%)+8250+((L102*165))</f>
        <v>1470150</v>
      </c>
      <c r="N102" s="109">
        <f t="shared" si="29"/>
        <v>72600</v>
      </c>
      <c r="O102" s="109">
        <f t="shared" si="30"/>
        <v>125220</v>
      </c>
      <c r="P102" s="109">
        <f>L102*2000</f>
        <v>120000</v>
      </c>
      <c r="Q102" s="110">
        <f t="shared" si="31"/>
        <v>1787970</v>
      </c>
      <c r="R102" s="121" t="s">
        <v>94</v>
      </c>
      <c r="S102" s="121" t="s">
        <v>94</v>
      </c>
      <c r="T102" s="121" t="s">
        <v>94</v>
      </c>
      <c r="U102" s="87"/>
    </row>
    <row r="103" spans="1:21" x14ac:dyDescent="0.25">
      <c r="A103" s="26">
        <v>102</v>
      </c>
      <c r="B103" s="30" t="s">
        <v>1083</v>
      </c>
      <c r="C103" s="187" t="s">
        <v>29</v>
      </c>
      <c r="D103" s="30" t="s">
        <v>815</v>
      </c>
      <c r="E103" s="30" t="s">
        <v>23</v>
      </c>
      <c r="F103" s="30" t="s">
        <v>29</v>
      </c>
      <c r="G103" s="30" t="s">
        <v>112</v>
      </c>
      <c r="H103" s="30" t="s">
        <v>1003</v>
      </c>
      <c r="I103" s="36">
        <v>44454</v>
      </c>
      <c r="J103" s="30">
        <v>2</v>
      </c>
      <c r="K103" s="30">
        <v>18</v>
      </c>
      <c r="L103" s="30">
        <v>18</v>
      </c>
      <c r="M103" s="108">
        <f>((L103*41500)+(L103*41500)*10%)+8250+((L103*165))</f>
        <v>832920</v>
      </c>
      <c r="N103" s="109">
        <f t="shared" si="29"/>
        <v>21780</v>
      </c>
      <c r="O103" s="109">
        <f t="shared" si="30"/>
        <v>39666</v>
      </c>
      <c r="P103" s="109">
        <f>L103*2000</f>
        <v>36000</v>
      </c>
      <c r="Q103" s="110">
        <f t="shared" si="31"/>
        <v>930366</v>
      </c>
      <c r="R103" s="121" t="s">
        <v>94</v>
      </c>
      <c r="S103" s="121" t="s">
        <v>94</v>
      </c>
      <c r="T103" s="121" t="s">
        <v>94</v>
      </c>
      <c r="U103" s="87"/>
    </row>
    <row r="104" spans="1:21" x14ac:dyDescent="0.25">
      <c r="A104" s="26">
        <v>103</v>
      </c>
      <c r="B104" s="30" t="s">
        <v>1084</v>
      </c>
      <c r="C104" s="187" t="s">
        <v>29</v>
      </c>
      <c r="D104" s="30" t="s">
        <v>815</v>
      </c>
      <c r="E104" s="30" t="s">
        <v>23</v>
      </c>
      <c r="F104" s="30" t="s">
        <v>29</v>
      </c>
      <c r="G104" s="30" t="s">
        <v>76</v>
      </c>
      <c r="H104" s="30" t="s">
        <v>819</v>
      </c>
      <c r="I104" s="36">
        <v>44454</v>
      </c>
      <c r="J104" s="30">
        <v>4</v>
      </c>
      <c r="K104" s="30">
        <v>71</v>
      </c>
      <c r="L104" s="30">
        <v>71</v>
      </c>
      <c r="M104" s="108">
        <f>((L104*19000)+(L104*19000)*10%)+8250+((L104*165))</f>
        <v>1503865</v>
      </c>
      <c r="N104" s="109">
        <f t="shared" si="29"/>
        <v>85910</v>
      </c>
      <c r="O104" s="109">
        <f t="shared" si="30"/>
        <v>147627</v>
      </c>
      <c r="P104" s="109">
        <f>L104*2000</f>
        <v>142000</v>
      </c>
      <c r="Q104" s="110">
        <f t="shared" si="31"/>
        <v>1879402</v>
      </c>
      <c r="R104" s="121" t="s">
        <v>94</v>
      </c>
      <c r="S104" s="121" t="s">
        <v>94</v>
      </c>
      <c r="T104" s="121" t="s">
        <v>94</v>
      </c>
      <c r="U104" s="87"/>
    </row>
    <row r="105" spans="1:21" x14ac:dyDescent="0.25">
      <c r="A105" s="26">
        <v>104</v>
      </c>
      <c r="B105" s="30" t="s">
        <v>1085</v>
      </c>
      <c r="C105" s="187" t="s">
        <v>29</v>
      </c>
      <c r="D105" s="30" t="s">
        <v>815</v>
      </c>
      <c r="E105" s="30" t="s">
        <v>23</v>
      </c>
      <c r="F105" s="30" t="s">
        <v>29</v>
      </c>
      <c r="G105" s="30" t="s">
        <v>50</v>
      </c>
      <c r="H105" s="30" t="s">
        <v>58</v>
      </c>
      <c r="I105" s="36">
        <v>44454</v>
      </c>
      <c r="J105" s="30">
        <v>5</v>
      </c>
      <c r="K105" s="30">
        <v>56</v>
      </c>
      <c r="L105" s="30">
        <v>60</v>
      </c>
      <c r="M105" s="108">
        <f>((L105*31000)+(L105*31000)*10%)+8250+((0*165))</f>
        <v>2054250</v>
      </c>
      <c r="N105" s="109">
        <f t="shared" si="29"/>
        <v>72600</v>
      </c>
      <c r="O105" s="109">
        <f t="shared" si="30"/>
        <v>125220</v>
      </c>
      <c r="P105" s="109">
        <f>L105*2000</f>
        <v>120000</v>
      </c>
      <c r="Q105" s="110">
        <f t="shared" si="31"/>
        <v>2372070</v>
      </c>
      <c r="R105" s="121" t="s">
        <v>94</v>
      </c>
      <c r="S105" s="121" t="s">
        <v>94</v>
      </c>
      <c r="T105" s="121" t="s">
        <v>94</v>
      </c>
      <c r="U105" s="87"/>
    </row>
    <row r="106" spans="1:21" x14ac:dyDescent="0.25">
      <c r="A106" s="26">
        <v>105</v>
      </c>
      <c r="B106" s="30" t="s">
        <v>1086</v>
      </c>
      <c r="C106" s="187" t="s">
        <v>29</v>
      </c>
      <c r="D106" s="30" t="s">
        <v>815</v>
      </c>
      <c r="E106" s="30" t="s">
        <v>23</v>
      </c>
      <c r="F106" s="30" t="s">
        <v>29</v>
      </c>
      <c r="G106" s="30" t="s">
        <v>60</v>
      </c>
      <c r="H106" s="30" t="s">
        <v>816</v>
      </c>
      <c r="I106" s="36">
        <v>44454</v>
      </c>
      <c r="J106" s="30">
        <v>2</v>
      </c>
      <c r="K106" s="30">
        <v>26</v>
      </c>
      <c r="L106" s="30">
        <v>26</v>
      </c>
      <c r="M106" s="108">
        <f>((L106*14500)+(L106*14500)*10%)+8250+((0*165))</f>
        <v>422950</v>
      </c>
      <c r="N106" s="109">
        <f t="shared" si="29"/>
        <v>31460</v>
      </c>
      <c r="O106" s="109">
        <f t="shared" si="30"/>
        <v>55962</v>
      </c>
      <c r="P106" s="109">
        <f>L106*2000</f>
        <v>52000</v>
      </c>
      <c r="Q106" s="110">
        <f t="shared" si="31"/>
        <v>562372</v>
      </c>
      <c r="R106" s="121" t="s">
        <v>94</v>
      </c>
      <c r="S106" s="121" t="s">
        <v>94</v>
      </c>
      <c r="T106" s="121" t="s">
        <v>94</v>
      </c>
      <c r="U106" s="87"/>
    </row>
    <row r="107" spans="1:21" x14ac:dyDescent="0.25">
      <c r="A107" s="26">
        <v>106</v>
      </c>
      <c r="B107" s="30" t="s">
        <v>1087</v>
      </c>
      <c r="C107" s="187" t="s">
        <v>29</v>
      </c>
      <c r="D107" s="30" t="s">
        <v>815</v>
      </c>
      <c r="E107" s="30" t="s">
        <v>23</v>
      </c>
      <c r="F107" s="30" t="s">
        <v>29</v>
      </c>
      <c r="G107" s="30" t="s">
        <v>184</v>
      </c>
      <c r="H107" s="30" t="s">
        <v>219</v>
      </c>
      <c r="I107" s="36">
        <v>44454</v>
      </c>
      <c r="J107" s="30">
        <v>13</v>
      </c>
      <c r="K107" s="30">
        <v>107</v>
      </c>
      <c r="L107" s="30">
        <v>107</v>
      </c>
      <c r="M107" s="108">
        <f>((L107*14000)+(L107*14000)*10%)+8250+((0*165))</f>
        <v>1656050</v>
      </c>
      <c r="N107" s="109">
        <f t="shared" si="29"/>
        <v>129470</v>
      </c>
      <c r="O107" s="109">
        <f t="shared" si="30"/>
        <v>220959</v>
      </c>
      <c r="P107" s="109">
        <f>L107*2000</f>
        <v>214000</v>
      </c>
      <c r="Q107" s="110">
        <f t="shared" si="31"/>
        <v>2220479</v>
      </c>
      <c r="R107" s="121" t="s">
        <v>94</v>
      </c>
      <c r="S107" s="121" t="s">
        <v>94</v>
      </c>
      <c r="T107" s="121" t="s">
        <v>94</v>
      </c>
      <c r="U107" s="87"/>
    </row>
    <row r="108" spans="1:21" x14ac:dyDescent="0.25">
      <c r="A108" s="26">
        <v>107</v>
      </c>
      <c r="B108" s="30" t="s">
        <v>1088</v>
      </c>
      <c r="C108" s="187" t="s">
        <v>29</v>
      </c>
      <c r="D108" s="30" t="s">
        <v>815</v>
      </c>
      <c r="E108" s="30" t="s">
        <v>23</v>
      </c>
      <c r="F108" s="30" t="s">
        <v>29</v>
      </c>
      <c r="G108" s="30" t="s">
        <v>210</v>
      </c>
      <c r="H108" s="30" t="s">
        <v>211</v>
      </c>
      <c r="I108" s="36">
        <v>44454</v>
      </c>
      <c r="J108" s="30">
        <v>1</v>
      </c>
      <c r="K108" s="30">
        <v>36</v>
      </c>
      <c r="L108" s="30">
        <v>36</v>
      </c>
      <c r="M108" s="108">
        <f>((L108*8500)+(L108*8500)*10%)+8250+((0*165))</f>
        <v>344850</v>
      </c>
      <c r="N108" s="109">
        <f t="shared" si="29"/>
        <v>43560</v>
      </c>
      <c r="O108" s="109">
        <f t="shared" si="30"/>
        <v>76332</v>
      </c>
      <c r="P108" s="109">
        <f>L108*2000</f>
        <v>72000</v>
      </c>
      <c r="Q108" s="110">
        <f t="shared" si="31"/>
        <v>536742</v>
      </c>
      <c r="R108" s="121" t="s">
        <v>94</v>
      </c>
      <c r="S108" s="121" t="s">
        <v>94</v>
      </c>
      <c r="T108" s="121" t="s">
        <v>94</v>
      </c>
      <c r="U108" s="87"/>
    </row>
    <row r="109" spans="1:21" x14ac:dyDescent="0.25">
      <c r="A109" s="26">
        <v>108</v>
      </c>
      <c r="B109" s="30" t="s">
        <v>1089</v>
      </c>
      <c r="C109" s="187" t="s">
        <v>29</v>
      </c>
      <c r="D109" s="30" t="s">
        <v>491</v>
      </c>
      <c r="E109" s="30" t="s">
        <v>23</v>
      </c>
      <c r="F109" s="30" t="s">
        <v>29</v>
      </c>
      <c r="G109" s="30" t="s">
        <v>112</v>
      </c>
      <c r="H109" s="30" t="s">
        <v>113</v>
      </c>
      <c r="I109" s="36">
        <v>44454</v>
      </c>
      <c r="J109" s="30">
        <v>1</v>
      </c>
      <c r="K109" s="30">
        <v>3</v>
      </c>
      <c r="L109" s="30">
        <v>10</v>
      </c>
      <c r="M109" s="108">
        <f>((L109*41500)+(L109*41500)*10%)+8250+((L109*165))</f>
        <v>466400</v>
      </c>
      <c r="N109" s="109">
        <f t="shared" si="29"/>
        <v>12100</v>
      </c>
      <c r="O109" s="109">
        <f t="shared" si="30"/>
        <v>23370</v>
      </c>
      <c r="P109" s="109">
        <f t="shared" ref="P99:P122" si="32">L109*1100</f>
        <v>11000</v>
      </c>
      <c r="Q109" s="110">
        <f t="shared" si="31"/>
        <v>512870</v>
      </c>
      <c r="R109" s="121" t="s">
        <v>94</v>
      </c>
      <c r="S109" s="121" t="s">
        <v>94</v>
      </c>
      <c r="T109" s="121" t="s">
        <v>94</v>
      </c>
      <c r="U109" s="87"/>
    </row>
    <row r="110" spans="1:21" x14ac:dyDescent="0.25">
      <c r="A110" s="26">
        <v>109</v>
      </c>
      <c r="B110" s="30" t="s">
        <v>1090</v>
      </c>
      <c r="C110" s="187" t="s">
        <v>29</v>
      </c>
      <c r="D110" s="30" t="s">
        <v>491</v>
      </c>
      <c r="E110" s="30" t="s">
        <v>23</v>
      </c>
      <c r="F110" s="30" t="s">
        <v>29</v>
      </c>
      <c r="G110" s="30" t="s">
        <v>166</v>
      </c>
      <c r="H110" s="30" t="s">
        <v>1103</v>
      </c>
      <c r="I110" s="36">
        <v>44454</v>
      </c>
      <c r="J110" s="30">
        <v>10</v>
      </c>
      <c r="K110" s="30">
        <v>166</v>
      </c>
      <c r="L110" s="30">
        <v>166</v>
      </c>
      <c r="M110" s="108">
        <f>((L110*9000)+(L110*9000)*10%)+8250+((0*165))</f>
        <v>1651650</v>
      </c>
      <c r="N110" s="109">
        <f t="shared" si="29"/>
        <v>200860</v>
      </c>
      <c r="O110" s="109">
        <f t="shared" si="30"/>
        <v>341142</v>
      </c>
      <c r="P110" s="109">
        <f t="shared" si="32"/>
        <v>182600</v>
      </c>
      <c r="Q110" s="110">
        <f t="shared" si="31"/>
        <v>2376252</v>
      </c>
      <c r="R110" s="121" t="s">
        <v>94</v>
      </c>
      <c r="S110" s="121" t="s">
        <v>94</v>
      </c>
      <c r="T110" s="121" t="s">
        <v>94</v>
      </c>
      <c r="U110" s="87"/>
    </row>
    <row r="111" spans="1:21" x14ac:dyDescent="0.25">
      <c r="A111" s="26">
        <v>110</v>
      </c>
      <c r="B111" s="30" t="s">
        <v>1091</v>
      </c>
      <c r="C111" s="187" t="s">
        <v>29</v>
      </c>
      <c r="D111" s="30" t="s">
        <v>491</v>
      </c>
      <c r="E111" s="30" t="s">
        <v>23</v>
      </c>
      <c r="F111" s="30" t="s">
        <v>29</v>
      </c>
      <c r="G111" s="30" t="s">
        <v>241</v>
      </c>
      <c r="H111" s="30" t="s">
        <v>1104</v>
      </c>
      <c r="I111" s="36">
        <v>44454</v>
      </c>
      <c r="J111" s="30">
        <v>1</v>
      </c>
      <c r="K111" s="30">
        <v>12</v>
      </c>
      <c r="L111" s="30">
        <v>12</v>
      </c>
      <c r="M111" s="108">
        <f>((L111*27500)+(L111*27500)*10%)+8250+((L111*165))</f>
        <v>373230</v>
      </c>
      <c r="N111" s="109">
        <f t="shared" si="29"/>
        <v>14520</v>
      </c>
      <c r="O111" s="109">
        <f t="shared" si="30"/>
        <v>27444</v>
      </c>
      <c r="P111" s="109">
        <f t="shared" si="32"/>
        <v>13200</v>
      </c>
      <c r="Q111" s="110">
        <f t="shared" si="31"/>
        <v>428394</v>
      </c>
      <c r="R111" s="121" t="s">
        <v>94</v>
      </c>
      <c r="S111" s="121" t="s">
        <v>94</v>
      </c>
      <c r="T111" s="121" t="s">
        <v>94</v>
      </c>
      <c r="U111" s="87"/>
    </row>
    <row r="112" spans="1:21" x14ac:dyDescent="0.25">
      <c r="A112" s="26">
        <v>111</v>
      </c>
      <c r="B112" s="30" t="s">
        <v>1092</v>
      </c>
      <c r="C112" s="187" t="s">
        <v>29</v>
      </c>
      <c r="D112" s="30" t="s">
        <v>30</v>
      </c>
      <c r="E112" s="30" t="s">
        <v>23</v>
      </c>
      <c r="F112" s="30" t="s">
        <v>29</v>
      </c>
      <c r="G112" s="30" t="s">
        <v>35</v>
      </c>
      <c r="H112" s="30" t="s">
        <v>290</v>
      </c>
      <c r="I112" s="36">
        <v>44454</v>
      </c>
      <c r="J112" s="30">
        <v>3</v>
      </c>
      <c r="K112" s="30">
        <v>76</v>
      </c>
      <c r="L112" s="30">
        <v>76</v>
      </c>
      <c r="M112" s="108">
        <f>((L112*10000)+(L112*10000)*10%)+8250+((0*165))</f>
        <v>844250</v>
      </c>
      <c r="N112" s="109">
        <f t="shared" si="29"/>
        <v>91960</v>
      </c>
      <c r="O112" s="109">
        <f t="shared" si="30"/>
        <v>157812</v>
      </c>
      <c r="P112" s="109">
        <f>L112*2100</f>
        <v>159600</v>
      </c>
      <c r="Q112" s="110">
        <f t="shared" si="31"/>
        <v>1253622</v>
      </c>
      <c r="R112" s="121" t="s">
        <v>94</v>
      </c>
      <c r="S112" s="121" t="s">
        <v>94</v>
      </c>
      <c r="T112" s="121" t="s">
        <v>94</v>
      </c>
      <c r="U112" s="87"/>
    </row>
    <row r="113" spans="1:21" x14ac:dyDescent="0.25">
      <c r="A113" s="26">
        <v>112</v>
      </c>
      <c r="B113" s="30" t="s">
        <v>1093</v>
      </c>
      <c r="C113" s="187" t="s">
        <v>29</v>
      </c>
      <c r="D113" s="30" t="s">
        <v>574</v>
      </c>
      <c r="E113" s="30" t="s">
        <v>23</v>
      </c>
      <c r="F113" s="30" t="s">
        <v>29</v>
      </c>
      <c r="G113" s="30" t="s">
        <v>50</v>
      </c>
      <c r="H113" s="30" t="s">
        <v>58</v>
      </c>
      <c r="I113" s="36">
        <v>44454</v>
      </c>
      <c r="J113" s="30">
        <v>3</v>
      </c>
      <c r="K113" s="30">
        <v>46</v>
      </c>
      <c r="L113" s="30">
        <v>46</v>
      </c>
      <c r="M113" s="108">
        <f>((L113*31000)+(L113*31000)*10%)+8250+((0*165))</f>
        <v>1576850</v>
      </c>
      <c r="N113" s="109">
        <f t="shared" si="29"/>
        <v>55660</v>
      </c>
      <c r="O113" s="109">
        <f t="shared" si="30"/>
        <v>96702</v>
      </c>
      <c r="P113" s="109">
        <f>L113*2500</f>
        <v>115000</v>
      </c>
      <c r="Q113" s="110">
        <f t="shared" si="31"/>
        <v>1844212</v>
      </c>
      <c r="R113" s="121" t="s">
        <v>94</v>
      </c>
      <c r="S113" s="121" t="s">
        <v>94</v>
      </c>
      <c r="T113" s="121" t="s">
        <v>94</v>
      </c>
      <c r="U113" s="87"/>
    </row>
    <row r="114" spans="1:21" x14ac:dyDescent="0.25">
      <c r="A114" s="26">
        <v>113</v>
      </c>
      <c r="B114" s="30" t="s">
        <v>1094</v>
      </c>
      <c r="C114" s="187" t="s">
        <v>29</v>
      </c>
      <c r="D114" s="30" t="s">
        <v>815</v>
      </c>
      <c r="E114" s="30" t="s">
        <v>23</v>
      </c>
      <c r="F114" s="30" t="s">
        <v>29</v>
      </c>
      <c r="G114" s="30" t="s">
        <v>713</v>
      </c>
      <c r="H114" s="30" t="s">
        <v>714</v>
      </c>
      <c r="I114" s="36">
        <v>44455</v>
      </c>
      <c r="J114" s="30">
        <v>2</v>
      </c>
      <c r="K114" s="30">
        <v>10</v>
      </c>
      <c r="L114" s="30">
        <v>10</v>
      </c>
      <c r="M114" s="108">
        <f>((L114*14000)+(L114*14000)*10%)+8250+((0*165))</f>
        <v>162250</v>
      </c>
      <c r="N114" s="109">
        <f t="shared" si="29"/>
        <v>12100</v>
      </c>
      <c r="O114" s="109">
        <f t="shared" si="30"/>
        <v>23370</v>
      </c>
      <c r="P114" s="109">
        <f>L114*2000</f>
        <v>20000</v>
      </c>
      <c r="Q114" s="110">
        <f t="shared" si="31"/>
        <v>217720</v>
      </c>
      <c r="R114" s="121" t="s">
        <v>94</v>
      </c>
      <c r="S114" s="121" t="s">
        <v>94</v>
      </c>
      <c r="T114" s="121" t="s">
        <v>94</v>
      </c>
      <c r="U114" s="87"/>
    </row>
    <row r="115" spans="1:21" x14ac:dyDescent="0.25">
      <c r="A115" s="26">
        <v>114</v>
      </c>
      <c r="B115" s="30" t="s">
        <v>1095</v>
      </c>
      <c r="C115" s="187" t="s">
        <v>29</v>
      </c>
      <c r="D115" s="30" t="s">
        <v>815</v>
      </c>
      <c r="E115" s="30" t="s">
        <v>23</v>
      </c>
      <c r="F115" s="30" t="s">
        <v>29</v>
      </c>
      <c r="G115" s="30" t="s">
        <v>184</v>
      </c>
      <c r="H115" s="30" t="s">
        <v>724</v>
      </c>
      <c r="I115" s="36">
        <v>44455</v>
      </c>
      <c r="J115" s="30">
        <v>11</v>
      </c>
      <c r="K115" s="30">
        <v>187</v>
      </c>
      <c r="L115" s="30">
        <v>187</v>
      </c>
      <c r="M115" s="108">
        <f>((L115*14000)+(L115*14000)*10%)+8250+((0*165))</f>
        <v>2888050</v>
      </c>
      <c r="N115" s="109">
        <f t="shared" si="29"/>
        <v>226270</v>
      </c>
      <c r="O115" s="109">
        <f t="shared" si="30"/>
        <v>383919</v>
      </c>
      <c r="P115" s="109">
        <f>L115*2000</f>
        <v>374000</v>
      </c>
      <c r="Q115" s="110">
        <f t="shared" si="31"/>
        <v>3872239</v>
      </c>
      <c r="R115" s="121" t="s">
        <v>94</v>
      </c>
      <c r="S115" s="121" t="s">
        <v>94</v>
      </c>
      <c r="T115" s="121" t="s">
        <v>94</v>
      </c>
      <c r="U115" s="87"/>
    </row>
    <row r="116" spans="1:21" x14ac:dyDescent="0.25">
      <c r="A116" s="26">
        <v>115</v>
      </c>
      <c r="B116" s="30" t="s">
        <v>1096</v>
      </c>
      <c r="C116" s="187" t="s">
        <v>29</v>
      </c>
      <c r="D116" s="30" t="s">
        <v>815</v>
      </c>
      <c r="E116" s="30" t="s">
        <v>23</v>
      </c>
      <c r="F116" s="30" t="s">
        <v>29</v>
      </c>
      <c r="G116" s="30" t="s">
        <v>112</v>
      </c>
      <c r="H116" s="30" t="s">
        <v>1003</v>
      </c>
      <c r="I116" s="36">
        <v>44455</v>
      </c>
      <c r="J116" s="30">
        <v>2</v>
      </c>
      <c r="K116" s="30">
        <v>22</v>
      </c>
      <c r="L116" s="30">
        <v>22</v>
      </c>
      <c r="M116" s="108">
        <f>((L116*41500)+(L116*41500)*10%)+8250+((L116*165))</f>
        <v>1016180</v>
      </c>
      <c r="N116" s="109">
        <f t="shared" si="29"/>
        <v>26620</v>
      </c>
      <c r="O116" s="109">
        <f t="shared" si="30"/>
        <v>47814</v>
      </c>
      <c r="P116" s="109">
        <f>L116*2000</f>
        <v>44000</v>
      </c>
      <c r="Q116" s="110">
        <f t="shared" si="31"/>
        <v>1134614</v>
      </c>
      <c r="R116" s="121" t="s">
        <v>94</v>
      </c>
      <c r="S116" s="121" t="s">
        <v>94</v>
      </c>
      <c r="T116" s="121" t="s">
        <v>94</v>
      </c>
      <c r="U116" s="87"/>
    </row>
    <row r="117" spans="1:21" x14ac:dyDescent="0.25">
      <c r="A117" s="26">
        <v>116</v>
      </c>
      <c r="B117" s="30" t="s">
        <v>1097</v>
      </c>
      <c r="C117" s="187" t="s">
        <v>29</v>
      </c>
      <c r="D117" s="30" t="s">
        <v>815</v>
      </c>
      <c r="E117" s="30" t="s">
        <v>23</v>
      </c>
      <c r="F117" s="30" t="s">
        <v>29</v>
      </c>
      <c r="G117" s="30" t="s">
        <v>60</v>
      </c>
      <c r="H117" s="30" t="s">
        <v>816</v>
      </c>
      <c r="I117" s="36">
        <v>44455</v>
      </c>
      <c r="J117" s="30">
        <v>1</v>
      </c>
      <c r="K117" s="30">
        <v>10</v>
      </c>
      <c r="L117" s="30">
        <v>10</v>
      </c>
      <c r="M117" s="108">
        <f>((L117*14500)+(L117*14500)*10%)+8250+((0*165))</f>
        <v>167750</v>
      </c>
      <c r="N117" s="109">
        <f t="shared" si="29"/>
        <v>12100</v>
      </c>
      <c r="O117" s="109">
        <f t="shared" si="30"/>
        <v>23370</v>
      </c>
      <c r="P117" s="109">
        <f>L117*2000</f>
        <v>20000</v>
      </c>
      <c r="Q117" s="110">
        <f t="shared" si="31"/>
        <v>223220</v>
      </c>
      <c r="R117" s="121" t="s">
        <v>94</v>
      </c>
      <c r="S117" s="121" t="s">
        <v>94</v>
      </c>
      <c r="T117" s="121" t="s">
        <v>94</v>
      </c>
      <c r="U117" s="87"/>
    </row>
    <row r="118" spans="1:21" x14ac:dyDescent="0.25">
      <c r="A118" s="26">
        <v>117</v>
      </c>
      <c r="B118" s="30" t="s">
        <v>1098</v>
      </c>
      <c r="C118" s="187" t="s">
        <v>29</v>
      </c>
      <c r="D118" s="30" t="s">
        <v>815</v>
      </c>
      <c r="E118" s="30" t="s">
        <v>23</v>
      </c>
      <c r="F118" s="30" t="s">
        <v>29</v>
      </c>
      <c r="G118" s="30" t="s">
        <v>72</v>
      </c>
      <c r="H118" s="30" t="s">
        <v>1105</v>
      </c>
      <c r="I118" s="36">
        <v>44455</v>
      </c>
      <c r="J118" s="30">
        <v>9</v>
      </c>
      <c r="K118" s="30">
        <v>111</v>
      </c>
      <c r="L118" s="30">
        <v>111</v>
      </c>
      <c r="M118" s="108">
        <f>((L118*16500)+(L118*16500)*10%)+8250+((0*165))</f>
        <v>2022900</v>
      </c>
      <c r="N118" s="109">
        <f t="shared" si="29"/>
        <v>134310</v>
      </c>
      <c r="O118" s="109">
        <f t="shared" si="30"/>
        <v>229107</v>
      </c>
      <c r="P118" s="109">
        <f>L118*2000</f>
        <v>222000</v>
      </c>
      <c r="Q118" s="110">
        <f t="shared" si="31"/>
        <v>2608317</v>
      </c>
      <c r="R118" s="121" t="s">
        <v>94</v>
      </c>
      <c r="S118" s="121" t="s">
        <v>94</v>
      </c>
      <c r="T118" s="121" t="s">
        <v>94</v>
      </c>
      <c r="U118" s="87"/>
    </row>
    <row r="119" spans="1:21" x14ac:dyDescent="0.25">
      <c r="A119" s="26">
        <v>118</v>
      </c>
      <c r="B119" s="30" t="s">
        <v>1099</v>
      </c>
      <c r="C119" s="187" t="s">
        <v>29</v>
      </c>
      <c r="D119" s="30" t="s">
        <v>815</v>
      </c>
      <c r="E119" s="30" t="s">
        <v>23</v>
      </c>
      <c r="F119" s="30" t="s">
        <v>29</v>
      </c>
      <c r="G119" s="30" t="s">
        <v>69</v>
      </c>
      <c r="H119" s="30" t="s">
        <v>488</v>
      </c>
      <c r="I119" s="36">
        <v>44455</v>
      </c>
      <c r="J119" s="30">
        <v>2</v>
      </c>
      <c r="K119" s="30">
        <v>26</v>
      </c>
      <c r="L119" s="30">
        <v>26</v>
      </c>
      <c r="M119" s="108">
        <f>((L119*11000)+(L119*11000)*10%)+8250+((0*165))</f>
        <v>322850</v>
      </c>
      <c r="N119" s="109">
        <f t="shared" si="29"/>
        <v>31460</v>
      </c>
      <c r="O119" s="109">
        <f t="shared" si="30"/>
        <v>55962</v>
      </c>
      <c r="P119" s="109">
        <f>L119*2000</f>
        <v>52000</v>
      </c>
      <c r="Q119" s="110">
        <f t="shared" si="31"/>
        <v>462272</v>
      </c>
      <c r="R119" s="121" t="s">
        <v>94</v>
      </c>
      <c r="S119" s="121" t="s">
        <v>94</v>
      </c>
      <c r="T119" s="121" t="s">
        <v>94</v>
      </c>
      <c r="U119" s="87"/>
    </row>
    <row r="120" spans="1:21" x14ac:dyDescent="0.25">
      <c r="A120" s="26">
        <v>119</v>
      </c>
      <c r="B120" s="30" t="s">
        <v>1100</v>
      </c>
      <c r="C120" s="187" t="s">
        <v>29</v>
      </c>
      <c r="D120" s="30" t="s">
        <v>815</v>
      </c>
      <c r="E120" s="30" t="s">
        <v>23</v>
      </c>
      <c r="F120" s="30" t="s">
        <v>29</v>
      </c>
      <c r="G120" s="30" t="s">
        <v>210</v>
      </c>
      <c r="H120" s="30" t="s">
        <v>211</v>
      </c>
      <c r="I120" s="36">
        <v>44455</v>
      </c>
      <c r="J120" s="30">
        <v>3</v>
      </c>
      <c r="K120" s="30">
        <v>23</v>
      </c>
      <c r="L120" s="30">
        <v>23</v>
      </c>
      <c r="M120" s="108">
        <f>((L120*8500)+(L120*8500)*10%)+8250+((0*165))</f>
        <v>223300</v>
      </c>
      <c r="N120" s="109">
        <f t="shared" si="29"/>
        <v>27830</v>
      </c>
      <c r="O120" s="109">
        <f t="shared" si="30"/>
        <v>49851</v>
      </c>
      <c r="P120" s="109">
        <f>L120*2000</f>
        <v>46000</v>
      </c>
      <c r="Q120" s="110">
        <f t="shared" si="31"/>
        <v>346981</v>
      </c>
      <c r="R120" s="121" t="s">
        <v>94</v>
      </c>
      <c r="S120" s="121" t="s">
        <v>94</v>
      </c>
      <c r="T120" s="121" t="s">
        <v>94</v>
      </c>
      <c r="U120" s="87"/>
    </row>
    <row r="121" spans="1:21" x14ac:dyDescent="0.25">
      <c r="A121" s="26">
        <v>120</v>
      </c>
      <c r="B121" s="30" t="s">
        <v>1101</v>
      </c>
      <c r="C121" s="187" t="s">
        <v>29</v>
      </c>
      <c r="D121" s="30" t="s">
        <v>1106</v>
      </c>
      <c r="E121" s="30" t="s">
        <v>23</v>
      </c>
      <c r="F121" s="30" t="s">
        <v>29</v>
      </c>
      <c r="G121" s="30" t="s">
        <v>69</v>
      </c>
      <c r="H121" s="30" t="s">
        <v>70</v>
      </c>
      <c r="I121" s="36">
        <v>44455</v>
      </c>
      <c r="J121" s="30">
        <v>6</v>
      </c>
      <c r="K121" s="30">
        <v>90</v>
      </c>
      <c r="L121" s="30">
        <v>90</v>
      </c>
      <c r="M121" s="108">
        <f>((L121*11000)+(L121*11000)*10%)+8250+((0*165))</f>
        <v>1097250</v>
      </c>
      <c r="N121" s="109">
        <f t="shared" si="29"/>
        <v>108900</v>
      </c>
      <c r="O121" s="109">
        <f t="shared" si="30"/>
        <v>186330</v>
      </c>
      <c r="P121" s="109">
        <f t="shared" si="32"/>
        <v>99000</v>
      </c>
      <c r="Q121" s="110">
        <f t="shared" si="31"/>
        <v>1491480</v>
      </c>
      <c r="R121" s="121" t="s">
        <v>94</v>
      </c>
      <c r="S121" s="121" t="s">
        <v>94</v>
      </c>
      <c r="T121" s="121" t="s">
        <v>94</v>
      </c>
      <c r="U121" s="87"/>
    </row>
    <row r="122" spans="1:21" x14ac:dyDescent="0.25">
      <c r="A122" s="26">
        <v>121</v>
      </c>
      <c r="B122" s="30" t="s">
        <v>1102</v>
      </c>
      <c r="C122" s="26" t="s">
        <v>29</v>
      </c>
      <c r="D122" s="30" t="s">
        <v>491</v>
      </c>
      <c r="E122" s="30" t="s">
        <v>23</v>
      </c>
      <c r="F122" s="30" t="s">
        <v>29</v>
      </c>
      <c r="G122" s="30" t="s">
        <v>24</v>
      </c>
      <c r="H122" s="30" t="s">
        <v>502</v>
      </c>
      <c r="I122" s="36">
        <v>44455</v>
      </c>
      <c r="J122" s="30">
        <v>1</v>
      </c>
      <c r="K122" s="30">
        <v>18</v>
      </c>
      <c r="L122" s="30">
        <v>18</v>
      </c>
      <c r="M122" s="23">
        <f>((L122*22000)+(L122*22000)*10%)+8250+((L122*165))</f>
        <v>446820</v>
      </c>
      <c r="N122" s="21">
        <f t="shared" si="29"/>
        <v>21780</v>
      </c>
      <c r="O122" s="21">
        <f t="shared" si="30"/>
        <v>39666</v>
      </c>
      <c r="P122" s="21">
        <f t="shared" si="32"/>
        <v>19800</v>
      </c>
      <c r="Q122" s="14">
        <f t="shared" si="31"/>
        <v>528066</v>
      </c>
      <c r="R122" s="122" t="s">
        <v>94</v>
      </c>
      <c r="S122" s="122" t="s">
        <v>94</v>
      </c>
      <c r="T122" s="122" t="s">
        <v>94</v>
      </c>
      <c r="U122" s="30"/>
    </row>
  </sheetData>
  <autoFilter ref="A1:V122">
    <filterColumn colId="17">
      <filters>
        <filter val="Outstanding"/>
      </filters>
    </filterColumn>
    <sortState ref="A2:V100">
      <sortCondition ref="I1:I100"/>
    </sortState>
  </autoFilter>
  <mergeCells count="5">
    <mergeCell ref="S60:S64"/>
    <mergeCell ref="T60:T64"/>
    <mergeCell ref="U60:U64"/>
    <mergeCell ref="R60:R62"/>
    <mergeCell ref="R63:R6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Januari nGen</vt:lpstr>
      <vt:lpstr>Februari nGen</vt:lpstr>
      <vt:lpstr>Maret nGen</vt:lpstr>
      <vt:lpstr>April nGen</vt:lpstr>
      <vt:lpstr>Mei nGen </vt:lpstr>
      <vt:lpstr>Juni nGen</vt:lpstr>
      <vt:lpstr>Juli nGen</vt:lpstr>
      <vt:lpstr>Agusuts nGen</vt:lpstr>
      <vt:lpstr>September nGen</vt:lpstr>
      <vt:lpstr>APLOG</vt:lpstr>
      <vt:lpstr>Projek</vt:lpstr>
      <vt:lpstr>Rekap Outstanding</vt:lpstr>
      <vt:lpstr>DIMAS 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cp:lastPrinted>2021-06-29T04:13:21Z</cp:lastPrinted>
  <dcterms:created xsi:type="dcterms:W3CDTF">2021-03-03T14:19:25Z</dcterms:created>
  <dcterms:modified xsi:type="dcterms:W3CDTF">2021-09-16T08:59:19Z</dcterms:modified>
</cp:coreProperties>
</file>