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kar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6" i="6" l="1"/>
  <c r="C17" i="6"/>
  <c r="C18" i="6"/>
  <c r="C19" i="6"/>
  <c r="C20" i="6"/>
  <c r="C21" i="6"/>
  <c r="C22" i="6"/>
  <c r="C23" i="6"/>
  <c r="C24" i="6"/>
  <c r="C6" i="6" l="1"/>
  <c r="C7" i="6"/>
  <c r="C8" i="6"/>
  <c r="C9" i="6"/>
  <c r="C10" i="6"/>
  <c r="C11" i="6"/>
  <c r="C12" i="6"/>
  <c r="C13" i="6"/>
  <c r="C14" i="6"/>
  <c r="C15" i="6"/>
  <c r="C5" i="6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D25" i="6"/>
  <c r="J81" i="3"/>
  <c r="I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39" i="1" l="1"/>
  <c r="J31" i="1"/>
  <c r="J29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s="1"/>
  <c r="H10" i="3" l="1"/>
  <c r="I10" i="3" s="1"/>
  <c r="I62" i="3" s="1"/>
  <c r="J62" i="3" s="1"/>
  <c r="H11" i="3" l="1"/>
  <c r="I11" i="3" s="1"/>
  <c r="I63" i="3" s="1"/>
  <c r="J63" i="3" s="1"/>
  <c r="H12" i="3" l="1"/>
  <c r="I12" i="3" s="1"/>
  <c r="I64" i="3" s="1"/>
  <c r="J64" i="3" s="1"/>
  <c r="H13" i="3" l="1"/>
  <c r="I13" i="3" s="1"/>
  <c r="I65" i="3" s="1"/>
  <c r="J65" i="3" s="1"/>
  <c r="H14" i="3" l="1"/>
  <c r="I14" i="3" s="1"/>
  <c r="I66" i="3" s="1"/>
  <c r="J66" i="3" s="1"/>
  <c r="H15" i="3" l="1"/>
  <c r="I15" i="3" s="1"/>
  <c r="I67" i="3" s="1"/>
  <c r="J67" i="3" s="1"/>
  <c r="H16" i="3" l="1"/>
  <c r="I16" i="3" s="1"/>
  <c r="I68" i="3" s="1"/>
  <c r="J68" i="3" s="1"/>
  <c r="H17" i="3" l="1"/>
  <c r="I17" i="3" s="1"/>
  <c r="I69" i="3" s="1"/>
  <c r="J69" i="3" s="1"/>
  <c r="H18" i="3" l="1"/>
  <c r="I18" i="3" s="1"/>
  <c r="I70" i="3" s="1"/>
  <c r="J70" i="3" s="1"/>
  <c r="H19" i="3" l="1"/>
  <c r="I19" i="3" s="1"/>
  <c r="I71" i="3" s="1"/>
  <c r="J71" i="3" s="1"/>
  <c r="H20" i="3" l="1"/>
  <c r="I20" i="3" s="1"/>
  <c r="I72" i="3" s="1"/>
  <c r="J72" i="3" s="1"/>
  <c r="H21" i="3" l="1"/>
  <c r="I21" i="3" s="1"/>
  <c r="I73" i="3" s="1"/>
  <c r="J73" i="3" s="1"/>
  <c r="H22" i="3" l="1"/>
  <c r="I22" i="3" s="1"/>
  <c r="I74" i="3" s="1"/>
  <c r="J74" i="3" s="1"/>
  <c r="H23" i="3" l="1"/>
  <c r="I23" i="3" s="1"/>
  <c r="I75" i="3" s="1"/>
  <c r="J75" i="3" s="1"/>
  <c r="H24" i="3" l="1"/>
  <c r="I24" i="3" s="1"/>
  <c r="I76" i="3" s="1"/>
  <c r="J76" i="3" s="1"/>
  <c r="H25" i="3" l="1"/>
  <c r="I25" i="3" s="1"/>
  <c r="I77" i="3" s="1"/>
  <c r="J77" i="3" s="1"/>
  <c r="H26" i="3" l="1"/>
  <c r="I26" i="3" s="1"/>
  <c r="I78" i="3" s="1"/>
  <c r="J78" i="3" s="1"/>
  <c r="H27" i="3" l="1"/>
  <c r="I27" i="3" s="1"/>
  <c r="I79" i="3" s="1"/>
  <c r="J79" i="3" s="1"/>
  <c r="H28" i="3" l="1"/>
  <c r="I28" i="3" s="1"/>
  <c r="I80" i="3" s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<sst xmlns="http://schemas.openxmlformats.org/spreadsheetml/2006/main" count="302" uniqueCount="154">
  <si>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</si>
  <si>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</si>
  <si>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</si>
  <si>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</si>
  <si>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</si>
  <si>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</si>
  <si>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</si>
  <si>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</si>
  <si>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</si>
  <si>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</si>
  <si>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</si>
  <si>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</si>
  <si>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</si>
  <si>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</si>
  <si>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</si>
  <si>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</si>
  <si>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</si>
  <si>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</si>
  <si>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</si>
  <si>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</si>
  <si>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</si>
  <si>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</si>
  <si>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</si>
  <si>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</si>
  <si>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</si>
  <si>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</si>
  <si>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</si>
  <si>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</si>
  <si>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</si>
  <si>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</si>
  <si>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</si>
  <si>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</si>
  <si>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</si>
  <si>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</si>
  <si>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</si>
  <si>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</si>
  <si>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</si>
  <si>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</si>
  <si>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</si>
  <si>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</si>
  <si>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</si>
  <si>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</si>
  <si>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</si>
  <si>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</si>
  <si>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</si>
  <si>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</si>
  <si>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</si>
  <si>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</si>
  <si>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</si>
  <si>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</si>
  <si>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</si>
  <si>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</si>
  <si>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</si>
  <si>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</si>
  <si>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</si>
  <si>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</si>
  <si>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</si>
  <si>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</si>
  <si>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</si>
  <si>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</si>
  <si>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</si>
  <si>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</si>
  <si>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</si>
  <si>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</si>
  <si>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</si>
  <si>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</si>
  <si>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</si>
  <si>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</si>
  <si>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</si>
  <si>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</si>
  <si>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</si>
  <si>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</si>
  <si>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</si>
  <si>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</si>
  <si>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</si>
  <si>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</si>
  <si>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</si>
  <si>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</si>
  <si>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</si>
  <si>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</si>
  <si>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</si>
  <si>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</si>
  <si>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</si>
  <si>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</si>
  <si>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</si>
  <si>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</si>
  <si>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</si>
  <si>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</si>
  <si>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</si>
  <si>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</si>
  <si>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</si>
  <si>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</si>
  <si>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</si>
  <si>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</si>
  <si>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</si>
  <si>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</si>
  <si>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</si>
  <si>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</si>
  <si>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</si>
  <si>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</si>
  <si>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</si>
  <si>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</si>
  <si>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</si>
  <si>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</si>
  <si>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</si>
  <si>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</si>
  <si>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</si>
  <si>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</si>
  <si>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</si>
  <si>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</si>
  <si>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</si>
  <si>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</si>
  <si>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</si>
  <si>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</si>
  <si>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</si>
  <si>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</si>
  <si>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</si>
  <si>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</si>
  <si>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</si>
  <si>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</si>
  <si>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</si>
  <si>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</si>
  <si>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</si>
  <si>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</si>
  <si>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</si>
  <si>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</si>
  <si>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</si>
  <si>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</si>
  <si>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</si>
  <si>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</si>
  <si>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</si>
  <si>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</si>
  <si>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</si>
  <si>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</si>
  <si>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</si>
  <si>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</si>
  <si>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</si>
  <si>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</si>
  <si>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</si>
  <si>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</si>
  <si>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</si>
  <si>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</si>
  <si>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</si>
  <si>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</si>
  <si>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</si>
  <si>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</si>
  <si>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</si>
  <si>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</si>
  <si>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</si>
  <si>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</si>
  <si>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</si>
  <si>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</si>
  <si>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</si>
  <si>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 KUTAI KERTANEGARA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</si>
</sst>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GRK'!$F$35:$F$45</c:f>
              <c:numCache>
                <c:formatCode>0.00000</c:formatCode>
                <c:ptCount val="11"/>
                <c:pt idx="0">
                  <c:v>0.34076014334999993</c:v>
                </c:pt>
                <c:pt idx="1">
                  <c:v>0.34984091241000004</c:v>
                </c:pt>
                <c:pt idx="2">
                  <c:v>0.35911513538999995</c:v>
                </c:pt>
                <c:pt idx="3">
                  <c:v>0.36821377790999993</c:v>
                </c:pt>
                <c:pt idx="4">
                  <c:v>0.37733449941000002</c:v>
                </c:pt>
                <c:pt idx="5">
                  <c:v>0.38639056103999997</c:v>
                </c:pt>
                <c:pt idx="6">
                  <c:v>0.39603644684999995</c:v>
                </c:pt>
                <c:pt idx="7">
                  <c:v>0.40692558950999996</c:v>
                </c:pt>
                <c:pt idx="8">
                  <c:v>0.41781473216999987</c:v>
                </c:pt>
                <c:pt idx="9">
                  <c:v>0.42870387483</c:v>
                </c:pt>
                <c:pt idx="10">
                  <c:v>0.43959301749000002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GRK'!$S$9:$S$29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GRK'!$I$9:$I$29</c:f>
              <c:numCache>
                <c:formatCode>0.00000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GRK'!$D$9:$D$29</c:f>
              <c:numCache>
                <c:formatCode>0.00000</c:formatCode>
                <c:ptCount val="21"/>
                <c:pt idx="0">
                  <c:v>37.520327448627746</c:v>
                </c:pt>
                <c:pt idx="1">
                  <c:v>39.993843547625474</c:v>
                </c:pt>
                <c:pt idx="2">
                  <c:v>42.175579652650832</c:v>
                </c:pt>
                <c:pt idx="3">
                  <c:v>44.160166005308376</c:v>
                </c:pt>
                <c:pt idx="4">
                  <c:v>45.99894087461648</c:v>
                </c:pt>
                <c:pt idx="5">
                  <c:v>47.734281497015232</c:v>
                </c:pt>
                <c:pt idx="6">
                  <c:v>49.392298306323745</c:v>
                </c:pt>
                <c:pt idx="7">
                  <c:v>51.015110544411691</c:v>
                </c:pt>
                <c:pt idx="8">
                  <c:v>52.656328603021791</c:v>
                </c:pt>
                <c:pt idx="9">
                  <c:v>54.308476763413537</c:v>
                </c:pt>
                <c:pt idx="10">
                  <c:v>55.966718441086527</c:v>
                </c:pt>
                <c:pt idx="11">
                  <c:v>57.627961907660691</c:v>
                </c:pt>
                <c:pt idx="12">
                  <c:v>59.290264414854107</c:v>
                </c:pt>
                <c:pt idx="13">
                  <c:v>60.952435798300442</c:v>
                </c:pt>
                <c:pt idx="14">
                  <c:v>62.613775335896207</c:v>
                </c:pt>
                <c:pt idx="15">
                  <c:v>64.273897539677932</c:v>
                </c:pt>
                <c:pt idx="16">
                  <c:v>65.932617232064132</c:v>
                </c:pt>
                <c:pt idx="17">
                  <c:v>67.58987408278405</c:v>
                </c:pt>
                <c:pt idx="18">
                  <c:v>69.2456833611528</c:v>
                </c:pt>
                <c:pt idx="19">
                  <c:v>70.90010406129241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GRK'!$F$61:$F$71</c:f>
              <c:numCache>
                <c:formatCode>0.000000</c:formatCode>
                <c:ptCount val="11"/>
                <c:pt idx="0">
                  <c:v>1.8584161931428502</c:v>
                </c:pt>
                <c:pt idx="1">
                  <c:v>1.9079403191201101</c:v>
                </c:pt>
                <c:pt idx="2">
                  <c:v>1.9585194918936897</c:v>
                </c:pt>
                <c:pt idx="3">
                  <c:v>2.0081410950206102</c:v>
                </c:pt>
                <c:pt idx="4">
                  <c:v>2.0578831110971096</c:v>
                </c:pt>
                <c:pt idx="5">
                  <c:v>2.1072724892498398</c:v>
                </c:pt>
                <c:pt idx="6">
                  <c:v>2.1598786133413501</c:v>
                </c:pt>
                <c:pt idx="7">
                  <c:v>2.2192651332842095</c:v>
                </c:pt>
                <c:pt idx="8">
                  <c:v>2.2786516532270693</c:v>
                </c:pt>
                <c:pt idx="9">
                  <c:v>2.33803817316993</c:v>
                </c:pt>
                <c:pt idx="10">
                  <c:v>2.3974246931127907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137544"/>
        <c:axId val="304137936"/>
        <c:axId val="0"/>
      </c:bar3DChart>
      <c:catAx>
        <c:axId val="3041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4137936"/>
        <c:crosses val="autoZero"/>
        <c:auto val="1"/>
        <c:lblAlgn val="ctr"/>
        <c:lblOffset val="100"/>
        <c:noMultiLvlLbl val="0"/>
      </c:catAx>
      <c:valAx>
        <c:axId val="304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4137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7.1345821015857149</c:v>
                </c:pt>
                <c:pt idx="1">
                  <c:v>7.0608192760285737</c:v>
                </c:pt>
                <c:pt idx="2">
                  <c:v>7.1455034167314286</c:v>
                </c:pt>
                <c:pt idx="3">
                  <c:v>7.4891891811209526</c:v>
                </c:pt>
                <c:pt idx="4">
                  <c:v>7.6746977440257176</c:v>
                </c:pt>
                <c:pt idx="5">
                  <c:v>7.8588911741790488</c:v>
                </c:pt>
                <c:pt idx="6">
                  <c:v>8.0550811811380942</c:v>
                </c:pt>
                <c:pt idx="7">
                  <c:v>8.2765580901876188</c:v>
                </c:pt>
                <c:pt idx="8">
                  <c:v>8.4980349992371433</c:v>
                </c:pt>
                <c:pt idx="9">
                  <c:v>8.7195119082866679</c:v>
                </c:pt>
                <c:pt idx="10">
                  <c:v>8.9409888173361907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14.221234000763999</c:v>
                </c:pt>
                <c:pt idx="1">
                  <c:v>14.600209489034398</c:v>
                </c:pt>
                <c:pt idx="2">
                  <c:v>14.987258554917601</c:v>
                </c:pt>
                <c:pt idx="3">
                  <c:v>15.3669799715544</c:v>
                </c:pt>
                <c:pt idx="4">
                  <c:v>15.747622829114402</c:v>
                </c:pt>
                <c:pt idx="5">
                  <c:v>16.125567181113599</c:v>
                </c:pt>
                <c:pt idx="6">
                  <c:v>16.528127169204001</c:v>
                </c:pt>
                <c:pt idx="7">
                  <c:v>16.982573056898403</c:v>
                </c:pt>
                <c:pt idx="8">
                  <c:v>17.437018944592801</c:v>
                </c:pt>
                <c:pt idx="9">
                  <c:v>17.891464832287198</c:v>
                </c:pt>
                <c:pt idx="10">
                  <c:v>18.3459107199816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4139112"/>
        <c:axId val="304139504"/>
        <c:axId val="0"/>
      </c:bar3DChart>
      <c:catAx>
        <c:axId val="3041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9504"/>
        <c:crosses val="autoZero"/>
        <c:auto val="1"/>
        <c:lblAlgn val="ctr"/>
        <c:lblOffset val="100"/>
        <c:noMultiLvlLbl val="0"/>
      </c:catAx>
      <c:valAx>
        <c:axId val="3041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21355.816102349712</c:v>
                </c:pt>
                <c:pt idx="1">
                  <c:v>21661.028765062973</c:v>
                </c:pt>
                <c:pt idx="2">
                  <c:v>22132.76197164903</c:v>
                </c:pt>
                <c:pt idx="3">
                  <c:v>22856.169152675353</c:v>
                </c:pt>
                <c:pt idx="4">
                  <c:v>23422.320573140118</c:v>
                </c:pt>
                <c:pt idx="5">
                  <c:v>23984.458355292649</c:v>
                </c:pt>
                <c:pt idx="6">
                  <c:v>24583.208350342098</c:v>
                </c:pt>
                <c:pt idx="7">
                  <c:v>25259.131147086024</c:v>
                </c:pt>
                <c:pt idx="8">
                  <c:v>25935.053943829942</c:v>
                </c:pt>
                <c:pt idx="9">
                  <c:v>26610.976740573868</c:v>
                </c:pt>
                <c:pt idx="10">
                  <c:v>27286.89953731779</c:v>
                </c:pt>
                <c:pt idx="11">
                  <c:v>27962.822334061719</c:v>
                </c:pt>
                <c:pt idx="12">
                  <c:v>28638.745130805644</c:v>
                </c:pt>
                <c:pt idx="13">
                  <c:v>29314.667927549563</c:v>
                </c:pt>
                <c:pt idx="14">
                  <c:v>29990.590724293485</c:v>
                </c:pt>
                <c:pt idx="15">
                  <c:v>30666.51352103741</c:v>
                </c:pt>
                <c:pt idx="16">
                  <c:v>31342.436317781343</c:v>
                </c:pt>
                <c:pt idx="17">
                  <c:v>32018.359114525254</c:v>
                </c:pt>
                <c:pt idx="18">
                  <c:v>32694.28191126918</c:v>
                </c:pt>
                <c:pt idx="19">
                  <c:v>33370.204708013109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40680"/>
        <c:axId val="304141072"/>
      </c:lineChart>
      <c:catAx>
        <c:axId val="3041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1072"/>
        <c:crosses val="autoZero"/>
        <c:auto val="1"/>
        <c:lblAlgn val="ctr"/>
        <c:lblOffset val="100"/>
        <c:noMultiLvlLbl val="0"/>
      </c:catAx>
      <c:valAx>
        <c:axId val="3041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_(* #,##0.00_);_(* \(#,##0.00\);_(* "-"??_);_(@_)</c:formatCode>
                <c:ptCount val="20"/>
                <c:pt idx="0">
                  <c:v>66326.769210253129</c:v>
                </c:pt>
                <c:pt idx="1">
                  <c:v>70612.966030771306</c:v>
                </c:pt>
                <c:pt idx="2">
                  <c:v>74401.717712197147</c:v>
                </c:pt>
                <c:pt idx="3">
                  <c:v>77852.379188109044</c:v>
                </c:pt>
                <c:pt idx="4">
                  <c:v>81053.970527053461</c:v>
                </c:pt>
                <c:pt idx="5">
                  <c:v>84078.360682613304</c:v>
                </c:pt>
                <c:pt idx="6">
                  <c:v>86974.399979439913</c:v>
                </c:pt>
                <c:pt idx="7">
                  <c:v>89818.293293891518</c:v>
                </c:pt>
                <c:pt idx="8">
                  <c:v>92693.644781691139</c:v>
                </c:pt>
                <c:pt idx="9">
                  <c:v>95587.677372902821</c:v>
                </c:pt>
                <c:pt idx="10">
                  <c:v>98492.124654549028</c:v>
                </c:pt>
                <c:pt idx="11">
                  <c:v>101401.70242171171</c:v>
                </c:pt>
                <c:pt idx="12">
                  <c:v>104313.09024039275</c:v>
                </c:pt>
                <c:pt idx="13">
                  <c:v>107224.25394988176</c:v>
                </c:pt>
                <c:pt idx="14">
                  <c:v>110133.99591612746</c:v>
                </c:pt>
                <c:pt idx="15">
                  <c:v>113041.65728520013</c:v>
                </c:pt>
                <c:pt idx="16">
                  <c:v>115946.92156219266</c:v>
                </c:pt>
                <c:pt idx="17">
                  <c:v>118849.68563406458</c:v>
                </c:pt>
                <c:pt idx="18">
                  <c:v>121749.97559825392</c:v>
                </c:pt>
                <c:pt idx="19">
                  <c:v>124647.89228413241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54712"/>
        <c:axId val="306755104"/>
      </c:lineChart>
      <c:catAx>
        <c:axId val="3067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5104"/>
        <c:crosses val="autoZero"/>
        <c:auto val="1"/>
        <c:lblAlgn val="ctr"/>
        <c:lblOffset val="100"/>
        <c:noMultiLvlLbl val="0"/>
      </c:catAx>
      <c:valAx>
        <c:axId val="306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Palm%20Oil%20Wastewater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E14">
            <v>648215</v>
          </cell>
        </row>
        <row r="15">
          <cell r="E15">
            <v>665489</v>
          </cell>
        </row>
        <row r="16">
          <cell r="E16">
            <v>683131</v>
          </cell>
        </row>
        <row r="17">
          <cell r="E17">
            <v>700439</v>
          </cell>
        </row>
        <row r="18">
          <cell r="E18">
            <v>717789</v>
          </cell>
        </row>
        <row r="19">
          <cell r="E19">
            <v>735016</v>
          </cell>
        </row>
        <row r="20">
          <cell r="E20">
            <v>753365</v>
          </cell>
        </row>
        <row r="21">
          <cell r="E21">
            <v>774079</v>
          </cell>
        </row>
        <row r="22">
          <cell r="E22">
            <v>794793</v>
          </cell>
        </row>
        <row r="23">
          <cell r="E23">
            <v>815507</v>
          </cell>
        </row>
        <row r="24">
          <cell r="E24">
            <v>836221</v>
          </cell>
        </row>
        <row r="25">
          <cell r="E25">
            <v>856935</v>
          </cell>
        </row>
        <row r="26">
          <cell r="E26">
            <v>877649</v>
          </cell>
        </row>
        <row r="27">
          <cell r="E27">
            <v>898363</v>
          </cell>
        </row>
        <row r="28">
          <cell r="E28">
            <v>919077</v>
          </cell>
        </row>
        <row r="29">
          <cell r="E29">
            <v>939791</v>
          </cell>
        </row>
        <row r="30">
          <cell r="E30">
            <v>960505</v>
          </cell>
        </row>
        <row r="31">
          <cell r="E31">
            <v>981219</v>
          </cell>
        </row>
        <row r="32">
          <cell r="E32">
            <v>1001933</v>
          </cell>
        </row>
        <row r="33">
          <cell r="E33">
            <v>1022647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1.7866822594584642</v>
          </cell>
        </row>
        <row r="29">
          <cell r="O29">
            <v>1.904468740363118</v>
          </cell>
        </row>
        <row r="30">
          <cell r="O30">
            <v>2.0083609358405159</v>
          </cell>
        </row>
        <row r="31">
          <cell r="O31">
            <v>2.1028650478718274</v>
          </cell>
        </row>
        <row r="32">
          <cell r="O32">
            <v>2.1904257559341183</v>
          </cell>
        </row>
        <row r="33">
          <cell r="O33">
            <v>2.2730610236673918</v>
          </cell>
        </row>
        <row r="34">
          <cell r="O34">
            <v>2.3520142050630355</v>
          </cell>
        </row>
        <row r="35">
          <cell r="O35">
            <v>2.4292909783053185</v>
          </cell>
        </row>
        <row r="36">
          <cell r="O36">
            <v>2.5074442191915138</v>
          </cell>
        </row>
        <row r="37">
          <cell r="O37">
            <v>2.5861179411149302</v>
          </cell>
        </row>
        <row r="38">
          <cell r="O38">
            <v>2.6650818305279298</v>
          </cell>
        </row>
        <row r="39">
          <cell r="O39">
            <v>2.7441886622695568</v>
          </cell>
        </row>
        <row r="40">
          <cell r="O40">
            <v>2.8233459245168624</v>
          </cell>
        </row>
        <row r="41">
          <cell r="O41">
            <v>2.9024969427762115</v>
          </cell>
        </row>
        <row r="42">
          <cell r="O42">
            <v>2.9816083493283907</v>
          </cell>
        </row>
        <row r="43">
          <cell r="O43">
            <v>3.0606617876037112</v>
          </cell>
        </row>
        <row r="44">
          <cell r="O44">
            <v>3.1396484396221016</v>
          </cell>
        </row>
        <row r="45">
          <cell r="O45">
            <v>3.2185654325135262</v>
          </cell>
        </row>
        <row r="46">
          <cell r="O46">
            <v>3.2974134933882286</v>
          </cell>
        </row>
        <row r="47">
          <cell r="O47">
            <v>3.3761954314901148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1.2670126392920262</v>
          </cell>
        </row>
        <row r="29">
          <cell r="O29">
            <v>1.3505400596007484</v>
          </cell>
        </row>
        <row r="30">
          <cell r="O30">
            <v>1.424214449155363</v>
          </cell>
        </row>
        <row r="31">
          <cell r="O31">
            <v>1.4912313480890507</v>
          </cell>
        </row>
        <row r="32">
          <cell r="O32">
            <v>1.5533243829490417</v>
          </cell>
        </row>
        <row r="33">
          <cell r="O33">
            <v>1.6119245778718208</v>
          </cell>
        </row>
        <row r="34">
          <cell r="O34">
            <v>1.6679136482345147</v>
          </cell>
        </row>
        <row r="35">
          <cell r="O35">
            <v>1.7227139060326486</v>
          </cell>
        </row>
        <row r="36">
          <cell r="O36">
            <v>1.7781357044415367</v>
          </cell>
        </row>
        <row r="37">
          <cell r="O37">
            <v>1.8339265981661592</v>
          </cell>
        </row>
        <row r="38">
          <cell r="O38">
            <v>1.889923262040939</v>
          </cell>
        </row>
        <row r="39">
          <cell r="O39">
            <v>1.9460212924212084</v>
          </cell>
        </row>
        <row r="40">
          <cell r="O40">
            <v>2.0021550852252448</v>
          </cell>
        </row>
        <row r="41">
          <cell r="O41">
            <v>2.0582844501509507</v>
          </cell>
        </row>
        <row r="42">
          <cell r="O42">
            <v>2.1143857247246198</v>
          </cell>
        </row>
        <row r="43">
          <cell r="O43">
            <v>2.1704458915192908</v>
          </cell>
        </row>
        <row r="44">
          <cell r="O44">
            <v>2.2264586973289795</v>
          </cell>
        </row>
        <row r="45">
          <cell r="O45">
            <v>2.2824221048789379</v>
          </cell>
        </row>
        <row r="46">
          <cell r="O46">
            <v>2.3383366297940693</v>
          </cell>
        </row>
        <row r="47">
          <cell r="O47">
            <v>2.3942042642291179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7.7007941999999987E-3</v>
          </cell>
          <cell r="D6">
            <v>5.7755956499999997E-4</v>
          </cell>
        </row>
        <row r="7">
          <cell r="B7">
            <v>7.9060093200000008E-3</v>
          </cell>
          <cell r="D7">
            <v>5.9295069899999999E-4</v>
          </cell>
        </row>
        <row r="8">
          <cell r="B8">
            <v>8.1155962799999998E-3</v>
          </cell>
          <cell r="D8">
            <v>6.0866972099999999E-4</v>
          </cell>
        </row>
        <row r="9">
          <cell r="B9">
            <v>8.3212153199999986E-3</v>
          </cell>
          <cell r="D9">
            <v>6.2409114899999985E-4</v>
          </cell>
        </row>
        <row r="10">
          <cell r="B10">
            <v>8.5273333200000002E-3</v>
          </cell>
          <cell r="D10">
            <v>6.3954999900000002E-4</v>
          </cell>
        </row>
        <row r="11">
          <cell r="B11">
            <v>8.7319900799999999E-3</v>
          </cell>
          <cell r="D11">
            <v>6.5489925599999986E-4</v>
          </cell>
        </row>
        <row r="12">
          <cell r="B12">
            <v>8.9499761999999993E-3</v>
          </cell>
          <cell r="D12">
            <v>6.7124821499999995E-4</v>
          </cell>
        </row>
        <row r="13">
          <cell r="B13">
            <v>9.1960585199999997E-3</v>
          </cell>
          <cell r="D13">
            <v>6.8970438899999993E-4</v>
          </cell>
        </row>
        <row r="14">
          <cell r="B14">
            <v>9.4421408399999983E-3</v>
          </cell>
          <cell r="D14">
            <v>7.0816056299999981E-4</v>
          </cell>
        </row>
        <row r="15">
          <cell r="B15">
            <v>9.6882231600000004E-3</v>
          </cell>
          <cell r="D15">
            <v>7.2661673700000001E-4</v>
          </cell>
        </row>
        <row r="16">
          <cell r="B16">
            <v>9.934305479999999E-3</v>
          </cell>
          <cell r="D16">
            <v>7.4507291099999999E-4</v>
          </cell>
        </row>
        <row r="17">
          <cell r="B17">
            <v>1.0180387799999999E-2</v>
          </cell>
          <cell r="D17">
            <v>7.6352908499999997E-4</v>
          </cell>
        </row>
        <row r="18">
          <cell r="B18">
            <v>1.042647012E-2</v>
          </cell>
          <cell r="D18">
            <v>7.8198525899999996E-4</v>
          </cell>
        </row>
        <row r="19">
          <cell r="B19">
            <v>1.067255244E-2</v>
          </cell>
          <cell r="D19">
            <v>8.0044143300000005E-4</v>
          </cell>
        </row>
        <row r="20">
          <cell r="B20">
            <v>1.091863476E-2</v>
          </cell>
          <cell r="D20">
            <v>8.1889760699999992E-4</v>
          </cell>
        </row>
        <row r="21">
          <cell r="B21">
            <v>1.1164717079999999E-2</v>
          </cell>
          <cell r="D21">
            <v>8.3735378099999991E-4</v>
          </cell>
        </row>
        <row r="22">
          <cell r="B22">
            <v>1.1410799399999999E-2</v>
          </cell>
          <cell r="D22">
            <v>8.55809955E-4</v>
          </cell>
        </row>
        <row r="23">
          <cell r="B23">
            <v>1.165688172E-2</v>
          </cell>
          <cell r="D23">
            <v>8.7426612899999987E-4</v>
          </cell>
        </row>
        <row r="24">
          <cell r="B24">
            <v>1.190296404E-2</v>
          </cell>
          <cell r="D24">
            <v>8.9272230299999996E-4</v>
          </cell>
        </row>
        <row r="25">
          <cell r="B25">
            <v>1.214904636E-2</v>
          </cell>
          <cell r="D25">
            <v>9.1117847699999995E-4</v>
          </cell>
        </row>
        <row r="32">
          <cell r="B32">
            <v>6.6009318335675013E-2</v>
          </cell>
          <cell r="D32">
            <v>1.5232919615925E-3</v>
          </cell>
        </row>
        <row r="33">
          <cell r="B33">
            <v>6.7768371990605009E-2</v>
          </cell>
          <cell r="D33">
            <v>1.5638855074755001E-3</v>
          </cell>
        </row>
        <row r="34">
          <cell r="B34">
            <v>6.9564899985294984E-2</v>
          </cell>
          <cell r="D34">
            <v>1.6053438458144998E-3</v>
          </cell>
        </row>
        <row r="35">
          <cell r="B35">
            <v>7.132741594335501E-2</v>
          </cell>
          <cell r="D35">
            <v>1.6460172910005E-3</v>
          </cell>
        </row>
        <row r="36">
          <cell r="B36">
            <v>7.309420886410499E-2</v>
          </cell>
          <cell r="D36">
            <v>1.6867894353254996E-3</v>
          </cell>
        </row>
        <row r="37">
          <cell r="B37">
            <v>7.4848476394119998E-2</v>
          </cell>
          <cell r="D37">
            <v>1.7272725321719998E-3</v>
          </cell>
        </row>
        <row r="38">
          <cell r="B38">
            <v>7.6716999927425006E-2</v>
          </cell>
          <cell r="D38">
            <v>1.7703923060175002E-3</v>
          </cell>
        </row>
        <row r="39">
          <cell r="B39">
            <v>7.8826357193154992E-2</v>
          </cell>
          <cell r="D39">
            <v>1.8190697813804998E-3</v>
          </cell>
        </row>
        <row r="40">
          <cell r="B40">
            <v>8.0935714458884978E-2</v>
          </cell>
          <cell r="D40">
            <v>1.8677472567434996E-3</v>
          </cell>
        </row>
        <row r="41">
          <cell r="B41">
            <v>8.3045071724615005E-2</v>
          </cell>
          <cell r="D41">
            <v>1.9164247321065001E-3</v>
          </cell>
        </row>
        <row r="42">
          <cell r="B42">
            <v>8.5154428990345019E-2</v>
          </cell>
          <cell r="D42">
            <v>1.9651022074695006E-3</v>
          </cell>
        </row>
        <row r="43">
          <cell r="B43">
            <v>8.7263786256075004E-2</v>
          </cell>
          <cell r="D43">
            <v>2.0137796828325E-3</v>
          </cell>
        </row>
        <row r="44">
          <cell r="B44">
            <v>8.9373143521805018E-2</v>
          </cell>
          <cell r="D44">
            <v>2.0624571581955003E-3</v>
          </cell>
        </row>
        <row r="45">
          <cell r="B45">
            <v>9.1482500787535004E-2</v>
          </cell>
          <cell r="D45">
            <v>2.1111346335584997E-3</v>
          </cell>
        </row>
        <row r="46">
          <cell r="B46">
            <v>9.359185805326499E-2</v>
          </cell>
          <cell r="D46">
            <v>2.1598121089214995E-3</v>
          </cell>
        </row>
        <row r="47">
          <cell r="B47">
            <v>9.5701215318995003E-2</v>
          </cell>
          <cell r="D47">
            <v>2.2084895842844998E-3</v>
          </cell>
        </row>
        <row r="48">
          <cell r="B48">
            <v>9.7810572584725003E-2</v>
          </cell>
          <cell r="D48">
            <v>2.2571670596475001E-3</v>
          </cell>
        </row>
        <row r="49">
          <cell r="B49">
            <v>9.9919929850454989E-2</v>
          </cell>
          <cell r="D49">
            <v>2.3058445350104999E-3</v>
          </cell>
        </row>
        <row r="50">
          <cell r="B50">
            <v>0.10202928711618499</v>
          </cell>
          <cell r="D50">
            <v>2.3545220103735002E-3</v>
          </cell>
        </row>
        <row r="51">
          <cell r="B51">
            <v>0.104138644381915</v>
          </cell>
          <cell r="D51">
            <v>2.4031994857365005E-3</v>
          </cell>
        </row>
        <row r="59">
          <cell r="B59">
            <v>0.67720161908400001</v>
          </cell>
          <cell r="D59">
            <v>2.3014780972857144E-2</v>
          </cell>
        </row>
        <row r="60">
          <cell r="B60">
            <v>0.69524807090639995</v>
          </cell>
          <cell r="D60">
            <v>2.2776836374285722E-2</v>
          </cell>
        </row>
        <row r="61">
          <cell r="B61">
            <v>0.71367897880560005</v>
          </cell>
          <cell r="D61">
            <v>2.3050011021714285E-2</v>
          </cell>
        </row>
        <row r="62">
          <cell r="B62">
            <v>0.73176095102640004</v>
          </cell>
          <cell r="D62">
            <v>2.4158674777809523E-2</v>
          </cell>
        </row>
        <row r="63">
          <cell r="B63">
            <v>0.74988680138640007</v>
          </cell>
          <cell r="D63">
            <v>2.4757089496857152E-2</v>
          </cell>
        </row>
        <row r="64">
          <cell r="B64">
            <v>0.76788415148159994</v>
          </cell>
          <cell r="D64">
            <v>2.5351261852190481E-2</v>
          </cell>
        </row>
        <row r="65">
          <cell r="B65">
            <v>0.78705367472400001</v>
          </cell>
          <cell r="D65">
            <v>2.598413284238095E-2</v>
          </cell>
        </row>
        <row r="66">
          <cell r="B66">
            <v>0.80869395509040021</v>
          </cell>
          <cell r="D66">
            <v>2.6698574484476191E-2</v>
          </cell>
        </row>
        <row r="67">
          <cell r="B67">
            <v>0.83033423545679996</v>
          </cell>
          <cell r="D67">
            <v>2.7413016126571429E-2</v>
          </cell>
        </row>
        <row r="68">
          <cell r="B68">
            <v>0.85197451582319994</v>
          </cell>
          <cell r="D68">
            <v>2.812745776866667E-2</v>
          </cell>
        </row>
        <row r="69">
          <cell r="B69">
            <v>0.87361479618960003</v>
          </cell>
          <cell r="D69">
            <v>2.8841899410761908E-2</v>
          </cell>
        </row>
        <row r="70">
          <cell r="B70">
            <v>0.89525507655600001</v>
          </cell>
          <cell r="D70">
            <v>2.9556341052857149E-2</v>
          </cell>
        </row>
        <row r="71">
          <cell r="B71">
            <v>0.91689535692240021</v>
          </cell>
          <cell r="D71">
            <v>3.027078269495238E-2</v>
          </cell>
        </row>
        <row r="72">
          <cell r="B72">
            <v>0.93853563728880007</v>
          </cell>
          <cell r="D72">
            <v>3.0985224337047625E-2</v>
          </cell>
        </row>
        <row r="73">
          <cell r="B73">
            <v>0.96017591765519983</v>
          </cell>
          <cell r="D73">
            <v>3.1699665979142859E-2</v>
          </cell>
        </row>
        <row r="74">
          <cell r="B74">
            <v>0.98181619802159992</v>
          </cell>
          <cell r="D74">
            <v>3.24141076212381E-2</v>
          </cell>
        </row>
        <row r="75">
          <cell r="B75">
            <v>1.0034564783880002</v>
          </cell>
          <cell r="D75">
            <v>3.3128549263333341E-2</v>
          </cell>
        </row>
        <row r="76">
          <cell r="B76">
            <v>1.0250967587544</v>
          </cell>
          <cell r="D76">
            <v>3.3842990905428576E-2</v>
          </cell>
        </row>
        <row r="77">
          <cell r="B77">
            <v>1.0467370391208</v>
          </cell>
          <cell r="D77">
            <v>3.455743254752381E-2</v>
          </cell>
        </row>
        <row r="78">
          <cell r="B78">
            <v>1.0683773194871999</v>
          </cell>
          <cell r="D78">
            <v>3.5271874189619044E-2</v>
          </cell>
        </row>
      </sheetData>
      <sheetData sheetId="4"/>
      <sheetData sheetId="5">
        <row r="14">
          <cell r="M14">
            <v>1.8071629677640639</v>
          </cell>
        </row>
        <row r="15">
          <cell r="M15">
            <v>1.855070550124243</v>
          </cell>
        </row>
        <row r="16">
          <cell r="M16">
            <v>1.9020711416382441</v>
          </cell>
        </row>
        <row r="17">
          <cell r="M17">
            <v>1.9491857858933801</v>
          </cell>
        </row>
        <row r="18">
          <cell r="M18">
            <v>1.9959664185494745</v>
          </cell>
        </row>
        <row r="19">
          <cell r="M19">
            <v>2.0457938887187832</v>
          </cell>
        </row>
        <row r="20">
          <cell r="M20">
            <v>2.10204361443065</v>
          </cell>
        </row>
        <row r="21">
          <cell r="M21">
            <v>2.1582933401425164</v>
          </cell>
        </row>
        <row r="22">
          <cell r="M22">
            <v>2.214543065854385</v>
          </cell>
        </row>
        <row r="23">
          <cell r="M23">
            <v>2.2707927915662522</v>
          </cell>
        </row>
        <row r="24">
          <cell r="M24">
            <v>2.3270425172781195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1939488</v>
          </cell>
        </row>
        <row r="13">
          <cell r="G13">
            <v>2841816</v>
          </cell>
        </row>
        <row r="14">
          <cell r="G14">
            <v>6674652</v>
          </cell>
        </row>
        <row r="15">
          <cell r="G15">
            <v>7388322</v>
          </cell>
        </row>
        <row r="16">
          <cell r="G16">
            <v>9041478</v>
          </cell>
        </row>
        <row r="17">
          <cell r="G17">
            <v>11649834</v>
          </cell>
        </row>
        <row r="18">
          <cell r="G18">
            <v>18555814.638</v>
          </cell>
        </row>
        <row r="19">
          <cell r="G19">
            <v>20302182.143999998</v>
          </cell>
        </row>
        <row r="20">
          <cell r="G20">
            <v>22103723.717999998</v>
          </cell>
        </row>
        <row r="21">
          <cell r="G21">
            <v>23960439.359999999</v>
          </cell>
        </row>
        <row r="22">
          <cell r="G22">
            <v>25103798.11333333</v>
          </cell>
        </row>
        <row r="23">
          <cell r="G23">
            <v>26273002.911999989</v>
          </cell>
        </row>
        <row r="24">
          <cell r="G24">
            <v>27468053.755999982</v>
          </cell>
        </row>
        <row r="25">
          <cell r="G25">
            <v>28688950.64533332</v>
          </cell>
        </row>
        <row r="26">
          <cell r="G26">
            <v>29935693.579999983</v>
          </cell>
        </row>
        <row r="27">
          <cell r="G27">
            <v>31208282.55999998</v>
          </cell>
        </row>
        <row r="28">
          <cell r="G28">
            <v>32506717.585333314</v>
          </cell>
        </row>
        <row r="29">
          <cell r="G29">
            <v>33830998.655999973</v>
          </cell>
        </row>
        <row r="30">
          <cell r="G30">
            <v>35181125.77199997</v>
          </cell>
        </row>
        <row r="31">
          <cell r="G31">
            <v>35763504.815999962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H18" sqref="H18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70" t="s">
        <v>11</v>
      </c>
      <c r="B3" s="170" t="s">
        <v>125</v>
      </c>
      <c r="C3" s="78" t="s">
        <v>12</v>
      </c>
      <c r="D3" s="169" t="s">
        <v>12</v>
      </c>
      <c r="E3" s="169"/>
      <c r="G3" s="81" t="s">
        <v>16</v>
      </c>
      <c r="H3" s="81"/>
      <c r="I3" s="81"/>
    </row>
    <row r="4" spans="1:14" x14ac:dyDescent="0.25">
      <c r="A4" s="171"/>
      <c r="B4" s="171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[1]Sheet3!E14</f>
        <v>648215</v>
      </c>
      <c r="C5" s="82">
        <v>0.22</v>
      </c>
      <c r="D5" s="153">
        <f t="shared" ref="D5:D24" si="0">C5*B5</f>
        <v>142607.29999999999</v>
      </c>
      <c r="E5" s="153">
        <f>D5/1000</f>
        <v>142.60729999999998</v>
      </c>
    </row>
    <row r="6" spans="1:14" x14ac:dyDescent="0.25">
      <c r="A6" s="89">
        <v>2012</v>
      </c>
      <c r="B6" s="90">
        <f>[1]Sheet3!E15</f>
        <v>665489</v>
      </c>
      <c r="C6" s="82">
        <v>0.22</v>
      </c>
      <c r="D6" s="153">
        <f t="shared" si="0"/>
        <v>146407.57999999999</v>
      </c>
      <c r="E6" s="153">
        <f t="shared" ref="E6:E24" si="1">D6/1000</f>
        <v>146.40758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[1]Sheet3!E16</f>
        <v>683131</v>
      </c>
      <c r="C7" s="82">
        <v>0.22</v>
      </c>
      <c r="D7" s="153">
        <f t="shared" si="0"/>
        <v>150288.82</v>
      </c>
      <c r="E7" s="153">
        <f t="shared" si="1"/>
        <v>150.28882000000002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[1]Sheet3!E17</f>
        <v>700439</v>
      </c>
      <c r="C8" s="82">
        <v>0.22</v>
      </c>
      <c r="D8" s="153">
        <f t="shared" si="0"/>
        <v>154096.57999999999</v>
      </c>
      <c r="E8" s="153">
        <f t="shared" si="1"/>
        <v>154.09657999999999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[1]Sheet3!E18</f>
        <v>717789</v>
      </c>
      <c r="C9" s="82">
        <v>0.22</v>
      </c>
      <c r="D9" s="153">
        <f t="shared" si="0"/>
        <v>157913.57999999999</v>
      </c>
      <c r="E9" s="153">
        <f t="shared" si="1"/>
        <v>157.91358</v>
      </c>
    </row>
    <row r="10" spans="1:14" x14ac:dyDescent="0.25">
      <c r="A10" s="89">
        <v>2016</v>
      </c>
      <c r="B10" s="90">
        <f>[1]Sheet3!E19</f>
        <v>735016</v>
      </c>
      <c r="C10" s="82">
        <v>0.22</v>
      </c>
      <c r="D10" s="153">
        <f t="shared" si="0"/>
        <v>161703.51999999999</v>
      </c>
      <c r="E10" s="153">
        <f t="shared" si="1"/>
        <v>161.70352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[1]Sheet3!E20</f>
        <v>753365</v>
      </c>
      <c r="C11" s="82">
        <v>0.22</v>
      </c>
      <c r="D11" s="153">
        <f t="shared" si="0"/>
        <v>165740.29999999999</v>
      </c>
      <c r="E11" s="153">
        <f t="shared" si="1"/>
        <v>165.74029999999999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[1]Sheet3!E21</f>
        <v>774079</v>
      </c>
      <c r="C12" s="82">
        <v>0.22</v>
      </c>
      <c r="D12" s="153">
        <f t="shared" si="0"/>
        <v>170297.38</v>
      </c>
      <c r="E12" s="153">
        <f t="shared" si="1"/>
        <v>170.29738</v>
      </c>
    </row>
    <row r="13" spans="1:14" x14ac:dyDescent="0.25">
      <c r="A13" s="89">
        <v>2019</v>
      </c>
      <c r="B13" s="90">
        <f>[1]Sheet3!E22</f>
        <v>794793</v>
      </c>
      <c r="C13" s="82">
        <v>0.22</v>
      </c>
      <c r="D13" s="153">
        <f t="shared" si="0"/>
        <v>174854.46</v>
      </c>
      <c r="E13" s="153">
        <f t="shared" si="1"/>
        <v>174.85445999999999</v>
      </c>
    </row>
    <row r="14" spans="1:14" x14ac:dyDescent="0.25">
      <c r="A14" s="89">
        <v>2020</v>
      </c>
      <c r="B14" s="90">
        <f>[1]Sheet3!E23</f>
        <v>815507</v>
      </c>
      <c r="C14" s="82">
        <v>0.22</v>
      </c>
      <c r="D14" s="153">
        <f t="shared" si="0"/>
        <v>179411.54</v>
      </c>
      <c r="E14" s="153">
        <f t="shared" si="1"/>
        <v>179.41154</v>
      </c>
    </row>
    <row r="15" spans="1:14" x14ac:dyDescent="0.25">
      <c r="A15" s="89">
        <v>2021</v>
      </c>
      <c r="B15" s="90">
        <f>[1]Sheet3!E24</f>
        <v>836221</v>
      </c>
      <c r="C15" s="82">
        <v>0.22</v>
      </c>
      <c r="D15" s="153">
        <f t="shared" si="0"/>
        <v>183968.62</v>
      </c>
      <c r="E15" s="153">
        <f t="shared" si="1"/>
        <v>183.96861999999999</v>
      </c>
    </row>
    <row r="16" spans="1:14" x14ac:dyDescent="0.25">
      <c r="A16" s="89">
        <v>2022</v>
      </c>
      <c r="B16" s="90">
        <f>[1]Sheet3!E25</f>
        <v>856935</v>
      </c>
      <c r="C16" s="82">
        <v>0.22</v>
      </c>
      <c r="D16" s="153">
        <f t="shared" si="0"/>
        <v>188525.7</v>
      </c>
      <c r="E16" s="153">
        <f t="shared" si="1"/>
        <v>188.5257</v>
      </c>
    </row>
    <row r="17" spans="1:10" x14ac:dyDescent="0.25">
      <c r="A17" s="89">
        <v>2023</v>
      </c>
      <c r="B17" s="90">
        <f>[1]Sheet3!E26</f>
        <v>877649</v>
      </c>
      <c r="C17" s="82">
        <v>0.22</v>
      </c>
      <c r="D17" s="153">
        <f t="shared" si="0"/>
        <v>193082.78</v>
      </c>
      <c r="E17" s="153">
        <f t="shared" si="1"/>
        <v>193.08277999999999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[1]Sheet3!E27</f>
        <v>898363</v>
      </c>
      <c r="C18" s="82">
        <v>0.22</v>
      </c>
      <c r="D18" s="153">
        <f t="shared" si="0"/>
        <v>197639.86000000002</v>
      </c>
      <c r="E18" s="153">
        <f t="shared" si="1"/>
        <v>197.63986000000003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[1]Sheet3!E28</f>
        <v>919077</v>
      </c>
      <c r="C19" s="82">
        <v>0.22</v>
      </c>
      <c r="D19" s="153">
        <f t="shared" si="0"/>
        <v>202196.94</v>
      </c>
      <c r="E19" s="153">
        <f t="shared" si="1"/>
        <v>202.19694000000001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[1]Sheet3!E29</f>
        <v>939791</v>
      </c>
      <c r="C20" s="82">
        <v>0.22</v>
      </c>
      <c r="D20" s="153">
        <f t="shared" si="0"/>
        <v>206754.02</v>
      </c>
      <c r="E20" s="153">
        <f t="shared" si="1"/>
        <v>206.75402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[1]Sheet3!E30</f>
        <v>960505</v>
      </c>
      <c r="C21" s="82">
        <v>0.22</v>
      </c>
      <c r="D21" s="153">
        <f t="shared" si="0"/>
        <v>211311.1</v>
      </c>
      <c r="E21" s="153">
        <f t="shared" si="1"/>
        <v>211.31110000000001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[1]Sheet3!E31</f>
        <v>981219</v>
      </c>
      <c r="C22" s="82">
        <v>0.22</v>
      </c>
      <c r="D22" s="153">
        <f t="shared" si="0"/>
        <v>215868.18</v>
      </c>
      <c r="E22" s="153">
        <f t="shared" si="1"/>
        <v>215.86818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[1]Sheet3!E32</f>
        <v>1001933</v>
      </c>
      <c r="C23" s="82">
        <v>0.22</v>
      </c>
      <c r="D23" s="153">
        <f t="shared" si="0"/>
        <v>220425.26</v>
      </c>
      <c r="E23" s="153">
        <f t="shared" si="1"/>
        <v>220.42526000000001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[1]Sheet3!E33</f>
        <v>1022647</v>
      </c>
      <c r="C24" s="82">
        <v>0.22</v>
      </c>
      <c r="D24" s="153">
        <f t="shared" si="0"/>
        <v>224982.34</v>
      </c>
      <c r="E24" s="153">
        <f t="shared" si="1"/>
        <v>224.98233999999999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zoomScaleNormal="100" workbookViewId="0">
      <selection activeCell="A4" sqref="A4:A5"/>
    </sheetView>
  </sheetViews>
  <sheetFormatPr defaultRowHeight="12.75" x14ac:dyDescent="0.25"/>
  <cols>
    <col min="1" max="1" width="9.140625" style="147"/>
    <col min="2" max="2" width="15.5703125" style="147" customWidth="1"/>
    <col min="3" max="3" width="11" style="147" customWidth="1"/>
    <col min="4" max="6" width="9.140625" style="147"/>
    <col min="7" max="7" width="12.28515625" style="147" customWidth="1"/>
    <col min="8" max="8" width="9.140625" style="147"/>
    <col min="9" max="9" width="16.85546875" style="147" customWidth="1"/>
    <col min="10" max="11" width="9.140625" style="147"/>
    <col min="12" max="12" width="9" style="154" bestFit="1" customWidth="1"/>
    <col min="13" max="13" width="12" style="154" bestFit="1" customWidth="1"/>
    <col min="14" max="14" width="2.42578125" style="154" customWidth="1"/>
    <col min="15" max="15" width="7.140625" style="154" customWidth="1"/>
    <col min="16" max="19" width="9.140625" style="154"/>
    <col min="20" max="20" width="1.42578125" style="154" customWidth="1"/>
    <col min="21" max="21" width="7.140625" style="154" customWidth="1"/>
    <col min="22" max="22" width="50.28515625" style="154" customWidth="1"/>
    <col min="23" max="25" width="9.140625" style="154"/>
    <col min="26" max="16384" width="9.140625" style="147"/>
  </cols>
  <sheetData>
    <row r="2" spans="1:21" x14ac:dyDescent="0.25">
      <c r="A2" s="172" t="s">
        <v>9</v>
      </c>
      <c r="B2" s="172"/>
      <c r="C2" s="172"/>
      <c r="D2" s="172"/>
      <c r="E2" s="172"/>
      <c r="F2" s="172"/>
      <c r="G2" s="172"/>
      <c r="H2" s="172"/>
      <c r="I2" s="172"/>
    </row>
    <row r="3" spans="1:21" x14ac:dyDescent="0.25">
      <c r="A3" s="155" t="s">
        <v>153</v>
      </c>
    </row>
    <row r="4" spans="1:21" x14ac:dyDescent="0.25">
      <c r="A4" s="173" t="s">
        <v>8</v>
      </c>
      <c r="B4" s="173" t="s">
        <v>0</v>
      </c>
      <c r="C4" s="173"/>
      <c r="D4" s="173"/>
      <c r="E4" s="173"/>
      <c r="F4" s="173"/>
      <c r="G4" s="173"/>
      <c r="H4" s="173"/>
      <c r="I4" s="177" t="s">
        <v>10</v>
      </c>
    </row>
    <row r="5" spans="1:21" ht="25.5" x14ac:dyDescent="0.25">
      <c r="A5" s="173"/>
      <c r="B5" s="152" t="s">
        <v>1</v>
      </c>
      <c r="C5" s="152" t="s">
        <v>2</v>
      </c>
      <c r="D5" s="152" t="s">
        <v>149</v>
      </c>
      <c r="E5" s="152" t="s">
        <v>4</v>
      </c>
      <c r="F5" s="152" t="s">
        <v>5</v>
      </c>
      <c r="G5" s="152" t="s">
        <v>128</v>
      </c>
      <c r="H5" s="152" t="s">
        <v>7</v>
      </c>
      <c r="I5" s="178"/>
      <c r="P5" s="156"/>
    </row>
    <row r="6" spans="1:21" ht="17.25" customHeight="1" x14ac:dyDescent="0.25">
      <c r="A6" s="157">
        <v>2011</v>
      </c>
      <c r="B6" s="168">
        <v>0.31609999999999999</v>
      </c>
      <c r="C6" s="168">
        <f>4%+9.35%+8.46%+6.21%</f>
        <v>0.2802</v>
      </c>
      <c r="D6" s="168">
        <v>1.35E-2</v>
      </c>
      <c r="E6" s="168">
        <v>0.39019999999999999</v>
      </c>
      <c r="F6" s="92"/>
      <c r="G6" s="92"/>
      <c r="H6" s="92"/>
      <c r="I6" s="158">
        <f>SUM(B6:H6)</f>
        <v>1</v>
      </c>
      <c r="L6" s="93"/>
    </row>
    <row r="7" spans="1:21" x14ac:dyDescent="0.25">
      <c r="A7" s="157">
        <v>2012</v>
      </c>
      <c r="B7" s="168">
        <v>0.31609999999999999</v>
      </c>
      <c r="C7" s="168">
        <f t="shared" ref="C7:C25" si="0">4%+9.35%+8.46%+6.21%</f>
        <v>0.2802</v>
      </c>
      <c r="D7" s="168">
        <v>1.35E-2</v>
      </c>
      <c r="E7" s="168">
        <v>0.39019999999999999</v>
      </c>
      <c r="F7" s="92"/>
      <c r="G7" s="92"/>
      <c r="H7" s="92"/>
      <c r="I7" s="158">
        <f t="shared" ref="I7:I25" si="1">SUM(B7:H7)</f>
        <v>1</v>
      </c>
      <c r="L7" s="154">
        <v>2000</v>
      </c>
      <c r="M7" s="154">
        <f>M8-(M8*0.024)</f>
        <v>0</v>
      </c>
      <c r="N7" s="94"/>
      <c r="O7" s="95"/>
      <c r="P7" s="156"/>
      <c r="S7" s="159"/>
      <c r="T7" s="160"/>
      <c r="U7" s="159"/>
    </row>
    <row r="8" spans="1:21" x14ac:dyDescent="0.25">
      <c r="A8" s="157">
        <v>2013</v>
      </c>
      <c r="B8" s="168">
        <v>0.31609999999999999</v>
      </c>
      <c r="C8" s="168">
        <f t="shared" si="0"/>
        <v>0.2802</v>
      </c>
      <c r="D8" s="168">
        <v>1.35E-2</v>
      </c>
      <c r="E8" s="168">
        <v>0.39019999999999999</v>
      </c>
      <c r="F8" s="92"/>
      <c r="G8" s="92"/>
      <c r="H8" s="92"/>
      <c r="I8" s="158">
        <f t="shared" si="1"/>
        <v>1</v>
      </c>
      <c r="L8" s="154">
        <v>2001</v>
      </c>
      <c r="M8" s="154">
        <f t="shared" ref="M8:M10" si="2">M9-(M9*0.024)</f>
        <v>0</v>
      </c>
      <c r="N8" s="95"/>
      <c r="O8" s="95"/>
      <c r="P8" s="156"/>
      <c r="S8" s="161"/>
      <c r="T8" s="161"/>
      <c r="U8" s="161"/>
    </row>
    <row r="9" spans="1:21" x14ac:dyDescent="0.25">
      <c r="A9" s="157">
        <v>2014</v>
      </c>
      <c r="B9" s="168">
        <v>0.31609999999999999</v>
      </c>
      <c r="C9" s="168">
        <f t="shared" si="0"/>
        <v>0.2802</v>
      </c>
      <c r="D9" s="168">
        <v>1.35E-2</v>
      </c>
      <c r="E9" s="168">
        <v>0.39019999999999999</v>
      </c>
      <c r="F9" s="92"/>
      <c r="G9" s="92"/>
      <c r="H9" s="92"/>
      <c r="I9" s="158">
        <f t="shared" si="1"/>
        <v>1</v>
      </c>
      <c r="L9" s="154">
        <v>2002</v>
      </c>
      <c r="M9" s="154">
        <f t="shared" si="2"/>
        <v>0</v>
      </c>
      <c r="N9" s="95"/>
      <c r="O9" s="95"/>
      <c r="P9" s="156"/>
    </row>
    <row r="10" spans="1:21" x14ac:dyDescent="0.25">
      <c r="A10" s="157">
        <v>2015</v>
      </c>
      <c r="B10" s="168">
        <v>0.31609999999999999</v>
      </c>
      <c r="C10" s="168">
        <f t="shared" si="0"/>
        <v>0.2802</v>
      </c>
      <c r="D10" s="168">
        <v>1.35E-2</v>
      </c>
      <c r="E10" s="168">
        <v>0.39019999999999999</v>
      </c>
      <c r="F10" s="92"/>
      <c r="G10" s="92"/>
      <c r="H10" s="92"/>
      <c r="I10" s="158">
        <f t="shared" si="1"/>
        <v>1</v>
      </c>
      <c r="L10" s="154">
        <v>2003</v>
      </c>
      <c r="M10" s="154">
        <f t="shared" si="2"/>
        <v>0</v>
      </c>
      <c r="N10" s="94"/>
      <c r="O10" s="95"/>
      <c r="P10" s="156"/>
    </row>
    <row r="11" spans="1:21" x14ac:dyDescent="0.25">
      <c r="A11" s="157">
        <v>2016</v>
      </c>
      <c r="B11" s="168">
        <v>0.31609999999999999</v>
      </c>
      <c r="C11" s="168">
        <f t="shared" si="0"/>
        <v>0.2802</v>
      </c>
      <c r="D11" s="168">
        <v>1.35E-2</v>
      </c>
      <c r="E11" s="168">
        <v>0.39019999999999999</v>
      </c>
      <c r="F11" s="92"/>
      <c r="G11" s="92"/>
      <c r="H11" s="92"/>
      <c r="I11" s="158">
        <f t="shared" si="1"/>
        <v>1</v>
      </c>
      <c r="L11" s="154">
        <v>2004</v>
      </c>
      <c r="M11" s="154">
        <f>M12-(M12*0.024)</f>
        <v>0</v>
      </c>
    </row>
    <row r="12" spans="1:21" x14ac:dyDescent="0.25">
      <c r="A12" s="157">
        <v>2017</v>
      </c>
      <c r="B12" s="168">
        <v>0.31609999999999999</v>
      </c>
      <c r="C12" s="168">
        <f t="shared" si="0"/>
        <v>0.2802</v>
      </c>
      <c r="D12" s="168">
        <v>1.35E-2</v>
      </c>
      <c r="E12" s="168">
        <v>0.39019999999999999</v>
      </c>
      <c r="F12" s="92"/>
      <c r="G12" s="92"/>
      <c r="H12" s="92"/>
      <c r="I12" s="158">
        <f t="shared" si="1"/>
        <v>1</v>
      </c>
      <c r="L12" s="154">
        <v>2005</v>
      </c>
      <c r="M12" s="154">
        <f>M13-(M13*O29)</f>
        <v>0</v>
      </c>
    </row>
    <row r="13" spans="1:21" x14ac:dyDescent="0.25">
      <c r="A13" s="157">
        <v>2018</v>
      </c>
      <c r="B13" s="168">
        <v>0.31609999999999999</v>
      </c>
      <c r="C13" s="168">
        <f t="shared" si="0"/>
        <v>0.2802</v>
      </c>
      <c r="D13" s="168">
        <v>1.35E-2</v>
      </c>
      <c r="E13" s="168">
        <v>0.39019999999999999</v>
      </c>
      <c r="F13" s="92"/>
      <c r="G13" s="92"/>
      <c r="H13" s="92"/>
      <c r="I13" s="158">
        <f t="shared" si="1"/>
        <v>1</v>
      </c>
      <c r="L13" s="154">
        <v>2006</v>
      </c>
      <c r="M13" s="154">
        <f>M14-(M14*O29)</f>
        <v>0</v>
      </c>
    </row>
    <row r="14" spans="1:21" x14ac:dyDescent="0.25">
      <c r="A14" s="157">
        <v>2019</v>
      </c>
      <c r="B14" s="168">
        <v>0.31609999999999999</v>
      </c>
      <c r="C14" s="168">
        <f t="shared" si="0"/>
        <v>0.2802</v>
      </c>
      <c r="D14" s="168">
        <v>1.35E-2</v>
      </c>
      <c r="E14" s="168">
        <v>0.39019999999999999</v>
      </c>
      <c r="F14" s="92"/>
      <c r="G14" s="92"/>
      <c r="H14" s="92"/>
      <c r="I14" s="158">
        <f t="shared" si="1"/>
        <v>1</v>
      </c>
      <c r="L14" s="154">
        <v>2007</v>
      </c>
      <c r="M14" s="154">
        <f>M15-(M15*O29)</f>
        <v>0</v>
      </c>
      <c r="P14" s="156"/>
    </row>
    <row r="15" spans="1:21" x14ac:dyDescent="0.25">
      <c r="A15" s="157">
        <v>2020</v>
      </c>
      <c r="B15" s="168">
        <v>0.31609999999999999</v>
      </c>
      <c r="C15" s="168">
        <f t="shared" si="0"/>
        <v>0.2802</v>
      </c>
      <c r="D15" s="168">
        <v>1.35E-2</v>
      </c>
      <c r="E15" s="168">
        <v>0.39019999999999999</v>
      </c>
      <c r="F15" s="92"/>
      <c r="G15" s="92"/>
      <c r="H15" s="92"/>
      <c r="I15" s="158">
        <f t="shared" si="1"/>
        <v>1</v>
      </c>
      <c r="L15" s="154">
        <v>2008</v>
      </c>
      <c r="M15" s="154">
        <f>M27-(M27*O29)</f>
        <v>0</v>
      </c>
      <c r="S15" s="159"/>
    </row>
    <row r="16" spans="1:21" x14ac:dyDescent="0.25">
      <c r="A16" s="157">
        <v>2021</v>
      </c>
      <c r="B16" s="168">
        <v>0.31609999999999999</v>
      </c>
      <c r="C16" s="168">
        <f t="shared" si="0"/>
        <v>0.2802</v>
      </c>
      <c r="D16" s="168">
        <v>1.35E-2</v>
      </c>
      <c r="E16" s="168">
        <v>0.39019999999999999</v>
      </c>
      <c r="F16" s="92"/>
      <c r="G16" s="92"/>
      <c r="H16" s="92"/>
      <c r="I16" s="158">
        <f t="shared" si="1"/>
        <v>1</v>
      </c>
      <c r="S16" s="159"/>
    </row>
    <row r="17" spans="1:19" x14ac:dyDescent="0.25">
      <c r="A17" s="157">
        <v>2022</v>
      </c>
      <c r="B17" s="168">
        <v>0.31609999999999999</v>
      </c>
      <c r="C17" s="168">
        <f t="shared" si="0"/>
        <v>0.2802</v>
      </c>
      <c r="D17" s="168">
        <v>1.35E-2</v>
      </c>
      <c r="E17" s="168">
        <v>0.39019999999999999</v>
      </c>
      <c r="F17" s="92"/>
      <c r="G17" s="92"/>
      <c r="H17" s="92"/>
      <c r="I17" s="158">
        <f t="shared" si="1"/>
        <v>1</v>
      </c>
      <c r="S17" s="159"/>
    </row>
    <row r="18" spans="1:19" x14ac:dyDescent="0.25">
      <c r="A18" s="157">
        <v>2023</v>
      </c>
      <c r="B18" s="168">
        <v>0.31609999999999999</v>
      </c>
      <c r="C18" s="168">
        <f t="shared" si="0"/>
        <v>0.2802</v>
      </c>
      <c r="D18" s="168">
        <v>1.35E-2</v>
      </c>
      <c r="E18" s="168">
        <v>0.39019999999999999</v>
      </c>
      <c r="F18" s="92"/>
      <c r="G18" s="92"/>
      <c r="H18" s="92"/>
      <c r="I18" s="158">
        <f t="shared" si="1"/>
        <v>1</v>
      </c>
      <c r="S18" s="159"/>
    </row>
    <row r="19" spans="1:19" x14ac:dyDescent="0.25">
      <c r="A19" s="157">
        <v>2024</v>
      </c>
      <c r="B19" s="168">
        <v>0.31609999999999999</v>
      </c>
      <c r="C19" s="168">
        <f t="shared" si="0"/>
        <v>0.2802</v>
      </c>
      <c r="D19" s="168">
        <v>1.35E-2</v>
      </c>
      <c r="E19" s="168">
        <v>0.39019999999999999</v>
      </c>
      <c r="F19" s="92"/>
      <c r="G19" s="92"/>
      <c r="H19" s="92"/>
      <c r="I19" s="158">
        <f t="shared" si="1"/>
        <v>1</v>
      </c>
      <c r="S19" s="159"/>
    </row>
    <row r="20" spans="1:19" x14ac:dyDescent="0.25">
      <c r="A20" s="157">
        <v>2025</v>
      </c>
      <c r="B20" s="168">
        <v>0.31609999999999999</v>
      </c>
      <c r="C20" s="168">
        <f t="shared" si="0"/>
        <v>0.2802</v>
      </c>
      <c r="D20" s="168">
        <v>1.35E-2</v>
      </c>
      <c r="E20" s="168">
        <v>0.39019999999999999</v>
      </c>
      <c r="F20" s="92"/>
      <c r="G20" s="92"/>
      <c r="H20" s="92"/>
      <c r="I20" s="158">
        <f t="shared" si="1"/>
        <v>1</v>
      </c>
      <c r="S20" s="159"/>
    </row>
    <row r="21" spans="1:19" x14ac:dyDescent="0.25">
      <c r="A21" s="157">
        <v>2026</v>
      </c>
      <c r="B21" s="168">
        <v>0.31609999999999999</v>
      </c>
      <c r="C21" s="168">
        <f t="shared" si="0"/>
        <v>0.2802</v>
      </c>
      <c r="D21" s="168">
        <v>1.35E-2</v>
      </c>
      <c r="E21" s="168">
        <v>0.39019999999999999</v>
      </c>
      <c r="F21" s="92"/>
      <c r="G21" s="92"/>
      <c r="H21" s="92"/>
      <c r="I21" s="158">
        <f t="shared" si="1"/>
        <v>1</v>
      </c>
      <c r="S21" s="159"/>
    </row>
    <row r="22" spans="1:19" x14ac:dyDescent="0.25">
      <c r="A22" s="157">
        <v>2027</v>
      </c>
      <c r="B22" s="168">
        <v>0.31609999999999999</v>
      </c>
      <c r="C22" s="168">
        <f t="shared" si="0"/>
        <v>0.2802</v>
      </c>
      <c r="D22" s="168">
        <v>1.35E-2</v>
      </c>
      <c r="E22" s="168">
        <v>0.39019999999999999</v>
      </c>
      <c r="F22" s="92"/>
      <c r="G22" s="92"/>
      <c r="H22" s="92"/>
      <c r="I22" s="158">
        <f t="shared" si="1"/>
        <v>1</v>
      </c>
      <c r="S22" s="159"/>
    </row>
    <row r="23" spans="1:19" x14ac:dyDescent="0.25">
      <c r="A23" s="157">
        <v>2028</v>
      </c>
      <c r="B23" s="168">
        <v>0.31609999999999999</v>
      </c>
      <c r="C23" s="168">
        <f t="shared" si="0"/>
        <v>0.2802</v>
      </c>
      <c r="D23" s="168">
        <v>1.35E-2</v>
      </c>
      <c r="E23" s="168">
        <v>0.39019999999999999</v>
      </c>
      <c r="F23" s="92"/>
      <c r="G23" s="92"/>
      <c r="H23" s="92"/>
      <c r="I23" s="158">
        <f t="shared" si="1"/>
        <v>1</v>
      </c>
      <c r="S23" s="159"/>
    </row>
    <row r="24" spans="1:19" x14ac:dyDescent="0.25">
      <c r="A24" s="157">
        <v>2029</v>
      </c>
      <c r="B24" s="168">
        <v>0.31609999999999999</v>
      </c>
      <c r="C24" s="168">
        <f t="shared" si="0"/>
        <v>0.2802</v>
      </c>
      <c r="D24" s="168">
        <v>1.35E-2</v>
      </c>
      <c r="E24" s="168">
        <v>0.39019999999999999</v>
      </c>
      <c r="F24" s="92"/>
      <c r="G24" s="92"/>
      <c r="H24" s="92"/>
      <c r="I24" s="158">
        <f t="shared" si="1"/>
        <v>1</v>
      </c>
      <c r="S24" s="159"/>
    </row>
    <row r="25" spans="1:19" x14ac:dyDescent="0.25">
      <c r="A25" s="157">
        <v>2030</v>
      </c>
      <c r="B25" s="168">
        <v>0.31609999999999999</v>
      </c>
      <c r="C25" s="168">
        <f t="shared" si="0"/>
        <v>0.2802</v>
      </c>
      <c r="D25" s="168">
        <v>1.35E-2</v>
      </c>
      <c r="E25" s="168">
        <v>0.39019999999999999</v>
      </c>
      <c r="F25" s="92"/>
      <c r="G25" s="92"/>
      <c r="H25" s="92"/>
      <c r="I25" s="158">
        <f t="shared" si="1"/>
        <v>1</v>
      </c>
      <c r="S25" s="159"/>
    </row>
    <row r="26" spans="1:19" ht="14.25" customHeight="1" x14ac:dyDescent="0.25">
      <c r="B26" s="92">
        <v>0.31609999999999999</v>
      </c>
      <c r="C26" s="92">
        <v>0.04</v>
      </c>
      <c r="D26" s="92">
        <v>1.35E-2</v>
      </c>
      <c r="E26" s="92">
        <v>0.39019999999999999</v>
      </c>
      <c r="F26" s="92"/>
      <c r="G26" s="92"/>
      <c r="H26" s="92"/>
    </row>
    <row r="27" spans="1:19" x14ac:dyDescent="0.25">
      <c r="A27" s="173" t="s">
        <v>11</v>
      </c>
      <c r="B27" s="174" t="s">
        <v>150</v>
      </c>
      <c r="C27" s="175"/>
      <c r="D27" s="175"/>
      <c r="E27" s="175"/>
      <c r="F27" s="175"/>
      <c r="G27" s="175"/>
      <c r="H27" s="176"/>
      <c r="I27" s="177" t="s">
        <v>40</v>
      </c>
    </row>
    <row r="28" spans="1:19" ht="25.5" x14ac:dyDescent="0.25">
      <c r="A28" s="173"/>
      <c r="B28" s="152" t="s">
        <v>1</v>
      </c>
      <c r="C28" s="152" t="s">
        <v>2</v>
      </c>
      <c r="D28" s="152" t="s">
        <v>149</v>
      </c>
      <c r="E28" s="146" t="s">
        <v>4</v>
      </c>
      <c r="F28" s="152" t="s">
        <v>5</v>
      </c>
      <c r="G28" s="152" t="s">
        <v>128</v>
      </c>
      <c r="H28" s="146" t="s">
        <v>7</v>
      </c>
      <c r="I28" s="178"/>
    </row>
    <row r="29" spans="1:19" x14ac:dyDescent="0.25">
      <c r="A29" s="157">
        <v>2011</v>
      </c>
      <c r="B29" s="162">
        <f t="shared" ref="B29:H29" si="3">$I$29*B6</f>
        <v>45.078167529999995</v>
      </c>
      <c r="C29" s="162">
        <f t="shared" si="3"/>
        <v>39.958565459999996</v>
      </c>
      <c r="D29" s="162">
        <f t="shared" si="3"/>
        <v>1.9251985499999997</v>
      </c>
      <c r="E29" s="163">
        <f t="shared" si="3"/>
        <v>55.645368459999993</v>
      </c>
      <c r="F29" s="162">
        <f t="shared" si="3"/>
        <v>0</v>
      </c>
      <c r="G29" s="162">
        <f t="shared" si="3"/>
        <v>0</v>
      </c>
      <c r="H29" s="164">
        <f t="shared" si="3"/>
        <v>0</v>
      </c>
      <c r="I29" s="165">
        <f>'timbulan sampah'!E5</f>
        <v>142.60729999999998</v>
      </c>
      <c r="J29" s="166">
        <f>SUM(B29:H29)</f>
        <v>142.60729999999998</v>
      </c>
    </row>
    <row r="30" spans="1:19" x14ac:dyDescent="0.25">
      <c r="A30" s="157">
        <v>2012</v>
      </c>
      <c r="B30" s="162">
        <f t="shared" ref="B30:H30" si="4">$I$30*B7</f>
        <v>46.279436038</v>
      </c>
      <c r="C30" s="162">
        <f t="shared" si="4"/>
        <v>41.023403915999999</v>
      </c>
      <c r="D30" s="162">
        <f t="shared" si="4"/>
        <v>1.97650233</v>
      </c>
      <c r="E30" s="163">
        <f t="shared" si="4"/>
        <v>57.128237715999994</v>
      </c>
      <c r="F30" s="162">
        <f t="shared" si="4"/>
        <v>0</v>
      </c>
      <c r="G30" s="162">
        <f t="shared" si="4"/>
        <v>0</v>
      </c>
      <c r="H30" s="164">
        <f t="shared" si="4"/>
        <v>0</v>
      </c>
      <c r="I30" s="165">
        <f>'timbulan sampah'!E6</f>
        <v>146.40758</v>
      </c>
      <c r="J30" s="166">
        <f t="shared" ref="J30:J48" si="5">SUM(B30:H30)</f>
        <v>146.40758</v>
      </c>
    </row>
    <row r="31" spans="1:19" x14ac:dyDescent="0.25">
      <c r="A31" s="157">
        <v>2013</v>
      </c>
      <c r="B31" s="162">
        <f t="shared" ref="B31:H31" si="6">$I$31*B8</f>
        <v>47.506296002000006</v>
      </c>
      <c r="C31" s="162">
        <f t="shared" si="6"/>
        <v>42.110927364000005</v>
      </c>
      <c r="D31" s="162">
        <f t="shared" si="6"/>
        <v>2.02889907</v>
      </c>
      <c r="E31" s="163">
        <f t="shared" si="6"/>
        <v>58.642697564000002</v>
      </c>
      <c r="F31" s="162">
        <f t="shared" si="6"/>
        <v>0</v>
      </c>
      <c r="G31" s="162">
        <f t="shared" si="6"/>
        <v>0</v>
      </c>
      <c r="H31" s="164">
        <f t="shared" si="6"/>
        <v>0</v>
      </c>
      <c r="I31" s="165">
        <f>'timbulan sampah'!E7</f>
        <v>150.28882000000002</v>
      </c>
      <c r="J31" s="166">
        <f t="shared" si="5"/>
        <v>150.28882000000002</v>
      </c>
    </row>
    <row r="32" spans="1:19" x14ac:dyDescent="0.25">
      <c r="A32" s="157">
        <v>2014</v>
      </c>
      <c r="B32" s="162">
        <f t="shared" ref="B32:H32" si="7">$I$32*B9</f>
        <v>48.709928937999997</v>
      </c>
      <c r="C32" s="162">
        <f t="shared" si="7"/>
        <v>43.177861715999995</v>
      </c>
      <c r="D32" s="162">
        <f t="shared" si="7"/>
        <v>2.0803038299999996</v>
      </c>
      <c r="E32" s="163">
        <f t="shared" si="7"/>
        <v>60.128485515999998</v>
      </c>
      <c r="F32" s="162">
        <f t="shared" si="7"/>
        <v>0</v>
      </c>
      <c r="G32" s="162">
        <f t="shared" si="7"/>
        <v>0</v>
      </c>
      <c r="H32" s="164">
        <f t="shared" si="7"/>
        <v>0</v>
      </c>
      <c r="I32" s="165">
        <f>'timbulan sampah'!E8</f>
        <v>154.09657999999999</v>
      </c>
      <c r="J32" s="166">
        <f t="shared" si="5"/>
        <v>154.09657999999999</v>
      </c>
      <c r="P32" s="156"/>
    </row>
    <row r="33" spans="1:16" x14ac:dyDescent="0.25">
      <c r="A33" s="157">
        <v>2015</v>
      </c>
      <c r="B33" s="162">
        <f t="shared" ref="B33:H33" si="8">$I$33*B10</f>
        <v>49.916482637999998</v>
      </c>
      <c r="C33" s="162">
        <f t="shared" si="8"/>
        <v>44.247385115999997</v>
      </c>
      <c r="D33" s="162">
        <f t="shared" si="8"/>
        <v>2.1318333300000001</v>
      </c>
      <c r="E33" s="163">
        <f t="shared" si="8"/>
        <v>61.617878915999995</v>
      </c>
      <c r="F33" s="162">
        <f t="shared" si="8"/>
        <v>0</v>
      </c>
      <c r="G33" s="162">
        <f t="shared" si="8"/>
        <v>0</v>
      </c>
      <c r="H33" s="164">
        <f t="shared" si="8"/>
        <v>0</v>
      </c>
      <c r="I33" s="165">
        <f>'timbulan sampah'!E9</f>
        <v>157.91358</v>
      </c>
      <c r="J33" s="166">
        <f t="shared" si="5"/>
        <v>157.91358</v>
      </c>
      <c r="P33" s="156"/>
    </row>
    <row r="34" spans="1:16" x14ac:dyDescent="0.25">
      <c r="A34" s="157">
        <v>2016</v>
      </c>
      <c r="B34" s="162">
        <f t="shared" ref="B34:H34" si="9">$I$34*B11</f>
        <v>51.114482672000001</v>
      </c>
      <c r="C34" s="162">
        <f t="shared" si="9"/>
        <v>45.309326304000002</v>
      </c>
      <c r="D34" s="162">
        <f t="shared" si="9"/>
        <v>2.1829975199999998</v>
      </c>
      <c r="E34" s="163">
        <f t="shared" si="9"/>
        <v>63.096713504</v>
      </c>
      <c r="F34" s="162">
        <f t="shared" si="9"/>
        <v>0</v>
      </c>
      <c r="G34" s="162">
        <f t="shared" si="9"/>
        <v>0</v>
      </c>
      <c r="H34" s="164">
        <f t="shared" si="9"/>
        <v>0</v>
      </c>
      <c r="I34" s="165">
        <f>'timbulan sampah'!E10</f>
        <v>161.70352</v>
      </c>
      <c r="J34" s="166">
        <f t="shared" si="5"/>
        <v>161.70352</v>
      </c>
    </row>
    <row r="35" spans="1:16" x14ac:dyDescent="0.25">
      <c r="A35" s="157">
        <v>2017</v>
      </c>
      <c r="B35" s="162">
        <f t="shared" ref="B35:H35" si="10">$I$35*B12</f>
        <v>52.390508829999995</v>
      </c>
      <c r="C35" s="162">
        <f t="shared" si="10"/>
        <v>46.440432059999999</v>
      </c>
      <c r="D35" s="162">
        <f t="shared" si="10"/>
        <v>2.23749405</v>
      </c>
      <c r="E35" s="163">
        <f t="shared" si="10"/>
        <v>64.671865060000002</v>
      </c>
      <c r="F35" s="162">
        <f t="shared" si="10"/>
        <v>0</v>
      </c>
      <c r="G35" s="162">
        <f t="shared" si="10"/>
        <v>0</v>
      </c>
      <c r="H35" s="164">
        <f t="shared" si="10"/>
        <v>0</v>
      </c>
      <c r="I35" s="165">
        <f>'timbulan sampah'!E11</f>
        <v>165.74029999999999</v>
      </c>
      <c r="J35" s="166">
        <f t="shared" si="5"/>
        <v>165.74029999999999</v>
      </c>
    </row>
    <row r="36" spans="1:16" x14ac:dyDescent="0.25">
      <c r="A36" s="157">
        <v>2018</v>
      </c>
      <c r="B36" s="162">
        <f t="shared" ref="B36:H36" si="11">$I$36*B13</f>
        <v>53.831001817999997</v>
      </c>
      <c r="C36" s="162">
        <f t="shared" si="11"/>
        <v>47.717325876000004</v>
      </c>
      <c r="D36" s="162">
        <f t="shared" si="11"/>
        <v>2.2990146299999998</v>
      </c>
      <c r="E36" s="163">
        <f t="shared" si="11"/>
        <v>66.450037675999994</v>
      </c>
      <c r="F36" s="162">
        <f t="shared" si="11"/>
        <v>0</v>
      </c>
      <c r="G36" s="162">
        <f t="shared" si="11"/>
        <v>0</v>
      </c>
      <c r="H36" s="164">
        <f t="shared" si="11"/>
        <v>0</v>
      </c>
      <c r="I36" s="165">
        <f>'timbulan sampah'!E12</f>
        <v>170.29738</v>
      </c>
      <c r="J36" s="166">
        <f t="shared" si="5"/>
        <v>170.29737999999998</v>
      </c>
    </row>
    <row r="37" spans="1:16" x14ac:dyDescent="0.25">
      <c r="A37" s="157">
        <v>2019</v>
      </c>
      <c r="B37" s="162">
        <f t="shared" ref="B37:H37" si="12">$I$37*B14</f>
        <v>55.271494805999993</v>
      </c>
      <c r="C37" s="162">
        <f t="shared" si="12"/>
        <v>48.994219691999994</v>
      </c>
      <c r="D37" s="162">
        <f t="shared" si="12"/>
        <v>2.3605352099999997</v>
      </c>
      <c r="E37" s="163">
        <f t="shared" si="12"/>
        <v>68.228210292</v>
      </c>
      <c r="F37" s="162">
        <f t="shared" si="12"/>
        <v>0</v>
      </c>
      <c r="G37" s="162">
        <f t="shared" si="12"/>
        <v>0</v>
      </c>
      <c r="H37" s="164">
        <f t="shared" si="12"/>
        <v>0</v>
      </c>
      <c r="I37" s="165">
        <f>'timbulan sampah'!E13</f>
        <v>174.85445999999999</v>
      </c>
      <c r="J37" s="166">
        <f t="shared" si="5"/>
        <v>174.85445999999999</v>
      </c>
    </row>
    <row r="38" spans="1:16" x14ac:dyDescent="0.25">
      <c r="A38" s="157">
        <v>2020</v>
      </c>
      <c r="B38" s="162">
        <f t="shared" ref="B38:H38" si="13">$I$38*B15</f>
        <v>56.711987794000002</v>
      </c>
      <c r="C38" s="162">
        <f t="shared" si="13"/>
        <v>50.271113507999999</v>
      </c>
      <c r="D38" s="162">
        <f t="shared" si="13"/>
        <v>2.4220557899999999</v>
      </c>
      <c r="E38" s="163">
        <f t="shared" si="13"/>
        <v>70.006382908000006</v>
      </c>
      <c r="F38" s="162">
        <f t="shared" si="13"/>
        <v>0</v>
      </c>
      <c r="G38" s="162">
        <f t="shared" si="13"/>
        <v>0</v>
      </c>
      <c r="H38" s="164">
        <f t="shared" si="13"/>
        <v>0</v>
      </c>
      <c r="I38" s="165">
        <f>'timbulan sampah'!E14</f>
        <v>179.41154</v>
      </c>
      <c r="J38" s="166">
        <f t="shared" si="5"/>
        <v>179.41154</v>
      </c>
    </row>
    <row r="39" spans="1:16" x14ac:dyDescent="0.25">
      <c r="A39" s="157">
        <v>2021</v>
      </c>
      <c r="B39" s="162">
        <f t="shared" ref="B39:H39" si="14">$I$39*B16</f>
        <v>58.152480781999998</v>
      </c>
      <c r="C39" s="162">
        <f t="shared" si="14"/>
        <v>51.548007323999997</v>
      </c>
      <c r="D39" s="162">
        <f t="shared" si="14"/>
        <v>2.4835763699999998</v>
      </c>
      <c r="E39" s="163">
        <f t="shared" si="14"/>
        <v>71.784555523999998</v>
      </c>
      <c r="F39" s="162">
        <f t="shared" si="14"/>
        <v>0</v>
      </c>
      <c r="G39" s="162">
        <f t="shared" si="14"/>
        <v>0</v>
      </c>
      <c r="H39" s="164">
        <f t="shared" si="14"/>
        <v>0</v>
      </c>
      <c r="I39" s="165">
        <f>'timbulan sampah'!E15</f>
        <v>183.96861999999999</v>
      </c>
      <c r="J39" s="166">
        <f t="shared" si="5"/>
        <v>183.96861999999999</v>
      </c>
    </row>
    <row r="40" spans="1:16" x14ac:dyDescent="0.25">
      <c r="A40" s="157">
        <v>2022</v>
      </c>
      <c r="B40" s="162">
        <f t="shared" ref="B40:H40" si="15">$I$40*B17</f>
        <v>59.59297377</v>
      </c>
      <c r="C40" s="162">
        <f t="shared" si="15"/>
        <v>52.824901140000001</v>
      </c>
      <c r="D40" s="162">
        <f t="shared" si="15"/>
        <v>2.54509695</v>
      </c>
      <c r="E40" s="163">
        <f t="shared" si="15"/>
        <v>73.562728140000004</v>
      </c>
      <c r="F40" s="162">
        <f t="shared" si="15"/>
        <v>0</v>
      </c>
      <c r="G40" s="162">
        <f t="shared" si="15"/>
        <v>0</v>
      </c>
      <c r="H40" s="164">
        <f t="shared" si="15"/>
        <v>0</v>
      </c>
      <c r="I40" s="165">
        <f>'timbulan sampah'!E16</f>
        <v>188.5257</v>
      </c>
      <c r="J40" s="166">
        <f t="shared" si="5"/>
        <v>188.5257</v>
      </c>
    </row>
    <row r="41" spans="1:16" x14ac:dyDescent="0.25">
      <c r="A41" s="157">
        <v>2023</v>
      </c>
      <c r="B41" s="162">
        <f t="shared" ref="B41:H41" si="16">$I$41*B18</f>
        <v>61.033466757999996</v>
      </c>
      <c r="C41" s="162">
        <f t="shared" si="16"/>
        <v>54.101794955999999</v>
      </c>
      <c r="D41" s="162">
        <f t="shared" si="16"/>
        <v>2.6066175299999998</v>
      </c>
      <c r="E41" s="163">
        <f t="shared" si="16"/>
        <v>75.340900755999996</v>
      </c>
      <c r="F41" s="162">
        <f t="shared" si="16"/>
        <v>0</v>
      </c>
      <c r="G41" s="162">
        <f t="shared" si="16"/>
        <v>0</v>
      </c>
      <c r="H41" s="164">
        <f t="shared" si="16"/>
        <v>0</v>
      </c>
      <c r="I41" s="165">
        <f>'timbulan sampah'!E17</f>
        <v>193.08277999999999</v>
      </c>
      <c r="J41" s="166">
        <f t="shared" si="5"/>
        <v>193.08277999999999</v>
      </c>
    </row>
    <row r="42" spans="1:16" x14ac:dyDescent="0.25">
      <c r="A42" s="157">
        <v>2024</v>
      </c>
      <c r="B42" s="162">
        <f t="shared" ref="B42:H42" si="17">$I$42*B19</f>
        <v>62.473959746000006</v>
      </c>
      <c r="C42" s="162">
        <f t="shared" si="17"/>
        <v>55.378688772000011</v>
      </c>
      <c r="D42" s="162">
        <f t="shared" si="17"/>
        <v>2.6681381100000001</v>
      </c>
      <c r="E42" s="163">
        <f t="shared" si="17"/>
        <v>77.119073372000003</v>
      </c>
      <c r="F42" s="162">
        <f t="shared" si="17"/>
        <v>0</v>
      </c>
      <c r="G42" s="162">
        <f t="shared" si="17"/>
        <v>0</v>
      </c>
      <c r="H42" s="164">
        <f t="shared" si="17"/>
        <v>0</v>
      </c>
      <c r="I42" s="165">
        <f>'timbulan sampah'!E18</f>
        <v>197.63986000000003</v>
      </c>
      <c r="J42" s="166">
        <f t="shared" si="5"/>
        <v>197.63986000000003</v>
      </c>
    </row>
    <row r="43" spans="1:16" x14ac:dyDescent="0.25">
      <c r="A43" s="157">
        <v>2025</v>
      </c>
      <c r="B43" s="162">
        <f t="shared" ref="B43:H43" si="18">$I$43*B20</f>
        <v>63.914452734000001</v>
      </c>
      <c r="C43" s="162">
        <f t="shared" si="18"/>
        <v>56.655582588000001</v>
      </c>
      <c r="D43" s="162">
        <f t="shared" si="18"/>
        <v>2.7296586899999999</v>
      </c>
      <c r="E43" s="163">
        <f t="shared" si="18"/>
        <v>78.897245988000009</v>
      </c>
      <c r="F43" s="162">
        <f t="shared" si="18"/>
        <v>0</v>
      </c>
      <c r="G43" s="162">
        <f t="shared" si="18"/>
        <v>0</v>
      </c>
      <c r="H43" s="164">
        <f t="shared" si="18"/>
        <v>0</v>
      </c>
      <c r="I43" s="165">
        <f>'timbulan sampah'!E19</f>
        <v>202.19694000000001</v>
      </c>
      <c r="J43" s="166">
        <f t="shared" si="5"/>
        <v>202.19693999999998</v>
      </c>
    </row>
    <row r="44" spans="1:16" x14ac:dyDescent="0.25">
      <c r="A44" s="157">
        <v>2026</v>
      </c>
      <c r="B44" s="162">
        <f t="shared" ref="B44:H44" si="19">$I$44*B21</f>
        <v>65.354945721999997</v>
      </c>
      <c r="C44" s="162">
        <f t="shared" si="19"/>
        <v>57.932476403999999</v>
      </c>
      <c r="D44" s="162">
        <f t="shared" si="19"/>
        <v>2.7911792699999998</v>
      </c>
      <c r="E44" s="163">
        <f t="shared" si="19"/>
        <v>80.675418604000001</v>
      </c>
      <c r="F44" s="162">
        <f t="shared" si="19"/>
        <v>0</v>
      </c>
      <c r="G44" s="162">
        <f t="shared" si="19"/>
        <v>0</v>
      </c>
      <c r="H44" s="164">
        <f t="shared" si="19"/>
        <v>0</v>
      </c>
      <c r="I44" s="165">
        <f>'timbulan sampah'!E20</f>
        <v>206.75402</v>
      </c>
      <c r="J44" s="166">
        <f t="shared" si="5"/>
        <v>206.75402</v>
      </c>
    </row>
    <row r="45" spans="1:16" x14ac:dyDescent="0.25">
      <c r="A45" s="157">
        <v>2027</v>
      </c>
      <c r="B45" s="162">
        <f t="shared" ref="B45:H45" si="20">$I$45*B22</f>
        <v>66.795438709999999</v>
      </c>
      <c r="C45" s="162">
        <f t="shared" si="20"/>
        <v>59.209370220000004</v>
      </c>
      <c r="D45" s="162">
        <f t="shared" si="20"/>
        <v>2.85269985</v>
      </c>
      <c r="E45" s="163">
        <f t="shared" si="20"/>
        <v>82.453591220000007</v>
      </c>
      <c r="F45" s="162">
        <f t="shared" si="20"/>
        <v>0</v>
      </c>
      <c r="G45" s="162">
        <f t="shared" si="20"/>
        <v>0</v>
      </c>
      <c r="H45" s="164">
        <f t="shared" si="20"/>
        <v>0</v>
      </c>
      <c r="I45" s="165">
        <f>'timbulan sampah'!E21</f>
        <v>211.31110000000001</v>
      </c>
      <c r="J45" s="166">
        <f t="shared" si="5"/>
        <v>211.31110000000001</v>
      </c>
    </row>
    <row r="46" spans="1:16" x14ac:dyDescent="0.25">
      <c r="A46" s="157">
        <v>2028</v>
      </c>
      <c r="B46" s="162">
        <f t="shared" ref="B46:H46" si="21">$I$46*B23</f>
        <v>68.235931698000002</v>
      </c>
      <c r="C46" s="162">
        <f t="shared" si="21"/>
        <v>60.486264036000001</v>
      </c>
      <c r="D46" s="162">
        <f t="shared" si="21"/>
        <v>2.9142204299999999</v>
      </c>
      <c r="E46" s="163">
        <f t="shared" si="21"/>
        <v>84.231763835999999</v>
      </c>
      <c r="F46" s="162">
        <f t="shared" si="21"/>
        <v>0</v>
      </c>
      <c r="G46" s="162">
        <f t="shared" si="21"/>
        <v>0</v>
      </c>
      <c r="H46" s="163">
        <f t="shared" si="21"/>
        <v>0</v>
      </c>
      <c r="I46" s="165">
        <f>'timbulan sampah'!E22</f>
        <v>215.86818</v>
      </c>
      <c r="J46" s="166">
        <f t="shared" si="5"/>
        <v>215.86818</v>
      </c>
    </row>
    <row r="47" spans="1:16" x14ac:dyDescent="0.25">
      <c r="A47" s="157">
        <v>2029</v>
      </c>
      <c r="B47" s="162">
        <f t="shared" ref="B47:H47" si="22">$I$47*B24</f>
        <v>69.676424686000004</v>
      </c>
      <c r="C47" s="162">
        <f t="shared" si="22"/>
        <v>61.763157852000006</v>
      </c>
      <c r="D47" s="162">
        <f t="shared" si="22"/>
        <v>2.9757410100000001</v>
      </c>
      <c r="E47" s="163">
        <f t="shared" si="22"/>
        <v>86.009936452000005</v>
      </c>
      <c r="F47" s="162">
        <f t="shared" si="22"/>
        <v>0</v>
      </c>
      <c r="G47" s="162">
        <f t="shared" si="22"/>
        <v>0</v>
      </c>
      <c r="H47" s="163">
        <f t="shared" si="22"/>
        <v>0</v>
      </c>
      <c r="I47" s="165">
        <f>'timbulan sampah'!E23</f>
        <v>220.42526000000001</v>
      </c>
      <c r="J47" s="166">
        <f t="shared" si="5"/>
        <v>220.42526000000004</v>
      </c>
    </row>
    <row r="48" spans="1:16" x14ac:dyDescent="0.25">
      <c r="A48" s="157">
        <v>2030</v>
      </c>
      <c r="B48" s="162">
        <f t="shared" ref="B48:H48" si="23">$I$48*B25</f>
        <v>71.116917673999993</v>
      </c>
      <c r="C48" s="162">
        <f t="shared" si="23"/>
        <v>63.040051667999997</v>
      </c>
      <c r="D48" s="162">
        <f t="shared" si="23"/>
        <v>3.03726159</v>
      </c>
      <c r="E48" s="163">
        <f t="shared" si="23"/>
        <v>87.788109067999997</v>
      </c>
      <c r="F48" s="162">
        <f t="shared" si="23"/>
        <v>0</v>
      </c>
      <c r="G48" s="162">
        <f t="shared" si="23"/>
        <v>0</v>
      </c>
      <c r="H48" s="163">
        <f t="shared" si="23"/>
        <v>0</v>
      </c>
      <c r="I48" s="165">
        <f>'timbulan sampah'!E24</f>
        <v>224.98233999999999</v>
      </c>
      <c r="J48" s="166">
        <f t="shared" si="5"/>
        <v>224.98233999999997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A110" sqref="A110"/>
    </sheetView>
  </sheetViews>
  <sheetFormatPr defaultRowHeight="15" x14ac:dyDescent="0.25"/>
  <cols>
    <col min="1" max="1" width="9.42578125" style="96" bestFit="1" customWidth="1"/>
    <col min="2" max="2" width="11.5703125" style="96" bestFit="1" customWidth="1"/>
    <col min="3" max="3" width="11" style="96" bestFit="1" customWidth="1"/>
    <col min="4" max="4" width="12.7109375" style="96" bestFit="1" customWidth="1"/>
    <col min="5" max="5" width="12.42578125" style="96" customWidth="1"/>
    <col min="6" max="6" width="15.28515625" style="96" customWidth="1"/>
    <col min="7" max="7" width="14.7109375" style="96" customWidth="1"/>
    <col min="8" max="8" width="9.42578125" style="96" bestFit="1" customWidth="1"/>
    <col min="9" max="9" width="13.42578125" style="96" customWidth="1"/>
    <col min="10" max="10" width="11.28515625" style="96" bestFit="1" customWidth="1"/>
    <col min="11" max="14" width="9.42578125" style="96" bestFit="1" customWidth="1"/>
    <col min="15" max="15" width="9.140625" style="96"/>
    <col min="16" max="19" width="9.42578125" style="96" bestFit="1" customWidth="1"/>
    <col min="20" max="23" width="9.140625" style="96"/>
    <col min="24" max="24" width="9.5703125" style="96" bestFit="1" customWidth="1"/>
    <col min="25" max="16384" width="9.140625" style="96"/>
  </cols>
  <sheetData>
    <row r="2" spans="1:24" x14ac:dyDescent="0.25">
      <c r="A2" s="103" t="s">
        <v>117</v>
      </c>
      <c r="B2" s="103"/>
      <c r="C2" s="103"/>
      <c r="D2" s="104"/>
      <c r="E2" s="104"/>
      <c r="F2" s="104"/>
      <c r="G2" s="104"/>
      <c r="H2" s="104"/>
      <c r="I2" s="104"/>
    </row>
    <row r="3" spans="1:24" x14ac:dyDescent="0.25">
      <c r="A3" s="105"/>
    </row>
    <row r="4" spans="1:24" x14ac:dyDescent="0.25">
      <c r="A4" s="106" t="s">
        <v>126</v>
      </c>
    </row>
    <row r="6" spans="1:24" ht="35.25" customHeight="1" x14ac:dyDescent="0.25">
      <c r="A6" s="190" t="s">
        <v>11</v>
      </c>
      <c r="B6" s="196" t="s">
        <v>118</v>
      </c>
      <c r="C6" s="196"/>
      <c r="D6" s="196"/>
      <c r="E6" s="107" t="s">
        <v>114</v>
      </c>
      <c r="F6" s="190" t="s">
        <v>11</v>
      </c>
      <c r="G6" s="196" t="s">
        <v>111</v>
      </c>
      <c r="H6" s="196"/>
      <c r="I6" s="196"/>
      <c r="J6" s="97" t="s">
        <v>115</v>
      </c>
      <c r="K6" s="190" t="s">
        <v>11</v>
      </c>
      <c r="L6" s="196" t="s">
        <v>112</v>
      </c>
      <c r="M6" s="196"/>
      <c r="N6" s="196"/>
      <c r="O6" s="97" t="s">
        <v>115</v>
      </c>
      <c r="P6" s="190" t="s">
        <v>11</v>
      </c>
      <c r="Q6" s="196" t="s">
        <v>113</v>
      </c>
      <c r="R6" s="196"/>
      <c r="S6" s="196"/>
      <c r="X6" s="98"/>
    </row>
    <row r="7" spans="1:24" ht="18" x14ac:dyDescent="0.25">
      <c r="A7" s="190"/>
      <c r="B7" s="190" t="s">
        <v>129</v>
      </c>
      <c r="C7" s="190"/>
      <c r="D7" s="196" t="s">
        <v>130</v>
      </c>
      <c r="E7" s="108"/>
      <c r="F7" s="190"/>
      <c r="G7" s="190" t="s">
        <v>129</v>
      </c>
      <c r="H7" s="190"/>
      <c r="I7" s="196" t="s">
        <v>130</v>
      </c>
      <c r="K7" s="190"/>
      <c r="L7" s="190" t="s">
        <v>129</v>
      </c>
      <c r="M7" s="190"/>
      <c r="N7" s="196" t="s">
        <v>130</v>
      </c>
      <c r="P7" s="190"/>
      <c r="Q7" s="190" t="s">
        <v>129</v>
      </c>
      <c r="R7" s="190"/>
      <c r="S7" s="196" t="s">
        <v>130</v>
      </c>
      <c r="X7" s="98"/>
    </row>
    <row r="8" spans="1:24" ht="18" x14ac:dyDescent="0.25">
      <c r="A8" s="190"/>
      <c r="B8" s="109" t="s">
        <v>131</v>
      </c>
      <c r="C8" s="109" t="s">
        <v>132</v>
      </c>
      <c r="D8" s="196"/>
      <c r="E8" s="110"/>
      <c r="F8" s="190"/>
      <c r="G8" s="109" t="s">
        <v>131</v>
      </c>
      <c r="H8" s="109" t="s">
        <v>132</v>
      </c>
      <c r="I8" s="196"/>
      <c r="K8" s="190"/>
      <c r="L8" s="109" t="s">
        <v>131</v>
      </c>
      <c r="M8" s="109" t="s">
        <v>132</v>
      </c>
      <c r="N8" s="196"/>
      <c r="P8" s="190"/>
      <c r="Q8" s="109" t="s">
        <v>131</v>
      </c>
      <c r="R8" s="109" t="s">
        <v>132</v>
      </c>
      <c r="S8" s="196"/>
    </row>
    <row r="9" spans="1:24" x14ac:dyDescent="0.25">
      <c r="A9" s="89">
        <v>2011</v>
      </c>
      <c r="B9" s="151">
        <f>[2]Results!O28</f>
        <v>1.7866822594584642</v>
      </c>
      <c r="C9" s="111">
        <f>B9*21</f>
        <v>37.520327448627746</v>
      </c>
      <c r="D9" s="112">
        <f t="shared" ref="D9:D14" si="0">E9+C9</f>
        <v>37.520327448627746</v>
      </c>
      <c r="E9" s="113"/>
      <c r="F9" s="89">
        <v>2011</v>
      </c>
      <c r="G9" s="151">
        <f>[3]Results!O28</f>
        <v>0</v>
      </c>
      <c r="H9" s="111">
        <f>G9*21</f>
        <v>0</v>
      </c>
      <c r="I9" s="112">
        <f t="shared" ref="I9:I14" si="1">J9+H9</f>
        <v>0</v>
      </c>
      <c r="K9" s="89">
        <v>2011</v>
      </c>
      <c r="L9" s="150">
        <f>[4]Results!O28</f>
        <v>1.2670126392920262</v>
      </c>
      <c r="M9" s="111">
        <f>L9*21</f>
        <v>26.60726542513255</v>
      </c>
      <c r="N9" s="112">
        <f>O9+M9</f>
        <v>26.60726542513255</v>
      </c>
      <c r="P9" s="89">
        <v>2011</v>
      </c>
      <c r="Q9" s="150">
        <f>[5]Results!O28</f>
        <v>0</v>
      </c>
      <c r="R9" s="114">
        <f>Q9*21</f>
        <v>0</v>
      </c>
      <c r="S9" s="115">
        <f>T9+R9</f>
        <v>0</v>
      </c>
    </row>
    <row r="10" spans="1:24" x14ac:dyDescent="0.25">
      <c r="A10" s="89">
        <v>2012</v>
      </c>
      <c r="B10" s="151">
        <f>[2]Results!O29</f>
        <v>1.904468740363118</v>
      </c>
      <c r="C10" s="111">
        <f t="shared" ref="C10:C14" si="2">B10*21</f>
        <v>39.993843547625474</v>
      </c>
      <c r="D10" s="112">
        <f t="shared" si="0"/>
        <v>39.993843547625474</v>
      </c>
      <c r="E10" s="113"/>
      <c r="F10" s="89">
        <v>2012</v>
      </c>
      <c r="G10" s="151">
        <f>[3]Results!O29</f>
        <v>0</v>
      </c>
      <c r="H10" s="111">
        <f t="shared" ref="H10:H14" si="3">G10*21</f>
        <v>0</v>
      </c>
      <c r="I10" s="112">
        <f t="shared" si="1"/>
        <v>0</v>
      </c>
      <c r="K10" s="89">
        <v>2012</v>
      </c>
      <c r="L10" s="150">
        <f>[4]Results!O29</f>
        <v>1.3505400596007484</v>
      </c>
      <c r="M10" s="111">
        <f t="shared" ref="M10:M14" si="4">L10*21</f>
        <v>28.361341251615716</v>
      </c>
      <c r="N10" s="112">
        <f t="shared" ref="N10:N14" si="5">O10+M10</f>
        <v>28.361341251615716</v>
      </c>
      <c r="P10" s="89">
        <v>2012</v>
      </c>
      <c r="Q10" s="150">
        <f>[5]Results!O29</f>
        <v>0</v>
      </c>
      <c r="R10" s="114">
        <f t="shared" ref="R10:R14" si="6">Q10*21</f>
        <v>0</v>
      </c>
      <c r="S10" s="115">
        <f t="shared" ref="S10:S14" si="7">T10+R10</f>
        <v>0</v>
      </c>
    </row>
    <row r="11" spans="1:24" x14ac:dyDescent="0.25">
      <c r="A11" s="89">
        <v>2013</v>
      </c>
      <c r="B11" s="151">
        <f>[2]Results!O30</f>
        <v>2.0083609358405159</v>
      </c>
      <c r="C11" s="111">
        <f t="shared" si="2"/>
        <v>42.175579652650832</v>
      </c>
      <c r="D11" s="112">
        <f t="shared" si="0"/>
        <v>42.175579652650832</v>
      </c>
      <c r="E11" s="113"/>
      <c r="F11" s="89">
        <v>2013</v>
      </c>
      <c r="G11" s="151">
        <f>[3]Results!O30</f>
        <v>0</v>
      </c>
      <c r="H11" s="111">
        <f t="shared" si="3"/>
        <v>0</v>
      </c>
      <c r="I11" s="112">
        <f t="shared" si="1"/>
        <v>0</v>
      </c>
      <c r="K11" s="89">
        <v>2013</v>
      </c>
      <c r="L11" s="150">
        <f>[4]Results!O30</f>
        <v>1.424214449155363</v>
      </c>
      <c r="M11" s="111">
        <f t="shared" si="4"/>
        <v>29.908503432262624</v>
      </c>
      <c r="N11" s="112">
        <f t="shared" si="5"/>
        <v>29.908503432262624</v>
      </c>
      <c r="P11" s="89">
        <v>2013</v>
      </c>
      <c r="Q11" s="150">
        <f>[5]Results!O30</f>
        <v>0</v>
      </c>
      <c r="R11" s="114">
        <f t="shared" si="6"/>
        <v>0</v>
      </c>
      <c r="S11" s="115">
        <f t="shared" si="7"/>
        <v>0</v>
      </c>
    </row>
    <row r="12" spans="1:24" x14ac:dyDescent="0.25">
      <c r="A12" s="89">
        <v>2014</v>
      </c>
      <c r="B12" s="151">
        <f>[2]Results!O31</f>
        <v>2.1028650478718274</v>
      </c>
      <c r="C12" s="111">
        <f t="shared" si="2"/>
        <v>44.160166005308376</v>
      </c>
      <c r="D12" s="112">
        <f t="shared" si="0"/>
        <v>44.160166005308376</v>
      </c>
      <c r="E12" s="113"/>
      <c r="F12" s="89">
        <v>2014</v>
      </c>
      <c r="G12" s="151">
        <f>[3]Results!O31</f>
        <v>0</v>
      </c>
      <c r="H12" s="111">
        <f t="shared" si="3"/>
        <v>0</v>
      </c>
      <c r="I12" s="112">
        <f t="shared" si="1"/>
        <v>0</v>
      </c>
      <c r="K12" s="89">
        <v>2014</v>
      </c>
      <c r="L12" s="150">
        <f>[4]Results!O31</f>
        <v>1.4912313480890507</v>
      </c>
      <c r="M12" s="111">
        <f t="shared" si="4"/>
        <v>31.315858309870062</v>
      </c>
      <c r="N12" s="112">
        <f t="shared" si="5"/>
        <v>31.315858309870062</v>
      </c>
      <c r="P12" s="89">
        <v>2014</v>
      </c>
      <c r="Q12" s="150">
        <f>[5]Results!O31</f>
        <v>0</v>
      </c>
      <c r="R12" s="114">
        <f t="shared" si="6"/>
        <v>0</v>
      </c>
      <c r="S12" s="115">
        <f t="shared" si="7"/>
        <v>0</v>
      </c>
    </row>
    <row r="13" spans="1:24" x14ac:dyDescent="0.25">
      <c r="A13" s="89">
        <v>2015</v>
      </c>
      <c r="B13" s="151">
        <f>[2]Results!O32</f>
        <v>2.1904257559341183</v>
      </c>
      <c r="C13" s="111">
        <f t="shared" si="2"/>
        <v>45.99894087461648</v>
      </c>
      <c r="D13" s="112">
        <f t="shared" si="0"/>
        <v>45.99894087461648</v>
      </c>
      <c r="E13" s="113"/>
      <c r="F13" s="89">
        <v>2015</v>
      </c>
      <c r="G13" s="151">
        <f>[3]Results!O32</f>
        <v>0</v>
      </c>
      <c r="H13" s="111">
        <f t="shared" si="3"/>
        <v>0</v>
      </c>
      <c r="I13" s="112">
        <f t="shared" si="1"/>
        <v>0</v>
      </c>
      <c r="K13" s="89">
        <v>2015</v>
      </c>
      <c r="L13" s="150">
        <f>[4]Results!O32</f>
        <v>1.5533243829490417</v>
      </c>
      <c r="M13" s="111">
        <f t="shared" si="4"/>
        <v>32.619812041929876</v>
      </c>
      <c r="N13" s="112">
        <f t="shared" si="5"/>
        <v>32.619812041929876</v>
      </c>
      <c r="P13" s="89">
        <v>2015</v>
      </c>
      <c r="Q13" s="150">
        <f>[5]Results!O32</f>
        <v>0</v>
      </c>
      <c r="R13" s="114">
        <f t="shared" si="6"/>
        <v>0</v>
      </c>
      <c r="S13" s="115">
        <f t="shared" si="7"/>
        <v>0</v>
      </c>
    </row>
    <row r="14" spans="1:24" x14ac:dyDescent="0.25">
      <c r="A14" s="89">
        <v>2016</v>
      </c>
      <c r="B14" s="151">
        <f>[2]Results!O33</f>
        <v>2.2730610236673918</v>
      </c>
      <c r="C14" s="111">
        <f t="shared" si="2"/>
        <v>47.734281497015232</v>
      </c>
      <c r="D14" s="112">
        <f t="shared" si="0"/>
        <v>47.734281497015232</v>
      </c>
      <c r="E14" s="113"/>
      <c r="F14" s="89">
        <v>2016</v>
      </c>
      <c r="G14" s="151">
        <f>[3]Results!O33</f>
        <v>0</v>
      </c>
      <c r="H14" s="111">
        <f t="shared" si="3"/>
        <v>0</v>
      </c>
      <c r="I14" s="112">
        <f t="shared" si="1"/>
        <v>0</v>
      </c>
      <c r="K14" s="89">
        <v>2016</v>
      </c>
      <c r="L14" s="150">
        <f>[4]Results!O33</f>
        <v>1.6119245778718208</v>
      </c>
      <c r="M14" s="111">
        <f t="shared" si="4"/>
        <v>33.850416135308237</v>
      </c>
      <c r="N14" s="112">
        <f t="shared" si="5"/>
        <v>33.850416135308237</v>
      </c>
      <c r="P14" s="89">
        <v>2016</v>
      </c>
      <c r="Q14" s="150">
        <f>[5]Results!O33</f>
        <v>0</v>
      </c>
      <c r="R14" s="114">
        <f t="shared" si="6"/>
        <v>0</v>
      </c>
      <c r="S14" s="115">
        <f t="shared" si="7"/>
        <v>0</v>
      </c>
    </row>
    <row r="15" spans="1:24" x14ac:dyDescent="0.25">
      <c r="A15" s="89">
        <v>2017</v>
      </c>
      <c r="B15" s="151">
        <f>[2]Results!O34</f>
        <v>2.3520142050630355</v>
      </c>
      <c r="C15" s="111">
        <f t="shared" ref="C15:C29" si="8">B15*21</f>
        <v>49.392298306323745</v>
      </c>
      <c r="D15" s="112">
        <f t="shared" ref="D15:D29" si="9">E15+C15</f>
        <v>49.392298306323745</v>
      </c>
      <c r="E15" s="113"/>
      <c r="F15" s="89">
        <v>2017</v>
      </c>
      <c r="G15" s="151">
        <f>[3]Results!O34</f>
        <v>0</v>
      </c>
      <c r="H15" s="111">
        <f t="shared" ref="H15:H29" si="10">G15*21</f>
        <v>0</v>
      </c>
      <c r="I15" s="112">
        <f t="shared" ref="I15:I29" si="11">J15+H15</f>
        <v>0</v>
      </c>
      <c r="K15" s="89">
        <v>2017</v>
      </c>
      <c r="L15" s="150">
        <f>[4]Results!O34</f>
        <v>1.6679136482345147</v>
      </c>
      <c r="M15" s="111">
        <f t="shared" ref="M15:M29" si="12">L15*21</f>
        <v>35.026186612924811</v>
      </c>
      <c r="N15" s="112">
        <f t="shared" ref="N15:N29" si="13">O15+M15</f>
        <v>35.026186612924811</v>
      </c>
      <c r="P15" s="89">
        <v>2017</v>
      </c>
      <c r="Q15" s="150">
        <f>[5]Results!O34</f>
        <v>0</v>
      </c>
      <c r="R15" s="114">
        <f t="shared" ref="R15:R29" si="14">Q15*21</f>
        <v>0</v>
      </c>
      <c r="S15" s="115">
        <f t="shared" ref="S15:S29" si="15">T15+R15</f>
        <v>0</v>
      </c>
    </row>
    <row r="16" spans="1:24" x14ac:dyDescent="0.25">
      <c r="A16" s="89">
        <v>2018</v>
      </c>
      <c r="B16" s="151">
        <f>[2]Results!O35</f>
        <v>2.4292909783053185</v>
      </c>
      <c r="C16" s="111">
        <f t="shared" si="8"/>
        <v>51.015110544411691</v>
      </c>
      <c r="D16" s="112">
        <f t="shared" si="9"/>
        <v>51.015110544411691</v>
      </c>
      <c r="E16" s="113"/>
      <c r="F16" s="89">
        <v>2018</v>
      </c>
      <c r="G16" s="151">
        <f>[3]Results!O35</f>
        <v>0</v>
      </c>
      <c r="H16" s="111">
        <f t="shared" si="10"/>
        <v>0</v>
      </c>
      <c r="I16" s="112">
        <f t="shared" si="11"/>
        <v>0</v>
      </c>
      <c r="K16" s="89">
        <v>2018</v>
      </c>
      <c r="L16" s="150">
        <f>[4]Results!O35</f>
        <v>1.7227139060326486</v>
      </c>
      <c r="M16" s="111">
        <f t="shared" si="12"/>
        <v>36.176992026685625</v>
      </c>
      <c r="N16" s="112">
        <f t="shared" si="13"/>
        <v>36.176992026685625</v>
      </c>
      <c r="P16" s="89">
        <v>2018</v>
      </c>
      <c r="Q16" s="150">
        <f>[5]Results!O35</f>
        <v>0</v>
      </c>
      <c r="R16" s="114">
        <f t="shared" si="14"/>
        <v>0</v>
      </c>
      <c r="S16" s="115">
        <f t="shared" si="15"/>
        <v>0</v>
      </c>
    </row>
    <row r="17" spans="1:19" x14ac:dyDescent="0.25">
      <c r="A17" s="89">
        <v>2019</v>
      </c>
      <c r="B17" s="151">
        <f>[2]Results!O36</f>
        <v>2.5074442191915138</v>
      </c>
      <c r="C17" s="111">
        <f t="shared" si="8"/>
        <v>52.656328603021791</v>
      </c>
      <c r="D17" s="112">
        <f t="shared" si="9"/>
        <v>52.656328603021791</v>
      </c>
      <c r="E17" s="113"/>
      <c r="F17" s="89">
        <v>2019</v>
      </c>
      <c r="G17" s="151">
        <f>[3]Results!O36</f>
        <v>0</v>
      </c>
      <c r="H17" s="111">
        <f t="shared" si="10"/>
        <v>0</v>
      </c>
      <c r="I17" s="112">
        <f t="shared" si="11"/>
        <v>0</v>
      </c>
      <c r="K17" s="89">
        <v>2019</v>
      </c>
      <c r="L17" s="150">
        <f>[4]Results!O36</f>
        <v>1.7781357044415367</v>
      </c>
      <c r="M17" s="111">
        <f t="shared" si="12"/>
        <v>37.34084979327227</v>
      </c>
      <c r="N17" s="112">
        <f t="shared" si="13"/>
        <v>37.34084979327227</v>
      </c>
      <c r="P17" s="89">
        <v>2019</v>
      </c>
      <c r="Q17" s="150">
        <f>[5]Results!O36</f>
        <v>0</v>
      </c>
      <c r="R17" s="114">
        <f t="shared" si="14"/>
        <v>0</v>
      </c>
      <c r="S17" s="115">
        <f t="shared" si="15"/>
        <v>0</v>
      </c>
    </row>
    <row r="18" spans="1:19" x14ac:dyDescent="0.25">
      <c r="A18" s="89">
        <v>2020</v>
      </c>
      <c r="B18" s="151">
        <f>[2]Results!O37</f>
        <v>2.5861179411149302</v>
      </c>
      <c r="C18" s="111">
        <f t="shared" si="8"/>
        <v>54.308476763413537</v>
      </c>
      <c r="D18" s="112">
        <f t="shared" si="9"/>
        <v>54.308476763413537</v>
      </c>
      <c r="E18" s="113"/>
      <c r="F18" s="89">
        <v>2020</v>
      </c>
      <c r="G18" s="151">
        <f>[3]Results!O37</f>
        <v>0</v>
      </c>
      <c r="H18" s="111">
        <f t="shared" si="10"/>
        <v>0</v>
      </c>
      <c r="I18" s="112">
        <f t="shared" si="11"/>
        <v>0</v>
      </c>
      <c r="K18" s="89">
        <v>2020</v>
      </c>
      <c r="L18" s="150">
        <f>[4]Results!O37</f>
        <v>1.8339265981661592</v>
      </c>
      <c r="M18" s="111">
        <f t="shared" si="12"/>
        <v>38.512458561489346</v>
      </c>
      <c r="N18" s="112">
        <f t="shared" si="13"/>
        <v>38.512458561489346</v>
      </c>
      <c r="P18" s="89">
        <v>2020</v>
      </c>
      <c r="Q18" s="150">
        <f>[5]Results!O37</f>
        <v>0</v>
      </c>
      <c r="R18" s="114">
        <f t="shared" si="14"/>
        <v>0</v>
      </c>
      <c r="S18" s="115">
        <f t="shared" si="15"/>
        <v>0</v>
      </c>
    </row>
    <row r="19" spans="1:19" x14ac:dyDescent="0.25">
      <c r="A19" s="89">
        <v>2021</v>
      </c>
      <c r="B19" s="151">
        <f>[2]Results!O38</f>
        <v>2.6650818305279298</v>
      </c>
      <c r="C19" s="111">
        <f t="shared" si="8"/>
        <v>55.966718441086527</v>
      </c>
      <c r="D19" s="112">
        <f t="shared" si="9"/>
        <v>55.966718441086527</v>
      </c>
      <c r="E19" s="113"/>
      <c r="F19" s="89">
        <v>2021</v>
      </c>
      <c r="G19" s="151">
        <f>[3]Results!O38</f>
        <v>0</v>
      </c>
      <c r="H19" s="111">
        <f t="shared" si="10"/>
        <v>0</v>
      </c>
      <c r="I19" s="112">
        <f t="shared" si="11"/>
        <v>0</v>
      </c>
      <c r="K19" s="89">
        <v>2021</v>
      </c>
      <c r="L19" s="150">
        <f>[4]Results!O38</f>
        <v>1.889923262040939</v>
      </c>
      <c r="M19" s="111">
        <f t="shared" si="12"/>
        <v>39.688388502859716</v>
      </c>
      <c r="N19" s="112">
        <f t="shared" si="13"/>
        <v>39.688388502859716</v>
      </c>
      <c r="P19" s="89">
        <v>2021</v>
      </c>
      <c r="Q19" s="150">
        <f>[5]Results!O38</f>
        <v>0</v>
      </c>
      <c r="R19" s="114">
        <f t="shared" si="14"/>
        <v>0</v>
      </c>
      <c r="S19" s="115">
        <f t="shared" si="15"/>
        <v>0</v>
      </c>
    </row>
    <row r="20" spans="1:19" x14ac:dyDescent="0.25">
      <c r="A20" s="89">
        <v>2022</v>
      </c>
      <c r="B20" s="151">
        <f>[2]Results!O39</f>
        <v>2.7441886622695568</v>
      </c>
      <c r="C20" s="111">
        <f t="shared" si="8"/>
        <v>57.627961907660691</v>
      </c>
      <c r="D20" s="112">
        <f t="shared" si="9"/>
        <v>57.627961907660691</v>
      </c>
      <c r="E20" s="113"/>
      <c r="F20" s="89">
        <v>2022</v>
      </c>
      <c r="G20" s="151">
        <f>[3]Results!O39</f>
        <v>0</v>
      </c>
      <c r="H20" s="111">
        <f t="shared" si="10"/>
        <v>0</v>
      </c>
      <c r="I20" s="112">
        <f t="shared" si="11"/>
        <v>0</v>
      </c>
      <c r="K20" s="89">
        <v>2022</v>
      </c>
      <c r="L20" s="150">
        <f>[4]Results!O39</f>
        <v>1.9460212924212084</v>
      </c>
      <c r="M20" s="111">
        <f t="shared" si="12"/>
        <v>40.866447140845374</v>
      </c>
      <c r="N20" s="112">
        <f t="shared" si="13"/>
        <v>40.866447140845374</v>
      </c>
      <c r="P20" s="89">
        <v>2022</v>
      </c>
      <c r="Q20" s="150">
        <f>[5]Results!O39</f>
        <v>0</v>
      </c>
      <c r="R20" s="114">
        <f t="shared" si="14"/>
        <v>0</v>
      </c>
      <c r="S20" s="115">
        <f t="shared" si="15"/>
        <v>0</v>
      </c>
    </row>
    <row r="21" spans="1:19" x14ac:dyDescent="0.25">
      <c r="A21" s="89">
        <v>2023</v>
      </c>
      <c r="B21" s="151">
        <f>[2]Results!O40</f>
        <v>2.8233459245168624</v>
      </c>
      <c r="C21" s="111">
        <f t="shared" si="8"/>
        <v>59.290264414854107</v>
      </c>
      <c r="D21" s="112">
        <f t="shared" si="9"/>
        <v>59.290264414854107</v>
      </c>
      <c r="E21" s="113"/>
      <c r="F21" s="89">
        <v>2023</v>
      </c>
      <c r="G21" s="151">
        <f>[3]Results!O40</f>
        <v>0</v>
      </c>
      <c r="H21" s="111">
        <f t="shared" si="10"/>
        <v>0</v>
      </c>
      <c r="I21" s="112">
        <f t="shared" si="11"/>
        <v>0</v>
      </c>
      <c r="K21" s="89">
        <v>2023</v>
      </c>
      <c r="L21" s="150">
        <f>[4]Results!O40</f>
        <v>2.0021550852252448</v>
      </c>
      <c r="M21" s="111">
        <f t="shared" si="12"/>
        <v>42.045256789730139</v>
      </c>
      <c r="N21" s="112">
        <f t="shared" si="13"/>
        <v>42.045256789730139</v>
      </c>
      <c r="P21" s="89">
        <v>2023</v>
      </c>
      <c r="Q21" s="150">
        <f>[5]Results!O40</f>
        <v>0</v>
      </c>
      <c r="R21" s="114">
        <f t="shared" si="14"/>
        <v>0</v>
      </c>
      <c r="S21" s="115">
        <f t="shared" si="15"/>
        <v>0</v>
      </c>
    </row>
    <row r="22" spans="1:19" x14ac:dyDescent="0.25">
      <c r="A22" s="89">
        <v>2024</v>
      </c>
      <c r="B22" s="151">
        <f>[2]Results!O41</f>
        <v>2.9024969427762115</v>
      </c>
      <c r="C22" s="111">
        <f t="shared" si="8"/>
        <v>60.952435798300442</v>
      </c>
      <c r="D22" s="112">
        <f t="shared" si="9"/>
        <v>60.952435798300442</v>
      </c>
      <c r="E22" s="113"/>
      <c r="F22" s="89">
        <v>2024</v>
      </c>
      <c r="G22" s="151">
        <f>[3]Results!O41</f>
        <v>0</v>
      </c>
      <c r="H22" s="111">
        <f t="shared" si="10"/>
        <v>0</v>
      </c>
      <c r="I22" s="112">
        <f t="shared" si="11"/>
        <v>0</v>
      </c>
      <c r="K22" s="89">
        <v>2024</v>
      </c>
      <c r="L22" s="150">
        <f>[4]Results!O41</f>
        <v>2.0582844501509507</v>
      </c>
      <c r="M22" s="111">
        <f t="shared" si="12"/>
        <v>43.223973453169968</v>
      </c>
      <c r="N22" s="112">
        <f t="shared" si="13"/>
        <v>43.223973453169968</v>
      </c>
      <c r="P22" s="89">
        <v>2024</v>
      </c>
      <c r="Q22" s="150">
        <f>[5]Results!O41</f>
        <v>0</v>
      </c>
      <c r="R22" s="114">
        <f t="shared" si="14"/>
        <v>0</v>
      </c>
      <c r="S22" s="115">
        <f t="shared" si="15"/>
        <v>0</v>
      </c>
    </row>
    <row r="23" spans="1:19" x14ac:dyDescent="0.25">
      <c r="A23" s="89">
        <v>2025</v>
      </c>
      <c r="B23" s="151">
        <f>[2]Results!O42</f>
        <v>2.9816083493283907</v>
      </c>
      <c r="C23" s="111">
        <f t="shared" si="8"/>
        <v>62.613775335896207</v>
      </c>
      <c r="D23" s="112">
        <f t="shared" si="9"/>
        <v>62.613775335896207</v>
      </c>
      <c r="E23" s="113"/>
      <c r="F23" s="89">
        <v>2025</v>
      </c>
      <c r="G23" s="151">
        <f>[3]Results!O42</f>
        <v>0</v>
      </c>
      <c r="H23" s="111">
        <f t="shared" si="10"/>
        <v>0</v>
      </c>
      <c r="I23" s="112">
        <f t="shared" si="11"/>
        <v>0</v>
      </c>
      <c r="K23" s="89">
        <v>2025</v>
      </c>
      <c r="L23" s="150">
        <f>[4]Results!O42</f>
        <v>2.1143857247246198</v>
      </c>
      <c r="M23" s="111">
        <f t="shared" si="12"/>
        <v>44.402100219217019</v>
      </c>
      <c r="N23" s="112">
        <f t="shared" si="13"/>
        <v>44.402100219217019</v>
      </c>
      <c r="P23" s="89">
        <v>2025</v>
      </c>
      <c r="Q23" s="150">
        <f>[5]Results!O42</f>
        <v>0</v>
      </c>
      <c r="R23" s="114">
        <f t="shared" si="14"/>
        <v>0</v>
      </c>
      <c r="S23" s="115">
        <f t="shared" si="15"/>
        <v>0</v>
      </c>
    </row>
    <row r="24" spans="1:19" x14ac:dyDescent="0.25">
      <c r="A24" s="89">
        <v>2026</v>
      </c>
      <c r="B24" s="151">
        <f>[2]Results!O43</f>
        <v>3.0606617876037112</v>
      </c>
      <c r="C24" s="111">
        <f t="shared" si="8"/>
        <v>64.273897539677932</v>
      </c>
      <c r="D24" s="112">
        <f t="shared" si="9"/>
        <v>64.273897539677932</v>
      </c>
      <c r="E24" s="113"/>
      <c r="F24" s="89">
        <v>2026</v>
      </c>
      <c r="G24" s="151">
        <f>[3]Results!O43</f>
        <v>0</v>
      </c>
      <c r="H24" s="111">
        <f t="shared" si="10"/>
        <v>0</v>
      </c>
      <c r="I24" s="112">
        <f t="shared" si="11"/>
        <v>0</v>
      </c>
      <c r="K24" s="89">
        <v>2026</v>
      </c>
      <c r="L24" s="150">
        <f>[4]Results!O43</f>
        <v>2.1704458915192908</v>
      </c>
      <c r="M24" s="111">
        <f t="shared" si="12"/>
        <v>45.579363721905104</v>
      </c>
      <c r="N24" s="112">
        <f t="shared" si="13"/>
        <v>45.579363721905104</v>
      </c>
      <c r="P24" s="89">
        <v>2026</v>
      </c>
      <c r="Q24" s="150">
        <f>[5]Results!O43</f>
        <v>0</v>
      </c>
      <c r="R24" s="114">
        <f t="shared" si="14"/>
        <v>0</v>
      </c>
      <c r="S24" s="115">
        <f t="shared" si="15"/>
        <v>0</v>
      </c>
    </row>
    <row r="25" spans="1:19" x14ac:dyDescent="0.25">
      <c r="A25" s="89">
        <v>2027</v>
      </c>
      <c r="B25" s="151">
        <f>[2]Results!O44</f>
        <v>3.1396484396221016</v>
      </c>
      <c r="C25" s="111">
        <f t="shared" si="8"/>
        <v>65.932617232064132</v>
      </c>
      <c r="D25" s="112">
        <f t="shared" si="9"/>
        <v>65.932617232064132</v>
      </c>
      <c r="E25" s="113"/>
      <c r="F25" s="89">
        <v>2027</v>
      </c>
      <c r="G25" s="151">
        <f>[3]Results!O44</f>
        <v>0</v>
      </c>
      <c r="H25" s="111">
        <f t="shared" si="10"/>
        <v>0</v>
      </c>
      <c r="I25" s="112">
        <f t="shared" si="11"/>
        <v>0</v>
      </c>
      <c r="K25" s="89">
        <v>2027</v>
      </c>
      <c r="L25" s="150">
        <f>[4]Results!O44</f>
        <v>2.2264586973289795</v>
      </c>
      <c r="M25" s="111">
        <f t="shared" si="12"/>
        <v>46.755632643908569</v>
      </c>
      <c r="N25" s="112">
        <f t="shared" si="13"/>
        <v>46.755632643908569</v>
      </c>
      <c r="P25" s="89">
        <v>2027</v>
      </c>
      <c r="Q25" s="150">
        <f>[5]Results!O44</f>
        <v>0</v>
      </c>
      <c r="R25" s="114">
        <f t="shared" si="14"/>
        <v>0</v>
      </c>
      <c r="S25" s="115">
        <f t="shared" si="15"/>
        <v>0</v>
      </c>
    </row>
    <row r="26" spans="1:19" x14ac:dyDescent="0.25">
      <c r="A26" s="89">
        <v>2028</v>
      </c>
      <c r="B26" s="151">
        <f>[2]Results!O45</f>
        <v>3.2185654325135262</v>
      </c>
      <c r="C26" s="111">
        <f t="shared" si="8"/>
        <v>67.58987408278405</v>
      </c>
      <c r="D26" s="112">
        <f t="shared" si="9"/>
        <v>67.58987408278405</v>
      </c>
      <c r="E26" s="113"/>
      <c r="F26" s="89">
        <v>2028</v>
      </c>
      <c r="G26" s="151">
        <f>[3]Results!O45</f>
        <v>0</v>
      </c>
      <c r="H26" s="111">
        <f t="shared" si="10"/>
        <v>0</v>
      </c>
      <c r="I26" s="112">
        <f t="shared" si="11"/>
        <v>0</v>
      </c>
      <c r="K26" s="89">
        <v>2028</v>
      </c>
      <c r="L26" s="150">
        <f>[4]Results!O45</f>
        <v>2.2824221048789379</v>
      </c>
      <c r="M26" s="111">
        <f t="shared" si="12"/>
        <v>47.930864202457698</v>
      </c>
      <c r="N26" s="112">
        <f t="shared" si="13"/>
        <v>47.930864202457698</v>
      </c>
      <c r="P26" s="89">
        <v>2028</v>
      </c>
      <c r="Q26" s="150">
        <f>[5]Results!O45</f>
        <v>0</v>
      </c>
      <c r="R26" s="114">
        <f t="shared" si="14"/>
        <v>0</v>
      </c>
      <c r="S26" s="115">
        <f t="shared" si="15"/>
        <v>0</v>
      </c>
    </row>
    <row r="27" spans="1:19" x14ac:dyDescent="0.25">
      <c r="A27" s="89">
        <v>2029</v>
      </c>
      <c r="B27" s="151">
        <f>[2]Results!O46</f>
        <v>3.2974134933882286</v>
      </c>
      <c r="C27" s="111">
        <f t="shared" si="8"/>
        <v>69.2456833611528</v>
      </c>
      <c r="D27" s="112">
        <f t="shared" si="9"/>
        <v>69.2456833611528</v>
      </c>
      <c r="E27" s="113"/>
      <c r="F27" s="89">
        <v>2029</v>
      </c>
      <c r="G27" s="151">
        <f>[3]Results!O46</f>
        <v>0</v>
      </c>
      <c r="H27" s="111">
        <f t="shared" si="10"/>
        <v>0</v>
      </c>
      <c r="I27" s="112">
        <f t="shared" si="11"/>
        <v>0</v>
      </c>
      <c r="K27" s="89">
        <v>2029</v>
      </c>
      <c r="L27" s="150">
        <f>[4]Results!O46</f>
        <v>2.3383366297940693</v>
      </c>
      <c r="M27" s="111">
        <f t="shared" si="12"/>
        <v>49.105069225675457</v>
      </c>
      <c r="N27" s="112">
        <f t="shared" si="13"/>
        <v>49.105069225675457</v>
      </c>
      <c r="P27" s="89">
        <v>2029</v>
      </c>
      <c r="Q27" s="150">
        <f>[5]Results!O46</f>
        <v>0</v>
      </c>
      <c r="R27" s="114">
        <f t="shared" si="14"/>
        <v>0</v>
      </c>
      <c r="S27" s="115">
        <f t="shared" si="15"/>
        <v>0</v>
      </c>
    </row>
    <row r="28" spans="1:19" x14ac:dyDescent="0.25">
      <c r="A28" s="89">
        <v>2030</v>
      </c>
      <c r="B28" s="151">
        <f>[2]Results!O47</f>
        <v>3.3761954314901148</v>
      </c>
      <c r="C28" s="111">
        <f t="shared" si="8"/>
        <v>70.90010406129241</v>
      </c>
      <c r="D28" s="112">
        <f t="shared" si="9"/>
        <v>70.90010406129241</v>
      </c>
      <c r="E28" s="113"/>
      <c r="F28" s="89">
        <v>2030</v>
      </c>
      <c r="G28" s="151">
        <f>[3]Results!O47</f>
        <v>0</v>
      </c>
      <c r="H28" s="111">
        <f t="shared" si="10"/>
        <v>0</v>
      </c>
      <c r="I28" s="112">
        <f t="shared" si="11"/>
        <v>0</v>
      </c>
      <c r="K28" s="89">
        <v>2030</v>
      </c>
      <c r="L28" s="150">
        <f>[4]Results!O47</f>
        <v>2.3942042642291179</v>
      </c>
      <c r="M28" s="111">
        <f t="shared" si="12"/>
        <v>50.278289548811479</v>
      </c>
      <c r="N28" s="112">
        <f t="shared" si="13"/>
        <v>50.278289548811479</v>
      </c>
      <c r="P28" s="89">
        <v>2030</v>
      </c>
      <c r="Q28" s="150">
        <f>[5]Results!O47</f>
        <v>0</v>
      </c>
      <c r="R28" s="114">
        <f t="shared" si="14"/>
        <v>0</v>
      </c>
      <c r="S28" s="115">
        <f t="shared" si="15"/>
        <v>0</v>
      </c>
    </row>
    <row r="29" spans="1:19" x14ac:dyDescent="0.25">
      <c r="A29" s="89">
        <v>2031</v>
      </c>
      <c r="B29" s="151"/>
      <c r="C29" s="111">
        <f t="shared" si="8"/>
        <v>0</v>
      </c>
      <c r="D29" s="112">
        <f t="shared" si="9"/>
        <v>0</v>
      </c>
      <c r="E29" s="113"/>
      <c r="F29" s="89">
        <v>2031</v>
      </c>
      <c r="G29" s="151"/>
      <c r="H29" s="111">
        <f t="shared" si="10"/>
        <v>0</v>
      </c>
      <c r="I29" s="112">
        <f t="shared" si="11"/>
        <v>0</v>
      </c>
      <c r="K29" s="89">
        <v>2031</v>
      </c>
      <c r="L29" s="150"/>
      <c r="M29" s="111">
        <f t="shared" si="12"/>
        <v>0</v>
      </c>
      <c r="N29" s="112">
        <f t="shared" si="13"/>
        <v>0</v>
      </c>
      <c r="P29" s="89">
        <v>2031</v>
      </c>
      <c r="Q29" s="150"/>
      <c r="R29" s="114">
        <f t="shared" si="14"/>
        <v>0</v>
      </c>
      <c r="S29" s="115">
        <f t="shared" si="15"/>
        <v>0</v>
      </c>
    </row>
    <row r="31" spans="1:19" ht="15.75" thickBot="1" x14ac:dyDescent="0.3">
      <c r="A31" s="116" t="s">
        <v>127</v>
      </c>
    </row>
    <row r="32" spans="1:19" ht="15.75" thickBot="1" x14ac:dyDescent="0.3">
      <c r="A32" s="197" t="s">
        <v>11</v>
      </c>
      <c r="B32" s="199" t="s">
        <v>81</v>
      </c>
      <c r="C32" s="200"/>
      <c r="D32" s="200"/>
      <c r="E32" s="200"/>
      <c r="F32" s="201"/>
    </row>
    <row r="33" spans="1:6" ht="18.75" thickBot="1" x14ac:dyDescent="0.3">
      <c r="A33" s="198"/>
      <c r="B33" s="199" t="s">
        <v>129</v>
      </c>
      <c r="C33" s="201"/>
      <c r="D33" s="199" t="s">
        <v>133</v>
      </c>
      <c r="E33" s="201"/>
      <c r="F33" s="202" t="s">
        <v>130</v>
      </c>
    </row>
    <row r="34" spans="1:6" ht="18" x14ac:dyDescent="0.25">
      <c r="A34" s="198"/>
      <c r="B34" s="117" t="s">
        <v>131</v>
      </c>
      <c r="C34" s="117" t="s">
        <v>132</v>
      </c>
      <c r="D34" s="117" t="s">
        <v>134</v>
      </c>
      <c r="E34" s="117" t="s">
        <v>132</v>
      </c>
      <c r="F34" s="203"/>
    </row>
    <row r="35" spans="1:6" x14ac:dyDescent="0.25">
      <c r="A35" s="89">
        <v>2011</v>
      </c>
      <c r="B35" s="111">
        <f>[6]REKAPITULASI!B6</f>
        <v>7.7007941999999987E-3</v>
      </c>
      <c r="C35" s="111">
        <f>B35*21</f>
        <v>0.16171667819999996</v>
      </c>
      <c r="D35" s="111">
        <f>[6]REKAPITULASI!D6</f>
        <v>5.7755956499999997E-4</v>
      </c>
      <c r="E35" s="111">
        <f>D35*310</f>
        <v>0.17904346515</v>
      </c>
      <c r="F35" s="112">
        <f>E35+C35</f>
        <v>0.34076014334999993</v>
      </c>
    </row>
    <row r="36" spans="1:6" x14ac:dyDescent="0.25">
      <c r="A36" s="89">
        <v>2012</v>
      </c>
      <c r="B36" s="111">
        <f>[6]REKAPITULASI!B7</f>
        <v>7.9060093200000008E-3</v>
      </c>
      <c r="C36" s="111">
        <f t="shared" ref="C36:C45" si="16">B36*21</f>
        <v>0.16602619572000002</v>
      </c>
      <c r="D36" s="111">
        <f>[6]REKAPITULASI!D7</f>
        <v>5.9295069899999999E-4</v>
      </c>
      <c r="E36" s="111">
        <f t="shared" ref="E36:E45" si="17">D36*310</f>
        <v>0.18381471668999999</v>
      </c>
      <c r="F36" s="112">
        <f t="shared" ref="F36:F45" si="18">E36+C36</f>
        <v>0.34984091241000004</v>
      </c>
    </row>
    <row r="37" spans="1:6" x14ac:dyDescent="0.25">
      <c r="A37" s="89">
        <v>2013</v>
      </c>
      <c r="B37" s="111">
        <f>[6]REKAPITULASI!B8</f>
        <v>8.1155962799999998E-3</v>
      </c>
      <c r="C37" s="111">
        <f t="shared" si="16"/>
        <v>0.17042752187999999</v>
      </c>
      <c r="D37" s="111">
        <f>[6]REKAPITULASI!D8</f>
        <v>6.0866972099999999E-4</v>
      </c>
      <c r="E37" s="111">
        <f t="shared" si="17"/>
        <v>0.18868761350999999</v>
      </c>
      <c r="F37" s="112">
        <f t="shared" si="18"/>
        <v>0.35911513538999995</v>
      </c>
    </row>
    <row r="38" spans="1:6" x14ac:dyDescent="0.25">
      <c r="A38" s="89">
        <v>2014</v>
      </c>
      <c r="B38" s="111">
        <f>[6]REKAPITULASI!B9</f>
        <v>8.3212153199999986E-3</v>
      </c>
      <c r="C38" s="111">
        <f t="shared" si="16"/>
        <v>0.17474552171999996</v>
      </c>
      <c r="D38" s="111">
        <f>[6]REKAPITULASI!D9</f>
        <v>6.2409114899999985E-4</v>
      </c>
      <c r="E38" s="111">
        <f t="shared" si="17"/>
        <v>0.19346825618999997</v>
      </c>
      <c r="F38" s="112">
        <f t="shared" si="18"/>
        <v>0.36821377790999993</v>
      </c>
    </row>
    <row r="39" spans="1:6" x14ac:dyDescent="0.25">
      <c r="A39" s="89">
        <v>2015</v>
      </c>
      <c r="B39" s="111">
        <f>[6]REKAPITULASI!B10</f>
        <v>8.5273333200000002E-3</v>
      </c>
      <c r="C39" s="111">
        <f t="shared" si="16"/>
        <v>0.17907399972000002</v>
      </c>
      <c r="D39" s="111">
        <f>[6]REKAPITULASI!D10</f>
        <v>6.3954999900000002E-4</v>
      </c>
      <c r="E39" s="111">
        <f t="shared" si="17"/>
        <v>0.19826049969000001</v>
      </c>
      <c r="F39" s="112">
        <f t="shared" si="18"/>
        <v>0.37733449941000002</v>
      </c>
    </row>
    <row r="40" spans="1:6" x14ac:dyDescent="0.25">
      <c r="A40" s="89">
        <v>2016</v>
      </c>
      <c r="B40" s="111">
        <f>[6]REKAPITULASI!B11</f>
        <v>8.7319900799999999E-3</v>
      </c>
      <c r="C40" s="111">
        <f t="shared" si="16"/>
        <v>0.18337179168000001</v>
      </c>
      <c r="D40" s="111">
        <f>[6]REKAPITULASI!D11</f>
        <v>6.5489925599999986E-4</v>
      </c>
      <c r="E40" s="111">
        <f t="shared" si="17"/>
        <v>0.20301876935999996</v>
      </c>
      <c r="F40" s="112">
        <f t="shared" si="18"/>
        <v>0.38639056103999997</v>
      </c>
    </row>
    <row r="41" spans="1:6" x14ac:dyDescent="0.25">
      <c r="A41" s="89">
        <v>2017</v>
      </c>
      <c r="B41" s="111">
        <f>[6]REKAPITULASI!B12</f>
        <v>8.9499761999999993E-3</v>
      </c>
      <c r="C41" s="111">
        <f t="shared" si="16"/>
        <v>0.18794950019999998</v>
      </c>
      <c r="D41" s="111">
        <f>[6]REKAPITULASI!D12</f>
        <v>6.7124821499999995E-4</v>
      </c>
      <c r="E41" s="111">
        <f t="shared" si="17"/>
        <v>0.20808694664999999</v>
      </c>
      <c r="F41" s="112">
        <f t="shared" si="18"/>
        <v>0.39603644684999995</v>
      </c>
    </row>
    <row r="42" spans="1:6" x14ac:dyDescent="0.25">
      <c r="A42" s="89">
        <v>2018</v>
      </c>
      <c r="B42" s="111">
        <f>[6]REKAPITULASI!B13</f>
        <v>9.1960585199999997E-3</v>
      </c>
      <c r="C42" s="111">
        <f t="shared" si="16"/>
        <v>0.19311722891999999</v>
      </c>
      <c r="D42" s="111">
        <f>[6]REKAPITULASI!D13</f>
        <v>6.8970438899999993E-4</v>
      </c>
      <c r="E42" s="111">
        <f t="shared" si="17"/>
        <v>0.21380836058999997</v>
      </c>
      <c r="F42" s="112">
        <f t="shared" si="18"/>
        <v>0.40692558950999996</v>
      </c>
    </row>
    <row r="43" spans="1:6" x14ac:dyDescent="0.25">
      <c r="A43" s="89">
        <v>2019</v>
      </c>
      <c r="B43" s="111">
        <f>[6]REKAPITULASI!B14</f>
        <v>9.4421408399999983E-3</v>
      </c>
      <c r="C43" s="111">
        <f t="shared" si="16"/>
        <v>0.19828495763999995</v>
      </c>
      <c r="D43" s="111">
        <f>[6]REKAPITULASI!D14</f>
        <v>7.0816056299999981E-4</v>
      </c>
      <c r="E43" s="111">
        <f t="shared" si="17"/>
        <v>0.21952977452999994</v>
      </c>
      <c r="F43" s="112">
        <f t="shared" si="18"/>
        <v>0.41781473216999987</v>
      </c>
    </row>
    <row r="44" spans="1:6" x14ac:dyDescent="0.25">
      <c r="A44" s="89">
        <v>2020</v>
      </c>
      <c r="B44" s="111">
        <f>[6]REKAPITULASI!B15</f>
        <v>9.6882231600000004E-3</v>
      </c>
      <c r="C44" s="111">
        <f t="shared" si="16"/>
        <v>0.20345268636</v>
      </c>
      <c r="D44" s="111">
        <f>[6]REKAPITULASI!D15</f>
        <v>7.2661673700000001E-4</v>
      </c>
      <c r="E44" s="111">
        <f t="shared" si="17"/>
        <v>0.22525118847</v>
      </c>
      <c r="F44" s="112">
        <f t="shared" si="18"/>
        <v>0.42870387483</v>
      </c>
    </row>
    <row r="45" spans="1:6" x14ac:dyDescent="0.25">
      <c r="A45" s="89">
        <v>2021</v>
      </c>
      <c r="B45" s="111">
        <f>[6]REKAPITULASI!B16</f>
        <v>9.934305479999999E-3</v>
      </c>
      <c r="C45" s="111">
        <f t="shared" si="16"/>
        <v>0.20862041507999998</v>
      </c>
      <c r="D45" s="111">
        <f>[6]REKAPITULASI!D16</f>
        <v>7.4507291099999999E-4</v>
      </c>
      <c r="E45" s="111">
        <f t="shared" si="17"/>
        <v>0.23097260241000001</v>
      </c>
      <c r="F45" s="112">
        <f t="shared" si="18"/>
        <v>0.43959301749000002</v>
      </c>
    </row>
    <row r="46" spans="1:6" x14ac:dyDescent="0.25">
      <c r="A46" s="89">
        <v>2022</v>
      </c>
      <c r="B46" s="111">
        <f>[6]REKAPITULASI!B17</f>
        <v>1.0180387799999999E-2</v>
      </c>
      <c r="C46" s="111">
        <f t="shared" ref="C46:C55" si="19">B46*21</f>
        <v>0.2137881438</v>
      </c>
      <c r="D46" s="111">
        <f>[6]REKAPITULASI!D17</f>
        <v>7.6352908499999997E-4</v>
      </c>
      <c r="E46" s="111">
        <f t="shared" ref="E46:E55" si="20">D46*310</f>
        <v>0.23669401634999998</v>
      </c>
      <c r="F46" s="112">
        <f t="shared" ref="F46:F55" si="21">E46+C46</f>
        <v>0.45048216014999998</v>
      </c>
    </row>
    <row r="47" spans="1:6" x14ac:dyDescent="0.25">
      <c r="A47" s="89">
        <v>2023</v>
      </c>
      <c r="B47" s="111">
        <f>[6]REKAPITULASI!B18</f>
        <v>1.042647012E-2</v>
      </c>
      <c r="C47" s="111">
        <f t="shared" si="19"/>
        <v>0.21895587251999998</v>
      </c>
      <c r="D47" s="111">
        <f>[6]REKAPITULASI!D18</f>
        <v>7.8198525899999996E-4</v>
      </c>
      <c r="E47" s="111">
        <f t="shared" si="20"/>
        <v>0.24241543028999998</v>
      </c>
      <c r="F47" s="112">
        <f t="shared" si="21"/>
        <v>0.46137130280999994</v>
      </c>
    </row>
    <row r="48" spans="1:6" x14ac:dyDescent="0.25">
      <c r="A48" s="89">
        <v>2024</v>
      </c>
      <c r="B48" s="111">
        <f>[6]REKAPITULASI!B19</f>
        <v>1.067255244E-2</v>
      </c>
      <c r="C48" s="111">
        <f t="shared" si="19"/>
        <v>0.22412360124</v>
      </c>
      <c r="D48" s="111">
        <f>[6]REKAPITULASI!D19</f>
        <v>8.0044143300000005E-4</v>
      </c>
      <c r="E48" s="111">
        <f t="shared" si="20"/>
        <v>0.24813684423000001</v>
      </c>
      <c r="F48" s="112">
        <f t="shared" si="21"/>
        <v>0.47226044547000001</v>
      </c>
    </row>
    <row r="49" spans="1:10" x14ac:dyDescent="0.25">
      <c r="A49" s="89">
        <v>2025</v>
      </c>
      <c r="B49" s="111">
        <f>[6]REKAPITULASI!B20</f>
        <v>1.091863476E-2</v>
      </c>
      <c r="C49" s="111">
        <f t="shared" si="19"/>
        <v>0.22929132996000001</v>
      </c>
      <c r="D49" s="111">
        <f>[6]REKAPITULASI!D20</f>
        <v>8.1889760699999992E-4</v>
      </c>
      <c r="E49" s="111">
        <f t="shared" si="20"/>
        <v>0.25385825816999996</v>
      </c>
      <c r="F49" s="112">
        <f t="shared" si="21"/>
        <v>0.48314958812999997</v>
      </c>
    </row>
    <row r="50" spans="1:10" x14ac:dyDescent="0.25">
      <c r="A50" s="89">
        <v>2026</v>
      </c>
      <c r="B50" s="111">
        <f>[6]REKAPITULASI!B21</f>
        <v>1.1164717079999999E-2</v>
      </c>
      <c r="C50" s="111">
        <f t="shared" si="19"/>
        <v>0.23445905867999997</v>
      </c>
      <c r="D50" s="111">
        <f>[6]REKAPITULASI!D21</f>
        <v>8.3735378099999991E-4</v>
      </c>
      <c r="E50" s="111">
        <f t="shared" si="20"/>
        <v>0.25957967210999999</v>
      </c>
      <c r="F50" s="112">
        <f t="shared" si="21"/>
        <v>0.49403873078999994</v>
      </c>
    </row>
    <row r="51" spans="1:10" x14ac:dyDescent="0.25">
      <c r="A51" s="89">
        <v>2027</v>
      </c>
      <c r="B51" s="111">
        <f>[6]REKAPITULASI!B22</f>
        <v>1.1410799399999999E-2</v>
      </c>
      <c r="C51" s="111">
        <f t="shared" si="19"/>
        <v>0.23962678739999999</v>
      </c>
      <c r="D51" s="111">
        <f>[6]REKAPITULASI!D22</f>
        <v>8.55809955E-4</v>
      </c>
      <c r="E51" s="111">
        <f t="shared" si="20"/>
        <v>0.26530108605000002</v>
      </c>
      <c r="F51" s="112">
        <f t="shared" si="21"/>
        <v>0.50492787345000001</v>
      </c>
    </row>
    <row r="52" spans="1:10" x14ac:dyDescent="0.25">
      <c r="A52" s="89">
        <v>2028</v>
      </c>
      <c r="B52" s="111">
        <f>[6]REKAPITULASI!B23</f>
        <v>1.165688172E-2</v>
      </c>
      <c r="C52" s="111">
        <f t="shared" si="19"/>
        <v>0.24479451612</v>
      </c>
      <c r="D52" s="111">
        <f>[6]REKAPITULASI!D23</f>
        <v>8.7426612899999987E-4</v>
      </c>
      <c r="E52" s="111">
        <f t="shared" si="20"/>
        <v>0.27102249998999994</v>
      </c>
      <c r="F52" s="112">
        <f t="shared" si="21"/>
        <v>0.51581701610999997</v>
      </c>
    </row>
    <row r="53" spans="1:10" x14ac:dyDescent="0.25">
      <c r="A53" s="89">
        <v>2029</v>
      </c>
      <c r="B53" s="111">
        <f>[6]REKAPITULASI!B24</f>
        <v>1.190296404E-2</v>
      </c>
      <c r="C53" s="111">
        <f t="shared" si="19"/>
        <v>0.24996224484000001</v>
      </c>
      <c r="D53" s="111">
        <f>[6]REKAPITULASI!D24</f>
        <v>8.9272230299999996E-4</v>
      </c>
      <c r="E53" s="111">
        <f t="shared" si="20"/>
        <v>0.27674391392999997</v>
      </c>
      <c r="F53" s="112">
        <f t="shared" si="21"/>
        <v>0.52670615876999993</v>
      </c>
    </row>
    <row r="54" spans="1:10" x14ac:dyDescent="0.25">
      <c r="A54" s="89">
        <v>2030</v>
      </c>
      <c r="B54" s="111">
        <f>[6]REKAPITULASI!B25</f>
        <v>1.214904636E-2</v>
      </c>
      <c r="C54" s="111">
        <f t="shared" si="19"/>
        <v>0.25512997356</v>
      </c>
      <c r="D54" s="111">
        <f>[6]REKAPITULASI!D25</f>
        <v>9.1117847699999995E-4</v>
      </c>
      <c r="E54" s="111">
        <f t="shared" si="20"/>
        <v>0.28246532787</v>
      </c>
      <c r="F54" s="112">
        <f t="shared" si="21"/>
        <v>0.53759530143000001</v>
      </c>
    </row>
    <row r="55" spans="1:10" x14ac:dyDescent="0.25">
      <c r="A55" s="89">
        <v>2031</v>
      </c>
      <c r="B55" s="100"/>
      <c r="C55" s="111">
        <f t="shared" si="19"/>
        <v>0</v>
      </c>
      <c r="D55" s="111"/>
      <c r="E55" s="111">
        <f t="shared" si="20"/>
        <v>0</v>
      </c>
      <c r="F55" s="112">
        <f t="shared" si="21"/>
        <v>0</v>
      </c>
    </row>
    <row r="57" spans="1:10" ht="15.75" thickBot="1" x14ac:dyDescent="0.3">
      <c r="A57" s="105" t="s">
        <v>88</v>
      </c>
      <c r="J57" s="96">
        <v>1000</v>
      </c>
    </row>
    <row r="58" spans="1:10" ht="15.75" thickBot="1" x14ac:dyDescent="0.3">
      <c r="A58" s="191" t="s">
        <v>11</v>
      </c>
      <c r="B58" s="193" t="s">
        <v>89</v>
      </c>
      <c r="C58" s="194"/>
      <c r="D58" s="194"/>
      <c r="E58" s="194"/>
      <c r="F58" s="194"/>
    </row>
    <row r="59" spans="1:10" ht="18.75" thickBot="1" x14ac:dyDescent="0.3">
      <c r="A59" s="192"/>
      <c r="B59" s="193" t="s">
        <v>129</v>
      </c>
      <c r="C59" s="195"/>
      <c r="D59" s="193" t="s">
        <v>133</v>
      </c>
      <c r="E59" s="195"/>
      <c r="F59" s="118" t="s">
        <v>135</v>
      </c>
      <c r="H59" s="181" t="s">
        <v>11</v>
      </c>
      <c r="I59" s="181" t="s">
        <v>145</v>
      </c>
      <c r="J59" s="181"/>
    </row>
    <row r="60" spans="1:10" ht="18" x14ac:dyDescent="0.25">
      <c r="A60" s="192"/>
      <c r="B60" s="119" t="s">
        <v>131</v>
      </c>
      <c r="C60" s="119" t="s">
        <v>132</v>
      </c>
      <c r="D60" s="119" t="s">
        <v>134</v>
      </c>
      <c r="E60" s="119" t="s">
        <v>132</v>
      </c>
      <c r="F60" s="119" t="s">
        <v>136</v>
      </c>
      <c r="H60" s="181"/>
      <c r="I60" s="142" t="s">
        <v>146</v>
      </c>
      <c r="J60" s="142" t="s">
        <v>147</v>
      </c>
    </row>
    <row r="61" spans="1:10" x14ac:dyDescent="0.25">
      <c r="A61" s="89">
        <v>2011</v>
      </c>
      <c r="B61" s="137">
        <f>[6]REKAPITULASI!B32</f>
        <v>6.6009318335675013E-2</v>
      </c>
      <c r="C61" s="121">
        <f>B61*21</f>
        <v>1.3861956850491752</v>
      </c>
      <c r="D61" s="137">
        <f>[6]REKAPITULASI!D32</f>
        <v>1.5232919615925E-3</v>
      </c>
      <c r="E61" s="121">
        <f>D61*310</f>
        <v>0.472220508093675</v>
      </c>
      <c r="F61" s="122">
        <f>SUM(C61+E61)</f>
        <v>1.8584161931428502</v>
      </c>
      <c r="H61" s="89">
        <v>2011</v>
      </c>
      <c r="I61" s="143">
        <f t="shared" ref="I61:I66" si="22">D9+I9+N9+S9+F35+F61</f>
        <v>66.326769210253133</v>
      </c>
      <c r="J61" s="144">
        <f>I61*$J$57</f>
        <v>66326.769210253129</v>
      </c>
    </row>
    <row r="62" spans="1:10" x14ac:dyDescent="0.25">
      <c r="A62" s="89">
        <v>2012</v>
      </c>
      <c r="B62" s="137">
        <f>[6]REKAPITULASI!B33</f>
        <v>6.7768371990605009E-2</v>
      </c>
      <c r="C62" s="121">
        <f t="shared" ref="C62:C81" si="23">B62*21</f>
        <v>1.4231358118027051</v>
      </c>
      <c r="D62" s="137">
        <f>[6]REKAPITULASI!D33</f>
        <v>1.5638855074755001E-3</v>
      </c>
      <c r="E62" s="121">
        <f t="shared" ref="E62:E81" si="24">D62*310</f>
        <v>0.48480450731740504</v>
      </c>
      <c r="F62" s="122">
        <f t="shared" ref="F62:F81" si="25">SUM(C62+E62)</f>
        <v>1.9079403191201101</v>
      </c>
      <c r="H62" s="89">
        <v>2012</v>
      </c>
      <c r="I62" s="143">
        <f t="shared" si="22"/>
        <v>70.612966030771304</v>
      </c>
      <c r="J62" s="144">
        <f t="shared" ref="J62:J70" si="26">I62*$J$57</f>
        <v>70612.966030771306</v>
      </c>
    </row>
    <row r="63" spans="1:10" x14ac:dyDescent="0.25">
      <c r="A63" s="89">
        <v>2013</v>
      </c>
      <c r="B63" s="137">
        <f>[6]REKAPITULASI!B34</f>
        <v>6.9564899985294984E-2</v>
      </c>
      <c r="C63" s="121">
        <f t="shared" si="23"/>
        <v>1.4608628996911948</v>
      </c>
      <c r="D63" s="137">
        <f>[6]REKAPITULASI!D34</f>
        <v>1.6053438458144998E-3</v>
      </c>
      <c r="E63" s="121">
        <f t="shared" si="24"/>
        <v>0.49765659220249492</v>
      </c>
      <c r="F63" s="122">
        <f t="shared" si="25"/>
        <v>1.9585194918936897</v>
      </c>
      <c r="H63" s="89">
        <v>2013</v>
      </c>
      <c r="I63" s="143">
        <f t="shared" si="22"/>
        <v>74.401717712197154</v>
      </c>
      <c r="J63" s="144">
        <f t="shared" si="26"/>
        <v>74401.717712197147</v>
      </c>
    </row>
    <row r="64" spans="1:10" x14ac:dyDescent="0.25">
      <c r="A64" s="89">
        <v>2014</v>
      </c>
      <c r="B64" s="137">
        <f>[6]REKAPITULASI!B35</f>
        <v>7.132741594335501E-2</v>
      </c>
      <c r="C64" s="121">
        <f t="shared" si="23"/>
        <v>1.4978757348104552</v>
      </c>
      <c r="D64" s="137">
        <f>[6]REKAPITULASI!D35</f>
        <v>1.6460172910005E-3</v>
      </c>
      <c r="E64" s="121">
        <f t="shared" si="24"/>
        <v>0.51026536021015501</v>
      </c>
      <c r="F64" s="122">
        <f t="shared" si="25"/>
        <v>2.0081410950206102</v>
      </c>
      <c r="H64" s="89">
        <v>2014</v>
      </c>
      <c r="I64" s="143">
        <f t="shared" si="22"/>
        <v>77.85237918810904</v>
      </c>
      <c r="J64" s="144">
        <f t="shared" si="26"/>
        <v>77852.379188109044</v>
      </c>
    </row>
    <row r="65" spans="1:10" x14ac:dyDescent="0.25">
      <c r="A65" s="89">
        <v>2015</v>
      </c>
      <c r="B65" s="137">
        <f>[6]REKAPITULASI!B36</f>
        <v>7.309420886410499E-2</v>
      </c>
      <c r="C65" s="121">
        <f t="shared" si="23"/>
        <v>1.5349783861462047</v>
      </c>
      <c r="D65" s="137">
        <f>[6]REKAPITULASI!D36</f>
        <v>1.6867894353254996E-3</v>
      </c>
      <c r="E65" s="121">
        <f t="shared" si="24"/>
        <v>0.5229047249509049</v>
      </c>
      <c r="F65" s="122">
        <f t="shared" si="25"/>
        <v>2.0578831110971096</v>
      </c>
      <c r="H65" s="89">
        <v>2015</v>
      </c>
      <c r="I65" s="143">
        <f t="shared" si="22"/>
        <v>81.053970527053465</v>
      </c>
      <c r="J65" s="144">
        <f t="shared" si="26"/>
        <v>81053.970527053461</v>
      </c>
    </row>
    <row r="66" spans="1:10" x14ac:dyDescent="0.25">
      <c r="A66" s="89">
        <v>2016</v>
      </c>
      <c r="B66" s="137">
        <f>[6]REKAPITULASI!B37</f>
        <v>7.4848476394119998E-2</v>
      </c>
      <c r="C66" s="121">
        <f t="shared" si="23"/>
        <v>1.57181800427652</v>
      </c>
      <c r="D66" s="137">
        <f>[6]REKAPITULASI!D37</f>
        <v>1.7272725321719998E-3</v>
      </c>
      <c r="E66" s="121">
        <f t="shared" si="24"/>
        <v>0.53545448497331993</v>
      </c>
      <c r="F66" s="122">
        <f t="shared" si="25"/>
        <v>2.1072724892498398</v>
      </c>
      <c r="H66" s="89">
        <v>2016</v>
      </c>
      <c r="I66" s="143">
        <f t="shared" si="22"/>
        <v>84.078360682613308</v>
      </c>
      <c r="J66" s="144">
        <f t="shared" si="26"/>
        <v>84078.360682613304</v>
      </c>
    </row>
    <row r="67" spans="1:10" x14ac:dyDescent="0.25">
      <c r="A67" s="89">
        <v>2017</v>
      </c>
      <c r="B67" s="137">
        <f>[6]REKAPITULASI!B38</f>
        <v>7.6716999927425006E-2</v>
      </c>
      <c r="C67" s="121">
        <f t="shared" si="23"/>
        <v>1.6110569984759251</v>
      </c>
      <c r="D67" s="137">
        <f>[6]REKAPITULASI!D38</f>
        <v>1.7703923060175002E-3</v>
      </c>
      <c r="E67" s="121">
        <f t="shared" si="24"/>
        <v>0.54882161486542502</v>
      </c>
      <c r="F67" s="122">
        <f t="shared" si="25"/>
        <v>2.1598786133413501</v>
      </c>
      <c r="H67" s="89">
        <v>2017</v>
      </c>
      <c r="I67" s="143">
        <f t="shared" ref="I67:I81" si="27">D15+I15+N15+S15+F41+F67</f>
        <v>86.974399979439909</v>
      </c>
      <c r="J67" s="144">
        <f t="shared" si="26"/>
        <v>86974.399979439913</v>
      </c>
    </row>
    <row r="68" spans="1:10" x14ac:dyDescent="0.25">
      <c r="A68" s="89">
        <v>2018</v>
      </c>
      <c r="B68" s="137">
        <f>[6]REKAPITULASI!B39</f>
        <v>7.8826357193154992E-2</v>
      </c>
      <c r="C68" s="121">
        <f t="shared" si="23"/>
        <v>1.6553535010562548</v>
      </c>
      <c r="D68" s="137">
        <f>[6]REKAPITULASI!D39</f>
        <v>1.8190697813804998E-3</v>
      </c>
      <c r="E68" s="121">
        <f t="shared" si="24"/>
        <v>0.56391163222795493</v>
      </c>
      <c r="F68" s="122">
        <f t="shared" si="25"/>
        <v>2.2192651332842095</v>
      </c>
      <c r="H68" s="89">
        <v>2018</v>
      </c>
      <c r="I68" s="143">
        <f t="shared" si="27"/>
        <v>89.818293293891514</v>
      </c>
      <c r="J68" s="144">
        <f t="shared" si="26"/>
        <v>89818.293293891518</v>
      </c>
    </row>
    <row r="69" spans="1:10" x14ac:dyDescent="0.25">
      <c r="A69" s="89">
        <v>2019</v>
      </c>
      <c r="B69" s="137">
        <f>[6]REKAPITULASI!B40</f>
        <v>8.0935714458884978E-2</v>
      </c>
      <c r="C69" s="121">
        <f t="shared" si="23"/>
        <v>1.6996500036365845</v>
      </c>
      <c r="D69" s="137">
        <f>[6]REKAPITULASI!D40</f>
        <v>1.8677472567434996E-3</v>
      </c>
      <c r="E69" s="121">
        <f t="shared" si="24"/>
        <v>0.57900164959048483</v>
      </c>
      <c r="F69" s="122">
        <f t="shared" si="25"/>
        <v>2.2786516532270693</v>
      </c>
      <c r="H69" s="89">
        <v>2019</v>
      </c>
      <c r="I69" s="143">
        <f t="shared" si="27"/>
        <v>92.693644781691134</v>
      </c>
      <c r="J69" s="144">
        <f t="shared" si="26"/>
        <v>92693.644781691139</v>
      </c>
    </row>
    <row r="70" spans="1:10" x14ac:dyDescent="0.25">
      <c r="A70" s="89">
        <v>2020</v>
      </c>
      <c r="B70" s="137">
        <f>[6]REKAPITULASI!B41</f>
        <v>8.3045071724615005E-2</v>
      </c>
      <c r="C70" s="121">
        <f t="shared" si="23"/>
        <v>1.743946506216915</v>
      </c>
      <c r="D70" s="137">
        <f>[6]REKAPITULASI!D41</f>
        <v>1.9164247321065001E-3</v>
      </c>
      <c r="E70" s="121">
        <f t="shared" si="24"/>
        <v>0.59409166695301507</v>
      </c>
      <c r="F70" s="122">
        <f t="shared" si="25"/>
        <v>2.33803817316993</v>
      </c>
      <c r="H70" s="89">
        <v>2020</v>
      </c>
      <c r="I70" s="143">
        <f t="shared" si="27"/>
        <v>95.587677372902817</v>
      </c>
      <c r="J70" s="144">
        <f t="shared" si="26"/>
        <v>95587.677372902821</v>
      </c>
    </row>
    <row r="71" spans="1:10" x14ac:dyDescent="0.25">
      <c r="A71" s="89">
        <v>2021</v>
      </c>
      <c r="B71" s="137">
        <f>[6]REKAPITULASI!B42</f>
        <v>8.5154428990345019E-2</v>
      </c>
      <c r="C71" s="121">
        <f t="shared" si="23"/>
        <v>1.7882430087972454</v>
      </c>
      <c r="D71" s="137">
        <f>[6]REKAPITULASI!D42</f>
        <v>1.9651022074695006E-3</v>
      </c>
      <c r="E71" s="121">
        <f t="shared" si="24"/>
        <v>0.6091816843155452</v>
      </c>
      <c r="F71" s="122">
        <f t="shared" si="25"/>
        <v>2.3974246931127907</v>
      </c>
      <c r="H71" s="89">
        <v>2021</v>
      </c>
      <c r="I71" s="143">
        <f>D19+I19+N19+S19+F45+F71</f>
        <v>98.492124654549031</v>
      </c>
      <c r="J71" s="144">
        <f>I71*$J$57</f>
        <v>98492.124654549028</v>
      </c>
    </row>
    <row r="72" spans="1:10" x14ac:dyDescent="0.25">
      <c r="A72" s="89">
        <v>2022</v>
      </c>
      <c r="B72" s="137">
        <f>[6]REKAPITULASI!B43</f>
        <v>8.7263786256075004E-2</v>
      </c>
      <c r="C72" s="121">
        <f t="shared" si="23"/>
        <v>1.8325395113775751</v>
      </c>
      <c r="D72" s="137">
        <f>[6]REKAPITULASI!D43</f>
        <v>2.0137796828325E-3</v>
      </c>
      <c r="E72" s="121">
        <f t="shared" si="24"/>
        <v>0.624271701678075</v>
      </c>
      <c r="F72" s="122">
        <f t="shared" si="25"/>
        <v>2.4568112130556501</v>
      </c>
      <c r="H72" s="89">
        <v>2022</v>
      </c>
      <c r="I72" s="143">
        <f t="shared" si="27"/>
        <v>101.40170242171172</v>
      </c>
      <c r="J72" s="144">
        <f t="shared" ref="J72:J81" si="28">I72*$J$57</f>
        <v>101401.70242171171</v>
      </c>
    </row>
    <row r="73" spans="1:10" x14ac:dyDescent="0.25">
      <c r="A73" s="89">
        <v>2023</v>
      </c>
      <c r="B73" s="137">
        <f>[6]REKAPITULASI!B44</f>
        <v>8.9373143521805018E-2</v>
      </c>
      <c r="C73" s="121">
        <f t="shared" si="23"/>
        <v>1.8768360139579054</v>
      </c>
      <c r="D73" s="137">
        <f>[6]REKAPITULASI!D44</f>
        <v>2.0624571581955003E-3</v>
      </c>
      <c r="E73" s="121">
        <f t="shared" si="24"/>
        <v>0.63936171904060513</v>
      </c>
      <c r="F73" s="122">
        <f t="shared" si="25"/>
        <v>2.5161977329985108</v>
      </c>
      <c r="H73" s="89">
        <v>2023</v>
      </c>
      <c r="I73" s="143">
        <f t="shared" si="27"/>
        <v>104.31309024039274</v>
      </c>
      <c r="J73" s="144">
        <f t="shared" si="28"/>
        <v>104313.09024039275</v>
      </c>
    </row>
    <row r="74" spans="1:10" x14ac:dyDescent="0.25">
      <c r="A74" s="89">
        <v>2024</v>
      </c>
      <c r="B74" s="137">
        <f>[6]REKAPITULASI!B45</f>
        <v>9.1482500787535004E-2</v>
      </c>
      <c r="C74" s="121">
        <f t="shared" si="23"/>
        <v>1.9211325165382351</v>
      </c>
      <c r="D74" s="137">
        <f>[6]REKAPITULASI!D45</f>
        <v>2.1111346335584997E-3</v>
      </c>
      <c r="E74" s="121">
        <f t="shared" si="24"/>
        <v>0.65445173640313492</v>
      </c>
      <c r="F74" s="122">
        <f t="shared" si="25"/>
        <v>2.5755842529413702</v>
      </c>
      <c r="H74" s="89">
        <v>2024</v>
      </c>
      <c r="I74" s="143">
        <f t="shared" si="27"/>
        <v>107.22425394988177</v>
      </c>
      <c r="J74" s="144">
        <f t="shared" si="28"/>
        <v>107224.25394988176</v>
      </c>
    </row>
    <row r="75" spans="1:10" x14ac:dyDescent="0.25">
      <c r="A75" s="89">
        <v>2025</v>
      </c>
      <c r="B75" s="137">
        <f>[6]REKAPITULASI!B46</f>
        <v>9.359185805326499E-2</v>
      </c>
      <c r="C75" s="121">
        <f t="shared" si="23"/>
        <v>1.9654290191185648</v>
      </c>
      <c r="D75" s="137">
        <f>[6]REKAPITULASI!D46</f>
        <v>2.1598121089214995E-3</v>
      </c>
      <c r="E75" s="121">
        <f t="shared" si="24"/>
        <v>0.66954175376566483</v>
      </c>
      <c r="F75" s="122">
        <f t="shared" si="25"/>
        <v>2.6349707728842295</v>
      </c>
      <c r="H75" s="89">
        <v>2025</v>
      </c>
      <c r="I75" s="143">
        <f t="shared" si="27"/>
        <v>110.13399591612746</v>
      </c>
      <c r="J75" s="144">
        <f t="shared" si="28"/>
        <v>110133.99591612746</v>
      </c>
    </row>
    <row r="76" spans="1:10" x14ac:dyDescent="0.25">
      <c r="A76" s="89">
        <v>2026</v>
      </c>
      <c r="B76" s="137">
        <f>[6]REKAPITULASI!B47</f>
        <v>9.5701215318995003E-2</v>
      </c>
      <c r="C76" s="121">
        <f t="shared" si="23"/>
        <v>2.0097255216988952</v>
      </c>
      <c r="D76" s="137">
        <f>[6]REKAPITULASI!D47</f>
        <v>2.2084895842844998E-3</v>
      </c>
      <c r="E76" s="121">
        <f t="shared" si="24"/>
        <v>0.68463177112819495</v>
      </c>
      <c r="F76" s="122">
        <f t="shared" si="25"/>
        <v>2.6943572928270902</v>
      </c>
      <c r="H76" s="89">
        <v>2026</v>
      </c>
      <c r="I76" s="143">
        <f t="shared" si="27"/>
        <v>113.04165728520013</v>
      </c>
      <c r="J76" s="144">
        <f t="shared" si="28"/>
        <v>113041.65728520013</v>
      </c>
    </row>
    <row r="77" spans="1:10" x14ac:dyDescent="0.25">
      <c r="A77" s="89">
        <v>2027</v>
      </c>
      <c r="B77" s="137">
        <f>[6]REKAPITULASI!B48</f>
        <v>9.7810572584725003E-2</v>
      </c>
      <c r="C77" s="121">
        <f t="shared" si="23"/>
        <v>2.0540220242792251</v>
      </c>
      <c r="D77" s="137">
        <f>[6]REKAPITULASI!D48</f>
        <v>2.2571670596475001E-3</v>
      </c>
      <c r="E77" s="121">
        <f t="shared" si="24"/>
        <v>0.69972178849072497</v>
      </c>
      <c r="F77" s="122">
        <f t="shared" si="25"/>
        <v>2.7537438127699501</v>
      </c>
      <c r="H77" s="89">
        <v>2027</v>
      </c>
      <c r="I77" s="143">
        <f t="shared" si="27"/>
        <v>115.94692156219266</v>
      </c>
      <c r="J77" s="144">
        <f t="shared" si="28"/>
        <v>115946.92156219266</v>
      </c>
    </row>
    <row r="78" spans="1:10" x14ac:dyDescent="0.25">
      <c r="A78" s="89">
        <v>2028</v>
      </c>
      <c r="B78" s="137">
        <f>[6]REKAPITULASI!B49</f>
        <v>9.9919929850454989E-2</v>
      </c>
      <c r="C78" s="121">
        <f t="shared" si="23"/>
        <v>2.0983185268595546</v>
      </c>
      <c r="D78" s="137">
        <f>[6]REKAPITULASI!D49</f>
        <v>2.3058445350104999E-3</v>
      </c>
      <c r="E78" s="121">
        <f t="shared" si="24"/>
        <v>0.71481180585325499</v>
      </c>
      <c r="F78" s="122">
        <f t="shared" si="25"/>
        <v>2.8131303327128094</v>
      </c>
      <c r="H78" s="89">
        <v>2028</v>
      </c>
      <c r="I78" s="143">
        <f t="shared" si="27"/>
        <v>118.84968563406457</v>
      </c>
      <c r="J78" s="144">
        <f t="shared" si="28"/>
        <v>118849.68563406458</v>
      </c>
    </row>
    <row r="79" spans="1:10" x14ac:dyDescent="0.25">
      <c r="A79" s="89">
        <v>2029</v>
      </c>
      <c r="B79" s="137">
        <f>[6]REKAPITULASI!B50</f>
        <v>0.10202928711618499</v>
      </c>
      <c r="C79" s="121">
        <f t="shared" si="23"/>
        <v>2.1426150294398849</v>
      </c>
      <c r="D79" s="137">
        <f>[6]REKAPITULASI!D50</f>
        <v>2.3545220103735002E-3</v>
      </c>
      <c r="E79" s="121">
        <f t="shared" si="24"/>
        <v>0.72990182321578501</v>
      </c>
      <c r="F79" s="122">
        <f t="shared" si="25"/>
        <v>2.8725168526556697</v>
      </c>
      <c r="H79" s="89">
        <v>2029</v>
      </c>
      <c r="I79" s="143">
        <f t="shared" si="27"/>
        <v>121.74997559825393</v>
      </c>
      <c r="J79" s="144">
        <f t="shared" si="28"/>
        <v>121749.97559825392</v>
      </c>
    </row>
    <row r="80" spans="1:10" x14ac:dyDescent="0.25">
      <c r="A80" s="89">
        <v>2030</v>
      </c>
      <c r="B80" s="137">
        <f>[6]REKAPITULASI!B51</f>
        <v>0.104138644381915</v>
      </c>
      <c r="C80" s="121">
        <f t="shared" si="23"/>
        <v>2.1869115320202148</v>
      </c>
      <c r="D80" s="137">
        <f>[6]REKAPITULASI!D51</f>
        <v>2.4031994857365005E-3</v>
      </c>
      <c r="E80" s="121">
        <f t="shared" si="24"/>
        <v>0.74499184057831513</v>
      </c>
      <c r="F80" s="122">
        <f t="shared" si="25"/>
        <v>2.93190337259853</v>
      </c>
      <c r="H80" s="89">
        <v>2030</v>
      </c>
      <c r="I80" s="143">
        <f t="shared" si="27"/>
        <v>124.64789228413241</v>
      </c>
      <c r="J80" s="144">
        <f t="shared" si="28"/>
        <v>124647.89228413241</v>
      </c>
    </row>
    <row r="81" spans="1:10" x14ac:dyDescent="0.25">
      <c r="A81" s="89">
        <v>2031</v>
      </c>
      <c r="B81" s="120"/>
      <c r="C81" s="121">
        <f t="shared" si="23"/>
        <v>0</v>
      </c>
      <c r="D81" s="120"/>
      <c r="E81" s="121">
        <f t="shared" si="24"/>
        <v>0</v>
      </c>
      <c r="F81" s="122">
        <f t="shared" si="25"/>
        <v>0</v>
      </c>
      <c r="H81" s="89">
        <v>2031</v>
      </c>
      <c r="I81" s="143">
        <f t="shared" si="27"/>
        <v>0</v>
      </c>
      <c r="J81" s="144">
        <f t="shared" si="28"/>
        <v>0</v>
      </c>
    </row>
    <row r="84" spans="1:10" x14ac:dyDescent="0.25">
      <c r="A84" s="123"/>
      <c r="B84" s="101"/>
      <c r="C84" s="102"/>
      <c r="D84" s="101"/>
      <c r="E84" s="102"/>
      <c r="F84" s="102"/>
    </row>
    <row r="85" spans="1:10" ht="15.75" thickBot="1" x14ac:dyDescent="0.3">
      <c r="A85" s="124" t="s">
        <v>144</v>
      </c>
      <c r="B85" s="102"/>
      <c r="C85" s="101"/>
      <c r="D85" s="102"/>
      <c r="G85" s="96">
        <v>1000</v>
      </c>
    </row>
    <row r="86" spans="1:10" ht="18.75" thickBot="1" x14ac:dyDescent="0.3">
      <c r="A86" s="184" t="s">
        <v>11</v>
      </c>
      <c r="B86" s="186" t="s">
        <v>137</v>
      </c>
      <c r="C86" s="187"/>
      <c r="D86" s="179" t="s">
        <v>138</v>
      </c>
      <c r="E86" s="180"/>
      <c r="F86" s="182" t="s">
        <v>95</v>
      </c>
      <c r="G86" s="183"/>
    </row>
    <row r="87" spans="1:10" ht="81.75" thickBot="1" x14ac:dyDescent="0.3">
      <c r="A87" s="185"/>
      <c r="B87" s="125" t="s">
        <v>139</v>
      </c>
      <c r="C87" s="125" t="s">
        <v>140</v>
      </c>
      <c r="D87" s="126" t="s">
        <v>141</v>
      </c>
      <c r="E87" s="126" t="s">
        <v>142</v>
      </c>
      <c r="F87" s="127" t="s">
        <v>143</v>
      </c>
      <c r="G87" s="127" t="s">
        <v>148</v>
      </c>
    </row>
    <row r="88" spans="1:10" ht="15.75" thickBot="1" x14ac:dyDescent="0.3">
      <c r="A88" s="185"/>
      <c r="B88" s="188" t="s">
        <v>101</v>
      </c>
      <c r="C88" s="128" t="s">
        <v>102</v>
      </c>
      <c r="D88" s="129" t="s">
        <v>103</v>
      </c>
      <c r="E88" s="130" t="s">
        <v>104</v>
      </c>
      <c r="F88" s="131" t="s">
        <v>105</v>
      </c>
      <c r="G88" s="131" t="s">
        <v>105</v>
      </c>
    </row>
    <row r="89" spans="1:10" x14ac:dyDescent="0.25">
      <c r="A89" s="185"/>
      <c r="B89" s="189"/>
      <c r="C89" s="132" t="s">
        <v>106</v>
      </c>
      <c r="D89" s="133"/>
      <c r="E89" s="134" t="s">
        <v>107</v>
      </c>
      <c r="F89" s="135" t="s">
        <v>108</v>
      </c>
      <c r="G89" s="135" t="s">
        <v>108</v>
      </c>
    </row>
    <row r="90" spans="1:10" x14ac:dyDescent="0.25">
      <c r="A90" s="89">
        <v>2011</v>
      </c>
      <c r="B90" s="138">
        <f>[6]REKAPITULASI!B59</f>
        <v>0.67720161908400001</v>
      </c>
      <c r="C90" s="141">
        <f>B90*21</f>
        <v>14.221234000763999</v>
      </c>
      <c r="D90" s="140">
        <f>[6]REKAPITULASI!D59</f>
        <v>2.3014780972857144E-2</v>
      </c>
      <c r="E90" s="136">
        <f>D90*310</f>
        <v>7.1345821015857149</v>
      </c>
      <c r="F90" s="139">
        <f>C90+E90</f>
        <v>21.355816102349714</v>
      </c>
      <c r="G90" s="145">
        <f>F90*$G$85</f>
        <v>21355.816102349712</v>
      </c>
    </row>
    <row r="91" spans="1:10" x14ac:dyDescent="0.25">
      <c r="A91" s="89">
        <v>2012</v>
      </c>
      <c r="B91" s="138">
        <f>[6]REKAPITULASI!B60</f>
        <v>0.69524807090639995</v>
      </c>
      <c r="C91" s="141">
        <f t="shared" ref="C91:C110" si="29">B91*21</f>
        <v>14.600209489034398</v>
      </c>
      <c r="D91" s="140">
        <f>[6]REKAPITULASI!D60</f>
        <v>2.2776836374285722E-2</v>
      </c>
      <c r="E91" s="136">
        <f t="shared" ref="E91:E110" si="30">D91*310</f>
        <v>7.0608192760285737</v>
      </c>
      <c r="F91" s="139">
        <f t="shared" ref="F91:F110" si="31">C91+E91</f>
        <v>21.661028765062973</v>
      </c>
      <c r="G91" s="145">
        <f t="shared" ref="G91:G109" si="32">F91*$G$85</f>
        <v>21661.028765062973</v>
      </c>
    </row>
    <row r="92" spans="1:10" x14ac:dyDescent="0.25">
      <c r="A92" s="89">
        <v>2013</v>
      </c>
      <c r="B92" s="138">
        <f>[6]REKAPITULASI!B61</f>
        <v>0.71367897880560005</v>
      </c>
      <c r="C92" s="141">
        <f t="shared" si="29"/>
        <v>14.987258554917601</v>
      </c>
      <c r="D92" s="140">
        <f>[6]REKAPITULASI!D61</f>
        <v>2.3050011021714285E-2</v>
      </c>
      <c r="E92" s="136">
        <f t="shared" si="30"/>
        <v>7.1455034167314286</v>
      </c>
      <c r="F92" s="139">
        <f t="shared" si="31"/>
        <v>22.132761971649028</v>
      </c>
      <c r="G92" s="145">
        <f t="shared" si="32"/>
        <v>22132.76197164903</v>
      </c>
    </row>
    <row r="93" spans="1:10" x14ac:dyDescent="0.25">
      <c r="A93" s="89">
        <v>2014</v>
      </c>
      <c r="B93" s="138">
        <f>[6]REKAPITULASI!B62</f>
        <v>0.73176095102640004</v>
      </c>
      <c r="C93" s="141">
        <f t="shared" si="29"/>
        <v>15.3669799715544</v>
      </c>
      <c r="D93" s="140">
        <f>[6]REKAPITULASI!D62</f>
        <v>2.4158674777809523E-2</v>
      </c>
      <c r="E93" s="136">
        <f t="shared" si="30"/>
        <v>7.4891891811209526</v>
      </c>
      <c r="F93" s="139">
        <f t="shared" si="31"/>
        <v>22.856169152675353</v>
      </c>
      <c r="G93" s="145">
        <f t="shared" si="32"/>
        <v>22856.169152675353</v>
      </c>
    </row>
    <row r="94" spans="1:10" x14ac:dyDescent="0.25">
      <c r="A94" s="89">
        <v>2015</v>
      </c>
      <c r="B94" s="138">
        <f>[6]REKAPITULASI!B63</f>
        <v>0.74988680138640007</v>
      </c>
      <c r="C94" s="141">
        <f t="shared" si="29"/>
        <v>15.747622829114402</v>
      </c>
      <c r="D94" s="140">
        <f>[6]REKAPITULASI!D63</f>
        <v>2.4757089496857152E-2</v>
      </c>
      <c r="E94" s="136">
        <f t="shared" si="30"/>
        <v>7.6746977440257176</v>
      </c>
      <c r="F94" s="139">
        <f t="shared" si="31"/>
        <v>23.422320573140119</v>
      </c>
      <c r="G94" s="145">
        <f t="shared" si="32"/>
        <v>23422.320573140118</v>
      </c>
    </row>
    <row r="95" spans="1:10" x14ac:dyDescent="0.25">
      <c r="A95" s="89">
        <v>2016</v>
      </c>
      <c r="B95" s="138">
        <f>[6]REKAPITULASI!B64</f>
        <v>0.76788415148159994</v>
      </c>
      <c r="C95" s="141">
        <f t="shared" si="29"/>
        <v>16.125567181113599</v>
      </c>
      <c r="D95" s="140">
        <f>[6]REKAPITULASI!D64</f>
        <v>2.5351261852190481E-2</v>
      </c>
      <c r="E95" s="136">
        <f t="shared" si="30"/>
        <v>7.8588911741790488</v>
      </c>
      <c r="F95" s="139">
        <f t="shared" si="31"/>
        <v>23.984458355292649</v>
      </c>
      <c r="G95" s="145">
        <f t="shared" si="32"/>
        <v>23984.458355292649</v>
      </c>
    </row>
    <row r="96" spans="1:10" x14ac:dyDescent="0.25">
      <c r="A96" s="89">
        <v>2017</v>
      </c>
      <c r="B96" s="138">
        <f>[6]REKAPITULASI!B65</f>
        <v>0.78705367472400001</v>
      </c>
      <c r="C96" s="141">
        <f t="shared" si="29"/>
        <v>16.528127169204001</v>
      </c>
      <c r="D96" s="140">
        <f>[6]REKAPITULASI!D65</f>
        <v>2.598413284238095E-2</v>
      </c>
      <c r="E96" s="136">
        <f t="shared" si="30"/>
        <v>8.0550811811380942</v>
      </c>
      <c r="F96" s="139">
        <f t="shared" si="31"/>
        <v>24.583208350342098</v>
      </c>
      <c r="G96" s="145">
        <f t="shared" si="32"/>
        <v>24583.208350342098</v>
      </c>
    </row>
    <row r="97" spans="1:7" x14ac:dyDescent="0.25">
      <c r="A97" s="89">
        <v>2018</v>
      </c>
      <c r="B97" s="138">
        <f>[6]REKAPITULASI!B66</f>
        <v>0.80869395509040021</v>
      </c>
      <c r="C97" s="141">
        <f t="shared" si="29"/>
        <v>16.982573056898403</v>
      </c>
      <c r="D97" s="140">
        <f>[6]REKAPITULASI!D66</f>
        <v>2.6698574484476191E-2</v>
      </c>
      <c r="E97" s="136">
        <f t="shared" si="30"/>
        <v>8.2765580901876188</v>
      </c>
      <c r="F97" s="139">
        <f t="shared" si="31"/>
        <v>25.259131147086023</v>
      </c>
      <c r="G97" s="145">
        <f t="shared" si="32"/>
        <v>25259.131147086024</v>
      </c>
    </row>
    <row r="98" spans="1:7" x14ac:dyDescent="0.25">
      <c r="A98" s="89">
        <v>2019</v>
      </c>
      <c r="B98" s="138">
        <f>[6]REKAPITULASI!B67</f>
        <v>0.83033423545679996</v>
      </c>
      <c r="C98" s="141">
        <f t="shared" si="29"/>
        <v>17.437018944592801</v>
      </c>
      <c r="D98" s="140">
        <f>[6]REKAPITULASI!D67</f>
        <v>2.7413016126571429E-2</v>
      </c>
      <c r="E98" s="136">
        <f t="shared" si="30"/>
        <v>8.4980349992371433</v>
      </c>
      <c r="F98" s="139">
        <f t="shared" si="31"/>
        <v>25.935053943829942</v>
      </c>
      <c r="G98" s="145">
        <f t="shared" si="32"/>
        <v>25935.053943829942</v>
      </c>
    </row>
    <row r="99" spans="1:7" x14ac:dyDescent="0.25">
      <c r="A99" s="89">
        <v>2020</v>
      </c>
      <c r="B99" s="138">
        <f>[6]REKAPITULASI!B68</f>
        <v>0.85197451582319994</v>
      </c>
      <c r="C99" s="141">
        <f t="shared" si="29"/>
        <v>17.891464832287198</v>
      </c>
      <c r="D99" s="140">
        <f>[6]REKAPITULASI!D68</f>
        <v>2.812745776866667E-2</v>
      </c>
      <c r="E99" s="136">
        <f t="shared" si="30"/>
        <v>8.7195119082866679</v>
      </c>
      <c r="F99" s="139">
        <f t="shared" si="31"/>
        <v>26.610976740573868</v>
      </c>
      <c r="G99" s="145">
        <f t="shared" si="32"/>
        <v>26610.976740573868</v>
      </c>
    </row>
    <row r="100" spans="1:7" x14ac:dyDescent="0.25">
      <c r="A100" s="89">
        <v>2021</v>
      </c>
      <c r="B100" s="138">
        <f>[6]REKAPITULASI!B69</f>
        <v>0.87361479618960003</v>
      </c>
      <c r="C100" s="141">
        <f t="shared" si="29"/>
        <v>18.3459107199816</v>
      </c>
      <c r="D100" s="140">
        <f>[6]REKAPITULASI!D69</f>
        <v>2.8841899410761908E-2</v>
      </c>
      <c r="E100" s="136">
        <f t="shared" si="30"/>
        <v>8.9409888173361907</v>
      </c>
      <c r="F100" s="139">
        <f t="shared" si="31"/>
        <v>27.28689953731779</v>
      </c>
      <c r="G100" s="145">
        <f t="shared" si="32"/>
        <v>27286.89953731779</v>
      </c>
    </row>
    <row r="101" spans="1:7" x14ac:dyDescent="0.25">
      <c r="A101" s="89">
        <v>2022</v>
      </c>
      <c r="B101" s="138">
        <f>[6]REKAPITULASI!B70</f>
        <v>0.89525507655600001</v>
      </c>
      <c r="C101" s="141">
        <f t="shared" si="29"/>
        <v>18.800356607676001</v>
      </c>
      <c r="D101" s="140">
        <f>[6]REKAPITULASI!D70</f>
        <v>2.9556341052857149E-2</v>
      </c>
      <c r="E101" s="136">
        <f t="shared" si="30"/>
        <v>9.162465726385717</v>
      </c>
      <c r="F101" s="139">
        <f t="shared" si="31"/>
        <v>27.96282233406172</v>
      </c>
      <c r="G101" s="145">
        <f t="shared" si="32"/>
        <v>27962.822334061719</v>
      </c>
    </row>
    <row r="102" spans="1:7" x14ac:dyDescent="0.25">
      <c r="A102" s="89">
        <v>2023</v>
      </c>
      <c r="B102" s="138">
        <f>[6]REKAPITULASI!B71</f>
        <v>0.91689535692240021</v>
      </c>
      <c r="C102" s="141">
        <f t="shared" si="29"/>
        <v>19.254802495370406</v>
      </c>
      <c r="D102" s="140">
        <f>[6]REKAPITULASI!D71</f>
        <v>3.027078269495238E-2</v>
      </c>
      <c r="E102" s="136">
        <f t="shared" si="30"/>
        <v>9.383942635435238</v>
      </c>
      <c r="F102" s="139">
        <f t="shared" si="31"/>
        <v>28.638745130805646</v>
      </c>
      <c r="G102" s="145">
        <f t="shared" si="32"/>
        <v>28638.745130805644</v>
      </c>
    </row>
    <row r="103" spans="1:7" x14ac:dyDescent="0.25">
      <c r="A103" s="89">
        <v>2024</v>
      </c>
      <c r="B103" s="138">
        <f>[6]REKAPITULASI!B72</f>
        <v>0.93853563728880007</v>
      </c>
      <c r="C103" s="141">
        <f t="shared" si="29"/>
        <v>19.7092483830648</v>
      </c>
      <c r="D103" s="140">
        <f>[6]REKAPITULASI!D72</f>
        <v>3.0985224337047625E-2</v>
      </c>
      <c r="E103" s="136">
        <f t="shared" si="30"/>
        <v>9.6054195444847643</v>
      </c>
      <c r="F103" s="139">
        <f t="shared" si="31"/>
        <v>29.314667927549564</v>
      </c>
      <c r="G103" s="145">
        <f t="shared" si="32"/>
        <v>29314.667927549563</v>
      </c>
    </row>
    <row r="104" spans="1:7" x14ac:dyDescent="0.25">
      <c r="A104" s="89">
        <v>2025</v>
      </c>
      <c r="B104" s="138">
        <f>[6]REKAPITULASI!B73</f>
        <v>0.96017591765519983</v>
      </c>
      <c r="C104" s="141">
        <f t="shared" si="29"/>
        <v>20.163694270759198</v>
      </c>
      <c r="D104" s="140">
        <f>[6]REKAPITULASI!D73</f>
        <v>3.1699665979142859E-2</v>
      </c>
      <c r="E104" s="136">
        <f t="shared" si="30"/>
        <v>9.8268964535342871</v>
      </c>
      <c r="F104" s="139">
        <f t="shared" si="31"/>
        <v>29.990590724293483</v>
      </c>
      <c r="G104" s="145">
        <f t="shared" si="32"/>
        <v>29990.590724293485</v>
      </c>
    </row>
    <row r="105" spans="1:7" x14ac:dyDescent="0.25">
      <c r="A105" s="89">
        <v>2026</v>
      </c>
      <c r="B105" s="138">
        <f>[6]REKAPITULASI!B74</f>
        <v>0.98181619802159992</v>
      </c>
      <c r="C105" s="141">
        <f t="shared" si="29"/>
        <v>20.618140158453599</v>
      </c>
      <c r="D105" s="140">
        <f>[6]REKAPITULASI!D74</f>
        <v>3.24141076212381E-2</v>
      </c>
      <c r="E105" s="136">
        <f t="shared" si="30"/>
        <v>10.048373362583812</v>
      </c>
      <c r="F105" s="139">
        <f t="shared" si="31"/>
        <v>30.666513521037409</v>
      </c>
      <c r="G105" s="145">
        <f t="shared" si="32"/>
        <v>30666.51352103741</v>
      </c>
    </row>
    <row r="106" spans="1:7" x14ac:dyDescent="0.25">
      <c r="A106" s="89">
        <v>2027</v>
      </c>
      <c r="B106" s="138">
        <f>[6]REKAPITULASI!B75</f>
        <v>1.0034564783880002</v>
      </c>
      <c r="C106" s="141">
        <f t="shared" si="29"/>
        <v>21.072586046148004</v>
      </c>
      <c r="D106" s="140">
        <f>[6]REKAPITULASI!D75</f>
        <v>3.3128549263333341E-2</v>
      </c>
      <c r="E106" s="136">
        <f t="shared" si="30"/>
        <v>10.269850271633336</v>
      </c>
      <c r="F106" s="139">
        <f t="shared" si="31"/>
        <v>31.342436317781342</v>
      </c>
      <c r="G106" s="145">
        <f t="shared" si="32"/>
        <v>31342.436317781343</v>
      </c>
    </row>
    <row r="107" spans="1:7" x14ac:dyDescent="0.25">
      <c r="A107" s="89">
        <v>2028</v>
      </c>
      <c r="B107" s="138">
        <f>[6]REKAPITULASI!B76</f>
        <v>1.0250967587544</v>
      </c>
      <c r="C107" s="141">
        <f t="shared" si="29"/>
        <v>21.527031933842398</v>
      </c>
      <c r="D107" s="140">
        <f>[6]REKAPITULASI!D76</f>
        <v>3.3842990905428576E-2</v>
      </c>
      <c r="E107" s="136">
        <f t="shared" si="30"/>
        <v>10.491327180682859</v>
      </c>
      <c r="F107" s="139">
        <f t="shared" si="31"/>
        <v>32.018359114525254</v>
      </c>
      <c r="G107" s="145">
        <f t="shared" si="32"/>
        <v>32018.359114525254</v>
      </c>
    </row>
    <row r="108" spans="1:7" x14ac:dyDescent="0.25">
      <c r="A108" s="89">
        <v>2029</v>
      </c>
      <c r="B108" s="138">
        <f>[6]REKAPITULASI!B77</f>
        <v>1.0467370391208</v>
      </c>
      <c r="C108" s="141">
        <f t="shared" si="29"/>
        <v>21.981477821536799</v>
      </c>
      <c r="D108" s="140">
        <f>[6]REKAPITULASI!D77</f>
        <v>3.455743254752381E-2</v>
      </c>
      <c r="E108" s="136">
        <f t="shared" si="30"/>
        <v>10.712804089732382</v>
      </c>
      <c r="F108" s="139">
        <f t="shared" si="31"/>
        <v>32.694281911269179</v>
      </c>
      <c r="G108" s="145">
        <f t="shared" si="32"/>
        <v>32694.28191126918</v>
      </c>
    </row>
    <row r="109" spans="1:7" x14ac:dyDescent="0.25">
      <c r="A109" s="89">
        <v>2030</v>
      </c>
      <c r="B109" s="138">
        <f>[6]REKAPITULASI!B78</f>
        <v>1.0683773194871999</v>
      </c>
      <c r="C109" s="141">
        <f t="shared" si="29"/>
        <v>22.435923709231197</v>
      </c>
      <c r="D109" s="140">
        <f>[6]REKAPITULASI!D78</f>
        <v>3.5271874189619044E-2</v>
      </c>
      <c r="E109" s="136">
        <f t="shared" si="30"/>
        <v>10.934280998781905</v>
      </c>
      <c r="F109" s="139">
        <f t="shared" si="31"/>
        <v>33.370204708013105</v>
      </c>
      <c r="G109" s="145">
        <f t="shared" si="32"/>
        <v>33370.204708013109</v>
      </c>
    </row>
    <row r="110" spans="1:7" x14ac:dyDescent="0.25">
      <c r="A110" s="89">
        <v>2031</v>
      </c>
      <c r="B110" s="138"/>
      <c r="C110" s="141">
        <f t="shared" si="29"/>
        <v>0</v>
      </c>
      <c r="D110" s="140"/>
      <c r="E110" s="136">
        <f t="shared" si="30"/>
        <v>0</v>
      </c>
      <c r="F110" s="139">
        <f t="shared" si="31"/>
        <v>0</v>
      </c>
      <c r="G110" s="99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7" workbookViewId="0">
      <selection activeCell="G15" sqref="G15"/>
    </sheetView>
  </sheetViews>
  <sheetFormatPr defaultRowHeight="12.75" x14ac:dyDescent="0.25"/>
  <cols>
    <col min="1" max="2" width="9.140625" style="147"/>
    <col min="3" max="3" width="14.5703125" style="147" customWidth="1"/>
    <col min="4" max="4" width="19.140625" style="147" customWidth="1"/>
    <col min="5" max="16384" width="9.140625" style="147"/>
  </cols>
  <sheetData>
    <row r="3" spans="2:4" x14ac:dyDescent="0.25">
      <c r="B3" s="204" t="s">
        <v>11</v>
      </c>
      <c r="C3" s="204" t="s">
        <v>152</v>
      </c>
      <c r="D3" s="204"/>
    </row>
    <row r="4" spans="2:4" x14ac:dyDescent="0.25">
      <c r="B4" s="204"/>
      <c r="C4" s="148" t="s">
        <v>151</v>
      </c>
      <c r="D4" s="148" t="s">
        <v>147</v>
      </c>
    </row>
    <row r="5" spans="2:4" ht="15" x14ac:dyDescent="0.25">
      <c r="B5" s="89">
        <v>2011</v>
      </c>
      <c r="C5" s="167">
        <f>'[7]4D2_CH4_Industrial_Wastewater'!$G12</f>
        <v>1939488</v>
      </c>
      <c r="D5" s="167">
        <f>(C5*21)/1000</f>
        <v>40729.248</v>
      </c>
    </row>
    <row r="6" spans="2:4" ht="15" x14ac:dyDescent="0.25">
      <c r="B6" s="89">
        <v>2012</v>
      </c>
      <c r="C6" s="167">
        <f>'[7]4D2_CH4_Industrial_Wastewater'!$G13</f>
        <v>2841816</v>
      </c>
      <c r="D6" s="167">
        <f t="shared" ref="D6:D15" si="0">(C6*21)/1000</f>
        <v>59678.135999999999</v>
      </c>
    </row>
    <row r="7" spans="2:4" ht="15" x14ac:dyDescent="0.25">
      <c r="B7" s="89">
        <v>2013</v>
      </c>
      <c r="C7" s="167">
        <f>'[7]4D2_CH4_Industrial_Wastewater'!$G14</f>
        <v>6674652</v>
      </c>
      <c r="D7" s="167">
        <f t="shared" si="0"/>
        <v>140167.69200000001</v>
      </c>
    </row>
    <row r="8" spans="2:4" ht="15" x14ac:dyDescent="0.25">
      <c r="B8" s="89">
        <v>2014</v>
      </c>
      <c r="C8" s="167">
        <f>'[7]4D2_CH4_Industrial_Wastewater'!$G15</f>
        <v>7388322</v>
      </c>
      <c r="D8" s="167">
        <f t="shared" si="0"/>
        <v>155154.76199999999</v>
      </c>
    </row>
    <row r="9" spans="2:4" ht="15" x14ac:dyDescent="0.25">
      <c r="B9" s="89">
        <v>2015</v>
      </c>
      <c r="C9" s="167">
        <f>'[7]4D2_CH4_Industrial_Wastewater'!$G16</f>
        <v>9041478</v>
      </c>
      <c r="D9" s="167">
        <f t="shared" si="0"/>
        <v>189871.038</v>
      </c>
    </row>
    <row r="10" spans="2:4" ht="15" x14ac:dyDescent="0.25">
      <c r="B10" s="89">
        <v>2016</v>
      </c>
      <c r="C10" s="167">
        <f>'[7]4D2_CH4_Industrial_Wastewater'!$G17</f>
        <v>11649834</v>
      </c>
      <c r="D10" s="167">
        <f t="shared" si="0"/>
        <v>244646.514</v>
      </c>
    </row>
    <row r="11" spans="2:4" ht="15" x14ac:dyDescent="0.25">
      <c r="B11" s="89">
        <v>2017</v>
      </c>
      <c r="C11" s="167">
        <f>'[7]4D2_CH4_Industrial_Wastewater'!$G18</f>
        <v>18555814.638</v>
      </c>
      <c r="D11" s="167">
        <f t="shared" si="0"/>
        <v>389672.10739800002</v>
      </c>
    </row>
    <row r="12" spans="2:4" ht="15" x14ac:dyDescent="0.25">
      <c r="B12" s="89">
        <v>2018</v>
      </c>
      <c r="C12" s="167">
        <f>'[7]4D2_CH4_Industrial_Wastewater'!$G19</f>
        <v>20302182.143999998</v>
      </c>
      <c r="D12" s="167">
        <f t="shared" si="0"/>
        <v>426345.8250239999</v>
      </c>
    </row>
    <row r="13" spans="2:4" ht="15" x14ac:dyDescent="0.25">
      <c r="B13" s="89">
        <v>2019</v>
      </c>
      <c r="C13" s="167">
        <f>'[7]4D2_CH4_Industrial_Wastewater'!$G20</f>
        <v>22103723.717999998</v>
      </c>
      <c r="D13" s="167">
        <f t="shared" si="0"/>
        <v>464178.19807799993</v>
      </c>
    </row>
    <row r="14" spans="2:4" ht="15" x14ac:dyDescent="0.25">
      <c r="B14" s="89">
        <v>2020</v>
      </c>
      <c r="C14" s="167">
        <f>'[7]4D2_CH4_Industrial_Wastewater'!$G21</f>
        <v>23960439.359999999</v>
      </c>
      <c r="D14" s="167">
        <f t="shared" si="0"/>
        <v>503169.22655999998</v>
      </c>
    </row>
    <row r="15" spans="2:4" ht="15" x14ac:dyDescent="0.25">
      <c r="B15" s="89">
        <v>2021</v>
      </c>
      <c r="C15" s="167">
        <f>'[7]4D2_CH4_Industrial_Wastewater'!$G22</f>
        <v>25103798.11333333</v>
      </c>
      <c r="D15" s="167">
        <f t="shared" si="0"/>
        <v>527179.76037999999</v>
      </c>
    </row>
    <row r="16" spans="2:4" ht="15" x14ac:dyDescent="0.25">
      <c r="B16" s="89">
        <v>2022</v>
      </c>
      <c r="C16" s="167">
        <f>'[7]4D2_CH4_Industrial_Wastewater'!$G23</f>
        <v>26273002.911999989</v>
      </c>
      <c r="D16" s="167">
        <f t="shared" ref="D16:D25" si="1">(C16*21)/1000</f>
        <v>551733.06115199986</v>
      </c>
    </row>
    <row r="17" spans="2:4" ht="15" x14ac:dyDescent="0.25">
      <c r="B17" s="89">
        <v>2023</v>
      </c>
      <c r="C17" s="167">
        <f>'[7]4D2_CH4_Industrial_Wastewater'!$G24</f>
        <v>27468053.755999982</v>
      </c>
      <c r="D17" s="167">
        <f t="shared" si="1"/>
        <v>576829.12887599971</v>
      </c>
    </row>
    <row r="18" spans="2:4" ht="15" x14ac:dyDescent="0.25">
      <c r="B18" s="89">
        <v>2024</v>
      </c>
      <c r="C18" s="167">
        <f>'[7]4D2_CH4_Industrial_Wastewater'!$G25</f>
        <v>28688950.64533332</v>
      </c>
      <c r="D18" s="167">
        <f t="shared" si="1"/>
        <v>602467.96355199965</v>
      </c>
    </row>
    <row r="19" spans="2:4" ht="15" x14ac:dyDescent="0.25">
      <c r="B19" s="89">
        <v>2025</v>
      </c>
      <c r="C19" s="167">
        <f>'[7]4D2_CH4_Industrial_Wastewater'!$G26</f>
        <v>29935693.579999983</v>
      </c>
      <c r="D19" s="167">
        <f t="shared" si="1"/>
        <v>628649.56517999957</v>
      </c>
    </row>
    <row r="20" spans="2:4" ht="15" x14ac:dyDescent="0.25">
      <c r="B20" s="89">
        <v>2026</v>
      </c>
      <c r="C20" s="167">
        <f>'[7]4D2_CH4_Industrial_Wastewater'!$G27</f>
        <v>31208282.55999998</v>
      </c>
      <c r="D20" s="167">
        <f t="shared" si="1"/>
        <v>655373.93375999958</v>
      </c>
    </row>
    <row r="21" spans="2:4" ht="15" x14ac:dyDescent="0.25">
      <c r="B21" s="89">
        <v>2027</v>
      </c>
      <c r="C21" s="167">
        <f>'[7]4D2_CH4_Industrial_Wastewater'!$G28</f>
        <v>32506717.585333314</v>
      </c>
      <c r="D21" s="167">
        <f t="shared" si="1"/>
        <v>682641.06929199956</v>
      </c>
    </row>
    <row r="22" spans="2:4" ht="15" x14ac:dyDescent="0.25">
      <c r="B22" s="89">
        <v>2028</v>
      </c>
      <c r="C22" s="167">
        <f>'[7]4D2_CH4_Industrial_Wastewater'!$G29</f>
        <v>33830998.655999973</v>
      </c>
      <c r="D22" s="167">
        <f t="shared" si="1"/>
        <v>710450.97177599941</v>
      </c>
    </row>
    <row r="23" spans="2:4" ht="15" x14ac:dyDescent="0.25">
      <c r="B23" s="89">
        <v>2029</v>
      </c>
      <c r="C23" s="167">
        <f>'[7]4D2_CH4_Industrial_Wastewater'!$G30</f>
        <v>35181125.77199997</v>
      </c>
      <c r="D23" s="167">
        <f t="shared" si="1"/>
        <v>738803.64121199946</v>
      </c>
    </row>
    <row r="24" spans="2:4" ht="15" x14ac:dyDescent="0.25">
      <c r="B24" s="89">
        <v>2030</v>
      </c>
      <c r="C24" s="167">
        <f>'[7]4D2_CH4_Industrial_Wastewater'!$G31</f>
        <v>35763504.815999962</v>
      </c>
      <c r="D24" s="167">
        <f t="shared" si="1"/>
        <v>751033.6011359992</v>
      </c>
    </row>
    <row r="25" spans="2:4" ht="15" x14ac:dyDescent="0.25">
      <c r="B25" s="89">
        <v>2031</v>
      </c>
      <c r="C25" s="149"/>
      <c r="D25" s="149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35" t="s">
        <v>54</v>
      </c>
      <c r="E5" s="235"/>
      <c r="F5" s="236" t="s">
        <v>64</v>
      </c>
      <c r="G5" s="236"/>
      <c r="H5" s="236"/>
      <c r="I5" s="236"/>
    </row>
    <row r="6" spans="1:9" s="20" customFormat="1" ht="16.5" customHeight="1" x14ac:dyDescent="0.25">
      <c r="A6" s="232" t="s">
        <v>48</v>
      </c>
      <c r="B6" s="232" t="s">
        <v>50</v>
      </c>
      <c r="C6" s="233"/>
      <c r="D6" s="221" t="s">
        <v>70</v>
      </c>
      <c r="E6" s="221"/>
      <c r="F6" s="222" t="s">
        <v>56</v>
      </c>
      <c r="G6" s="222"/>
      <c r="H6" s="222"/>
      <c r="I6" s="222"/>
    </row>
    <row r="7" spans="1:9" s="20" customFormat="1" ht="29.25" customHeight="1" x14ac:dyDescent="0.25">
      <c r="A7" s="232"/>
      <c r="B7" s="232"/>
      <c r="C7" s="233"/>
      <c r="D7" s="221"/>
      <c r="E7" s="221"/>
      <c r="F7" s="222" t="s">
        <v>57</v>
      </c>
      <c r="G7" s="222"/>
      <c r="H7" s="222"/>
      <c r="I7" s="222"/>
    </row>
    <row r="8" spans="1:9" s="20" customFormat="1" ht="51" customHeight="1" x14ac:dyDescent="0.25">
      <c r="A8" s="232"/>
      <c r="B8" s="29" t="s">
        <v>59</v>
      </c>
      <c r="C8" s="22"/>
      <c r="D8" s="221" t="s">
        <v>58</v>
      </c>
      <c r="E8" s="221"/>
      <c r="F8" s="222" t="s">
        <v>61</v>
      </c>
      <c r="G8" s="222"/>
      <c r="H8" s="222"/>
      <c r="I8" s="222"/>
    </row>
    <row r="9" spans="1:9" s="20" customFormat="1" ht="31.5" customHeight="1" x14ac:dyDescent="0.25">
      <c r="A9" s="232"/>
      <c r="B9" s="220" t="s">
        <v>51</v>
      </c>
      <c r="C9" s="22"/>
      <c r="D9" s="221" t="s">
        <v>60</v>
      </c>
      <c r="E9" s="221"/>
      <c r="F9" s="229" t="s">
        <v>66</v>
      </c>
      <c r="G9" s="230"/>
      <c r="H9" s="230"/>
      <c r="I9" s="231"/>
    </row>
    <row r="10" spans="1:9" s="20" customFormat="1" ht="20.25" customHeight="1" x14ac:dyDescent="0.25">
      <c r="A10" s="232"/>
      <c r="B10" s="220"/>
      <c r="C10" s="22"/>
      <c r="D10" s="221"/>
      <c r="E10" s="221"/>
      <c r="F10" s="222" t="s">
        <v>62</v>
      </c>
      <c r="G10" s="222"/>
      <c r="H10" s="222"/>
      <c r="I10" s="222"/>
    </row>
    <row r="11" spans="1:9" s="20" customFormat="1" ht="17.25" customHeight="1" x14ac:dyDescent="0.25">
      <c r="A11" s="232"/>
      <c r="B11" s="220"/>
      <c r="C11" s="22"/>
      <c r="D11" s="221"/>
      <c r="E11" s="221"/>
      <c r="F11" s="222" t="s">
        <v>63</v>
      </c>
      <c r="G11" s="222"/>
      <c r="H11" s="222"/>
      <c r="I11" s="222"/>
    </row>
    <row r="12" spans="1:9" s="20" customFormat="1" ht="60" customHeight="1" x14ac:dyDescent="0.25">
      <c r="A12" s="232" t="s">
        <v>49</v>
      </c>
      <c r="B12" s="27" t="s">
        <v>52</v>
      </c>
      <c r="C12" s="23"/>
      <c r="D12" s="24"/>
      <c r="E12" s="22"/>
      <c r="F12" s="223" t="s">
        <v>67</v>
      </c>
      <c r="G12" s="224"/>
      <c r="H12" s="224"/>
      <c r="I12" s="225"/>
    </row>
    <row r="13" spans="1:9" s="20" customFormat="1" ht="30" x14ac:dyDescent="0.25">
      <c r="A13" s="232"/>
      <c r="B13" s="28" t="s">
        <v>53</v>
      </c>
      <c r="C13" s="23"/>
      <c r="D13" s="24"/>
      <c r="E13" s="22"/>
      <c r="F13" s="226"/>
      <c r="G13" s="227"/>
      <c r="H13" s="227"/>
      <c r="I13" s="228"/>
    </row>
    <row r="18" spans="1:22" ht="21" x14ac:dyDescent="0.35">
      <c r="A18" s="234" t="s">
        <v>74</v>
      </c>
      <c r="B18" s="234"/>
      <c r="C18" s="234"/>
      <c r="D18" s="234"/>
      <c r="E18" s="234"/>
      <c r="F18" s="234"/>
      <c r="G18" s="234"/>
      <c r="H18" s="234"/>
      <c r="I18" s="234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05" t="s">
        <v>8</v>
      </c>
      <c r="B21" s="218" t="s">
        <v>40</v>
      </c>
      <c r="C21" s="218"/>
      <c r="D21" s="218"/>
      <c r="E21" s="218"/>
      <c r="F21" s="218"/>
      <c r="G21" s="218"/>
      <c r="H21" s="218"/>
      <c r="I21" s="219"/>
      <c r="K21" t="s">
        <v>22</v>
      </c>
      <c r="L21" t="s">
        <v>25</v>
      </c>
    </row>
    <row r="22" spans="1:22" ht="38.25" x14ac:dyDescent="0.25">
      <c r="A22" s="20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11" t="s">
        <v>71</v>
      </c>
      <c r="C24" s="35">
        <v>0</v>
      </c>
      <c r="D24" s="211" t="s">
        <v>73</v>
      </c>
      <c r="E24" s="211" t="s">
        <v>79</v>
      </c>
      <c r="F24" s="211"/>
      <c r="G24" s="211"/>
      <c r="H24" s="21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11"/>
      <c r="C25" s="35">
        <v>0</v>
      </c>
      <c r="D25" s="211"/>
      <c r="E25" s="211"/>
      <c r="F25" s="211"/>
      <c r="G25" s="211"/>
      <c r="H25" s="211"/>
      <c r="I25" s="34"/>
      <c r="K25" t="s">
        <v>27</v>
      </c>
      <c r="L25" s="209">
        <v>1000</v>
      </c>
      <c r="M25" s="209"/>
      <c r="N25" s="209"/>
      <c r="O25" s="8" t="s">
        <v>28</v>
      </c>
      <c r="R25" s="210">
        <f>L25*1000/365</f>
        <v>2739.7260273972602</v>
      </c>
      <c r="S25" s="210"/>
      <c r="T25" s="210"/>
      <c r="U25" s="11" t="s">
        <v>45</v>
      </c>
    </row>
    <row r="26" spans="1:22" x14ac:dyDescent="0.25">
      <c r="A26" s="2">
        <v>2013</v>
      </c>
      <c r="B26" s="211"/>
      <c r="C26" s="35">
        <v>0</v>
      </c>
      <c r="D26" s="211"/>
      <c r="E26" s="211"/>
      <c r="F26" s="211"/>
      <c r="G26" s="211"/>
      <c r="H26" s="211"/>
      <c r="I26" s="34"/>
      <c r="K26" t="s">
        <v>29</v>
      </c>
      <c r="L26" s="209">
        <v>3000</v>
      </c>
      <c r="M26" s="209"/>
      <c r="N26" s="209"/>
      <c r="O26" s="8" t="s">
        <v>28</v>
      </c>
    </row>
    <row r="27" spans="1:22" x14ac:dyDescent="0.25">
      <c r="A27" s="2">
        <v>2014</v>
      </c>
      <c r="B27" s="211"/>
      <c r="C27" s="35">
        <v>0</v>
      </c>
      <c r="D27" s="211"/>
      <c r="E27" s="211"/>
      <c r="F27" s="211"/>
      <c r="G27" s="211"/>
      <c r="H27" s="21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11"/>
      <c r="C28" s="35">
        <v>0</v>
      </c>
      <c r="D28" s="211"/>
      <c r="E28" s="211"/>
      <c r="F28" s="211"/>
      <c r="G28" s="211"/>
      <c r="H28" s="211"/>
      <c r="I28" s="34"/>
    </row>
    <row r="29" spans="1:22" x14ac:dyDescent="0.25">
      <c r="A29" s="2">
        <v>2016</v>
      </c>
      <c r="B29" s="211"/>
      <c r="C29" s="35">
        <v>0</v>
      </c>
      <c r="D29" s="211"/>
      <c r="E29" s="211"/>
      <c r="F29" s="211"/>
      <c r="G29" s="211"/>
      <c r="H29" s="211"/>
      <c r="I29" s="34"/>
    </row>
    <row r="30" spans="1:22" x14ac:dyDescent="0.25">
      <c r="A30" s="2">
        <v>2017</v>
      </c>
      <c r="B30" s="211"/>
      <c r="C30" s="35">
        <v>0</v>
      </c>
      <c r="D30" s="211"/>
      <c r="E30" s="211"/>
      <c r="F30" s="211"/>
      <c r="G30" s="211"/>
      <c r="H30" s="211"/>
      <c r="I30" s="34"/>
    </row>
    <row r="31" spans="1:22" ht="25.5" x14ac:dyDescent="0.25">
      <c r="A31" s="2">
        <v>2018</v>
      </c>
      <c r="B31" s="211"/>
      <c r="C31" s="35">
        <v>0</v>
      </c>
      <c r="D31" s="211"/>
      <c r="E31" s="211"/>
      <c r="F31" s="211"/>
      <c r="G31" s="211"/>
      <c r="H31" s="21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11"/>
      <c r="C32" s="35">
        <v>0</v>
      </c>
      <c r="D32" s="211"/>
      <c r="E32" s="211"/>
      <c r="F32" s="211"/>
      <c r="G32" s="211"/>
      <c r="H32" s="21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11"/>
      <c r="C33" s="35">
        <v>0</v>
      </c>
      <c r="D33" s="211"/>
      <c r="E33" s="211"/>
      <c r="F33" s="211"/>
      <c r="G33" s="211"/>
      <c r="H33" s="21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05" t="s">
        <v>8</v>
      </c>
      <c r="B37" s="212" t="s">
        <v>78</v>
      </c>
      <c r="C37" s="213"/>
      <c r="D37" s="213"/>
      <c r="E37" s="213"/>
      <c r="F37" s="213"/>
      <c r="G37" s="213"/>
      <c r="H37" s="214"/>
      <c r="I37" s="207" t="s">
        <v>40</v>
      </c>
    </row>
    <row r="38" spans="1:20" ht="38.25" x14ac:dyDescent="0.25">
      <c r="A38" s="20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8"/>
    </row>
    <row r="39" spans="1:20" x14ac:dyDescent="0.25">
      <c r="A39" s="2">
        <v>2010</v>
      </c>
      <c r="B39" s="215" t="s">
        <v>75</v>
      </c>
      <c r="C39" s="215" t="s">
        <v>76</v>
      </c>
      <c r="D39" s="215" t="s">
        <v>75</v>
      </c>
      <c r="E39" s="215" t="s">
        <v>76</v>
      </c>
      <c r="F39" s="215" t="s">
        <v>76</v>
      </c>
      <c r="G39" s="215" t="s">
        <v>76</v>
      </c>
      <c r="H39" s="215" t="s">
        <v>76</v>
      </c>
      <c r="I39" s="14">
        <f>'timbulan sampah'!E5</f>
        <v>142.60729999999998</v>
      </c>
    </row>
    <row r="40" spans="1:20" x14ac:dyDescent="0.25">
      <c r="A40" s="2">
        <v>2011</v>
      </c>
      <c r="B40" s="216"/>
      <c r="C40" s="216"/>
      <c r="D40" s="216"/>
      <c r="E40" s="216"/>
      <c r="F40" s="216"/>
      <c r="G40" s="216"/>
      <c r="H40" s="216"/>
      <c r="I40" s="14">
        <f>'timbulan sampah'!E6</f>
        <v>146.40758</v>
      </c>
      <c r="K40" t="s">
        <v>20</v>
      </c>
      <c r="O40" s="8" t="s">
        <v>21</v>
      </c>
    </row>
    <row r="41" spans="1:20" x14ac:dyDescent="0.25">
      <c r="A41" s="2">
        <v>2012</v>
      </c>
      <c r="B41" s="216"/>
      <c r="C41" s="216"/>
      <c r="D41" s="216"/>
      <c r="E41" s="216"/>
      <c r="F41" s="216"/>
      <c r="G41" s="216"/>
      <c r="H41" s="216"/>
      <c r="I41" s="14">
        <f>'timbulan sampah'!E7</f>
        <v>150.28882000000002</v>
      </c>
      <c r="K41" t="s">
        <v>23</v>
      </c>
      <c r="O41" s="8" t="s">
        <v>24</v>
      </c>
    </row>
    <row r="42" spans="1:20" x14ac:dyDescent="0.25">
      <c r="A42" s="2">
        <v>2013</v>
      </c>
      <c r="B42" s="216"/>
      <c r="C42" s="216"/>
      <c r="D42" s="216"/>
      <c r="E42" s="216"/>
      <c r="F42" s="216"/>
      <c r="G42" s="216"/>
      <c r="H42" s="216"/>
      <c r="I42" s="14">
        <f>'timbulan sampah'!E8</f>
        <v>154.09657999999999</v>
      </c>
    </row>
    <row r="43" spans="1:20" x14ac:dyDescent="0.25">
      <c r="A43" s="2">
        <v>2014</v>
      </c>
      <c r="B43" s="216"/>
      <c r="C43" s="216"/>
      <c r="D43" s="216"/>
      <c r="E43" s="216"/>
      <c r="F43" s="216"/>
      <c r="G43" s="216"/>
      <c r="H43" s="216"/>
      <c r="I43" s="14">
        <f>'timbulan sampah'!E9</f>
        <v>157.91358</v>
      </c>
    </row>
    <row r="44" spans="1:20" x14ac:dyDescent="0.25">
      <c r="A44" s="2">
        <v>2015</v>
      </c>
      <c r="B44" s="216"/>
      <c r="C44" s="216"/>
      <c r="D44" s="216"/>
      <c r="E44" s="216"/>
      <c r="F44" s="216"/>
      <c r="G44" s="216"/>
      <c r="H44" s="216"/>
      <c r="I44" s="14">
        <f>'timbulan sampah'!E10</f>
        <v>161.70352</v>
      </c>
    </row>
    <row r="45" spans="1:20" x14ac:dyDescent="0.25">
      <c r="A45" s="2">
        <v>2016</v>
      </c>
      <c r="B45" s="216"/>
      <c r="C45" s="216"/>
      <c r="D45" s="216"/>
      <c r="E45" s="216"/>
      <c r="F45" s="216"/>
      <c r="G45" s="216"/>
      <c r="H45" s="216"/>
      <c r="I45" s="14">
        <f>'timbulan sampah'!E11</f>
        <v>165.74029999999999</v>
      </c>
    </row>
    <row r="46" spans="1:20" x14ac:dyDescent="0.25">
      <c r="A46" s="2">
        <v>2017</v>
      </c>
      <c r="B46" s="216"/>
      <c r="C46" s="216"/>
      <c r="D46" s="216"/>
      <c r="E46" s="216"/>
      <c r="F46" s="216"/>
      <c r="G46" s="216"/>
      <c r="H46" s="216"/>
      <c r="I46" s="14">
        <f>'timbulan sampah'!E12</f>
        <v>170.29738</v>
      </c>
    </row>
    <row r="47" spans="1:20" x14ac:dyDescent="0.25">
      <c r="A47" s="2">
        <v>2018</v>
      </c>
      <c r="B47" s="216"/>
      <c r="C47" s="216"/>
      <c r="D47" s="216"/>
      <c r="E47" s="216"/>
      <c r="F47" s="216"/>
      <c r="G47" s="216"/>
      <c r="H47" s="216"/>
      <c r="I47" s="14">
        <f>'timbulan sampah'!E13</f>
        <v>174.85445999999999</v>
      </c>
    </row>
    <row r="48" spans="1:20" x14ac:dyDescent="0.25">
      <c r="A48" s="2">
        <v>2019</v>
      </c>
      <c r="B48" s="216"/>
      <c r="C48" s="216"/>
      <c r="D48" s="216"/>
      <c r="E48" s="216"/>
      <c r="F48" s="216"/>
      <c r="G48" s="216"/>
      <c r="H48" s="216"/>
      <c r="I48" s="14">
        <f>'timbulan sampah'!E14</f>
        <v>179.41154</v>
      </c>
    </row>
    <row r="49" spans="1:21" x14ac:dyDescent="0.25">
      <c r="A49" s="2">
        <v>2020</v>
      </c>
      <c r="B49" s="217"/>
      <c r="C49" s="217"/>
      <c r="D49" s="217"/>
      <c r="E49" s="217"/>
      <c r="F49" s="217"/>
      <c r="G49" s="217"/>
      <c r="H49" s="217"/>
      <c r="I49" s="14">
        <f>'timbulan sampah'!E15</f>
        <v>183.96861999999999</v>
      </c>
    </row>
    <row r="52" spans="1:21" x14ac:dyDescent="0.25">
      <c r="A52" s="205" t="s">
        <v>8</v>
      </c>
      <c r="B52" s="206" t="s">
        <v>0</v>
      </c>
      <c r="C52" s="206"/>
      <c r="D52" s="206"/>
      <c r="E52" s="206"/>
      <c r="F52" s="206"/>
      <c r="G52" s="206"/>
      <c r="H52" s="206"/>
      <c r="I52" s="207" t="s">
        <v>10</v>
      </c>
    </row>
    <row r="53" spans="1:21" ht="42.75" customHeight="1" x14ac:dyDescent="0.25">
      <c r="A53" s="20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8"/>
    </row>
    <row r="54" spans="1:21" ht="17.25" customHeight="1" x14ac:dyDescent="0.25">
      <c r="A54" s="2">
        <v>2010</v>
      </c>
      <c r="B54" s="237" t="s">
        <v>77</v>
      </c>
      <c r="C54" s="237" t="s">
        <v>77</v>
      </c>
      <c r="D54" s="237" t="s">
        <v>77</v>
      </c>
      <c r="E54" s="237" t="s">
        <v>77</v>
      </c>
      <c r="F54" s="237" t="s">
        <v>77</v>
      </c>
      <c r="G54" s="237" t="s">
        <v>77</v>
      </c>
      <c r="H54" s="237" t="s">
        <v>77</v>
      </c>
      <c r="I54" s="3">
        <v>1</v>
      </c>
    </row>
    <row r="55" spans="1:21" x14ac:dyDescent="0.25">
      <c r="A55" s="2">
        <v>2011</v>
      </c>
      <c r="B55" s="238"/>
      <c r="C55" s="238"/>
      <c r="D55" s="238"/>
      <c r="E55" s="238"/>
      <c r="F55" s="238"/>
      <c r="G55" s="238"/>
      <c r="H55" s="238"/>
      <c r="I55" s="3">
        <v>1</v>
      </c>
    </row>
    <row r="56" spans="1:21" x14ac:dyDescent="0.25">
      <c r="A56" s="2">
        <v>2012</v>
      </c>
      <c r="B56" s="238"/>
      <c r="C56" s="238"/>
      <c r="D56" s="238"/>
      <c r="E56" s="238"/>
      <c r="F56" s="238"/>
      <c r="G56" s="238"/>
      <c r="H56" s="238"/>
      <c r="I56" s="3">
        <v>1</v>
      </c>
    </row>
    <row r="57" spans="1:21" x14ac:dyDescent="0.25">
      <c r="A57" s="2">
        <v>2013</v>
      </c>
      <c r="B57" s="238"/>
      <c r="C57" s="238"/>
      <c r="D57" s="238"/>
      <c r="E57" s="238"/>
      <c r="F57" s="238"/>
      <c r="G57" s="238"/>
      <c r="H57" s="238"/>
      <c r="I57" s="3">
        <v>1</v>
      </c>
    </row>
    <row r="58" spans="1:21" x14ac:dyDescent="0.25">
      <c r="A58" s="2">
        <v>2014</v>
      </c>
      <c r="B58" s="238"/>
      <c r="C58" s="238"/>
      <c r="D58" s="238"/>
      <c r="E58" s="238"/>
      <c r="F58" s="238"/>
      <c r="G58" s="238"/>
      <c r="H58" s="238"/>
      <c r="I58" s="3">
        <v>1</v>
      </c>
    </row>
    <row r="59" spans="1:21" x14ac:dyDescent="0.25">
      <c r="A59" s="2">
        <v>2015</v>
      </c>
      <c r="B59" s="238"/>
      <c r="C59" s="238"/>
      <c r="D59" s="238"/>
      <c r="E59" s="238"/>
      <c r="F59" s="238"/>
      <c r="G59" s="238"/>
      <c r="H59" s="238"/>
      <c r="I59" s="3">
        <v>1</v>
      </c>
    </row>
    <row r="60" spans="1:21" x14ac:dyDescent="0.25">
      <c r="A60" s="2">
        <v>2016</v>
      </c>
      <c r="B60" s="238"/>
      <c r="C60" s="238"/>
      <c r="D60" s="238"/>
      <c r="E60" s="238"/>
      <c r="F60" s="238"/>
      <c r="G60" s="238"/>
      <c r="H60" s="238"/>
      <c r="I60" s="3">
        <v>1</v>
      </c>
    </row>
    <row r="61" spans="1:21" x14ac:dyDescent="0.25">
      <c r="A61" s="2">
        <v>2017</v>
      </c>
      <c r="B61" s="238"/>
      <c r="C61" s="238"/>
      <c r="D61" s="238"/>
      <c r="E61" s="238"/>
      <c r="F61" s="238"/>
      <c r="G61" s="238"/>
      <c r="H61" s="238"/>
      <c r="I61" s="3">
        <v>1</v>
      </c>
    </row>
    <row r="62" spans="1:21" x14ac:dyDescent="0.25">
      <c r="A62" s="2">
        <v>2018</v>
      </c>
      <c r="B62" s="238"/>
      <c r="C62" s="238"/>
      <c r="D62" s="238"/>
      <c r="E62" s="238"/>
      <c r="F62" s="238"/>
      <c r="G62" s="238"/>
      <c r="H62" s="238"/>
      <c r="I62" s="3">
        <v>1</v>
      </c>
    </row>
    <row r="63" spans="1:21" x14ac:dyDescent="0.25">
      <c r="A63" s="2">
        <v>2019</v>
      </c>
      <c r="B63" s="238"/>
      <c r="C63" s="238"/>
      <c r="D63" s="238"/>
      <c r="E63" s="238"/>
      <c r="F63" s="238"/>
      <c r="G63" s="238"/>
      <c r="H63" s="238"/>
      <c r="I63" s="3">
        <v>1</v>
      </c>
      <c r="U63" s="4"/>
    </row>
    <row r="64" spans="1:21" x14ac:dyDescent="0.25">
      <c r="A64" s="2">
        <v>2020</v>
      </c>
      <c r="B64" s="239"/>
      <c r="C64" s="239"/>
      <c r="D64" s="239"/>
      <c r="E64" s="239"/>
      <c r="F64" s="239"/>
      <c r="G64" s="239"/>
      <c r="H64" s="23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40" t="s">
        <v>11</v>
      </c>
      <c r="B6" s="241" t="s">
        <v>110</v>
      </c>
      <c r="C6" s="241"/>
      <c r="D6" s="241"/>
      <c r="E6" s="71" t="s">
        <v>114</v>
      </c>
      <c r="F6" s="240" t="s">
        <v>11</v>
      </c>
      <c r="G6" s="241" t="s">
        <v>111</v>
      </c>
      <c r="H6" s="241"/>
      <c r="I6" s="241"/>
      <c r="J6" s="72" t="s">
        <v>115</v>
      </c>
      <c r="K6" s="240" t="s">
        <v>11</v>
      </c>
      <c r="L6" s="241" t="s">
        <v>112</v>
      </c>
      <c r="M6" s="241"/>
      <c r="N6" s="241"/>
      <c r="O6" s="72" t="s">
        <v>115</v>
      </c>
      <c r="P6" s="240" t="s">
        <v>11</v>
      </c>
      <c r="Q6" s="241" t="s">
        <v>113</v>
      </c>
      <c r="R6" s="241"/>
      <c r="S6" s="241"/>
    </row>
    <row r="7" spans="1:19" x14ac:dyDescent="0.25">
      <c r="A7" s="240"/>
      <c r="B7" s="240" t="s">
        <v>82</v>
      </c>
      <c r="C7" s="240"/>
      <c r="D7" s="241" t="s">
        <v>84</v>
      </c>
      <c r="E7" s="69"/>
      <c r="F7" s="240"/>
      <c r="G7" s="240" t="s">
        <v>82</v>
      </c>
      <c r="H7" s="240"/>
      <c r="I7" s="241" t="s">
        <v>84</v>
      </c>
      <c r="K7" s="240"/>
      <c r="L7" s="240" t="s">
        <v>82</v>
      </c>
      <c r="M7" s="240"/>
      <c r="N7" s="241" t="s">
        <v>84</v>
      </c>
      <c r="P7" s="240"/>
      <c r="Q7" s="240" t="s">
        <v>82</v>
      </c>
      <c r="R7" s="240"/>
      <c r="S7" s="241" t="s">
        <v>84</v>
      </c>
    </row>
    <row r="8" spans="1:19" x14ac:dyDescent="0.25">
      <c r="A8" s="240"/>
      <c r="B8" s="74" t="s">
        <v>85</v>
      </c>
      <c r="C8" s="74" t="s">
        <v>86</v>
      </c>
      <c r="D8" s="241"/>
      <c r="E8" s="6"/>
      <c r="F8" s="240"/>
      <c r="G8" s="74" t="s">
        <v>85</v>
      </c>
      <c r="H8" s="74" t="s">
        <v>86</v>
      </c>
      <c r="I8" s="241"/>
      <c r="K8" s="240"/>
      <c r="L8" s="74" t="s">
        <v>85</v>
      </c>
      <c r="M8" s="74" t="s">
        <v>86</v>
      </c>
      <c r="N8" s="241"/>
      <c r="P8" s="240"/>
      <c r="Q8" s="74" t="s">
        <v>85</v>
      </c>
      <c r="R8" s="74" t="s">
        <v>86</v>
      </c>
      <c r="S8" s="241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8" t="s">
        <v>11</v>
      </c>
      <c r="B23" s="250" t="s">
        <v>81</v>
      </c>
      <c r="C23" s="251"/>
      <c r="D23" s="251"/>
      <c r="E23" s="251"/>
      <c r="F23" s="252"/>
      <c r="K23" t="s">
        <v>121</v>
      </c>
      <c r="L23">
        <v>280</v>
      </c>
      <c r="M23" t="s">
        <v>123</v>
      </c>
    </row>
    <row r="24" spans="1:19" ht="15.75" thickBot="1" x14ac:dyDescent="0.3">
      <c r="A24" s="249"/>
      <c r="B24" s="250" t="s">
        <v>82</v>
      </c>
      <c r="C24" s="252"/>
      <c r="D24" s="250" t="s">
        <v>83</v>
      </c>
      <c r="E24" s="252"/>
      <c r="F24" s="253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9"/>
      <c r="B25" s="36" t="s">
        <v>85</v>
      </c>
      <c r="C25" s="36" t="s">
        <v>86</v>
      </c>
      <c r="D25" s="36" t="s">
        <v>87</v>
      </c>
      <c r="E25" s="36" t="s">
        <v>86</v>
      </c>
      <c r="F25" s="254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5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6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6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1.8071629677640639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1.855070550124243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1.9020711416382441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1.9491857858933801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1.9959664185494745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2.0457938887187832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2.10204361443065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2.1582933401425164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2.214543065854385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2.2707927915662522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2.3270425172781195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42" t="s">
        <v>11</v>
      </c>
      <c r="B58" s="244" t="s">
        <v>93</v>
      </c>
      <c r="C58" s="245"/>
      <c r="D58" s="53" t="s">
        <v>94</v>
      </c>
      <c r="E58" s="54"/>
      <c r="F58" s="55" t="s">
        <v>95</v>
      </c>
    </row>
    <row r="59" spans="1:6" ht="63.75" thickBot="1" x14ac:dyDescent="0.3">
      <c r="A59" s="243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43"/>
      <c r="B60" s="246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43"/>
      <c r="B61" s="247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2017-09-27T07:18:37Z</dcterms:modified>
</cp:coreProperties>
</file>