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GIZ_GELAMAI\8_RAD GRK Revisi\Perhitungan BAU Baseline dan Mitigasi_Hitung Ulang\Limbah\Hitungan Limbah_BAU_2010-2030_IW\PPU\"/>
    </mc:Choice>
  </mc:AlternateContent>
  <bookViews>
    <workbookView xWindow="360" yWindow="45" windowWidth="21015" windowHeight="9975" tabRatio="843" activeTab="3"/>
  </bookViews>
  <sheets>
    <sheet name="timbulan sampah" sheetId="4" r:id="rId1"/>
    <sheet name="Fraksi pengelolaan sampah BaU" sheetId="1" r:id="rId2"/>
    <sheet name="Rekapitulasi BaU Emisi GRK" sheetId="3" r:id="rId3"/>
    <sheet name="Rekap BAU Emisi Industri Sawitt" sheetId="6" r:id="rId4"/>
    <sheet name="Frksi pengelolaan smph Mitigasi" sheetId="2" state="hidden" r:id="rId5"/>
    <sheet name="Rekaptlasi Mitigasi Emisi GRK" sheetId="5" state="hidden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52511"/>
</workbook>
</file>

<file path=xl/calcChain.xml><?xml version="1.0" encoding="utf-8"?>
<calcChain xmlns="http://schemas.openxmlformats.org/spreadsheetml/2006/main">
  <c r="C25" i="1" l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16" i="6" l="1"/>
  <c r="C17" i="6"/>
  <c r="C18" i="6"/>
  <c r="C19" i="6"/>
  <c r="C20" i="6"/>
  <c r="C21" i="6"/>
  <c r="C22" i="6"/>
  <c r="C23" i="6"/>
  <c r="C24" i="6"/>
  <c r="C6" i="6" l="1"/>
  <c r="C7" i="6"/>
  <c r="C8" i="6"/>
  <c r="C9" i="6"/>
  <c r="C10" i="6"/>
  <c r="C11" i="6"/>
  <c r="C12" i="6"/>
  <c r="C13" i="6"/>
  <c r="C14" i="6"/>
  <c r="C15" i="6"/>
  <c r="C5" i="6"/>
  <c r="B6" i="4" l="1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5" i="4"/>
  <c r="F53" i="5"/>
  <c r="F52" i="5"/>
  <c r="F51" i="5"/>
  <c r="F50" i="5"/>
  <c r="F49" i="5"/>
  <c r="F48" i="5"/>
  <c r="F47" i="5"/>
  <c r="F46" i="5"/>
  <c r="F45" i="5"/>
  <c r="F44" i="5"/>
  <c r="F43" i="5"/>
  <c r="D109" i="3"/>
  <c r="B109" i="3"/>
  <c r="D108" i="3"/>
  <c r="B108" i="3"/>
  <c r="D107" i="3"/>
  <c r="B107" i="3"/>
  <c r="D106" i="3"/>
  <c r="B106" i="3"/>
  <c r="D105" i="3"/>
  <c r="B105" i="3"/>
  <c r="D104" i="3"/>
  <c r="B104" i="3"/>
  <c r="D103" i="3"/>
  <c r="B103" i="3"/>
  <c r="D102" i="3"/>
  <c r="B102" i="3"/>
  <c r="D101" i="3"/>
  <c r="B101" i="3"/>
  <c r="D100" i="3"/>
  <c r="B100" i="3"/>
  <c r="D99" i="3"/>
  <c r="B99" i="3"/>
  <c r="D98" i="3"/>
  <c r="B98" i="3"/>
  <c r="D97" i="3"/>
  <c r="B97" i="3"/>
  <c r="D96" i="3"/>
  <c r="B96" i="3"/>
  <c r="D95" i="3"/>
  <c r="B95" i="3"/>
  <c r="D94" i="3"/>
  <c r="B94" i="3"/>
  <c r="D93" i="3"/>
  <c r="B93" i="3"/>
  <c r="D92" i="3"/>
  <c r="B92" i="3"/>
  <c r="D91" i="3"/>
  <c r="B91" i="3"/>
  <c r="D90" i="3"/>
  <c r="B90" i="3"/>
  <c r="D80" i="3"/>
  <c r="B80" i="3"/>
  <c r="D79" i="3"/>
  <c r="B79" i="3"/>
  <c r="D78" i="3"/>
  <c r="B78" i="3"/>
  <c r="D77" i="3"/>
  <c r="B77" i="3"/>
  <c r="D76" i="3"/>
  <c r="B76" i="3"/>
  <c r="D75" i="3"/>
  <c r="B75" i="3"/>
  <c r="D74" i="3"/>
  <c r="B74" i="3"/>
  <c r="D73" i="3"/>
  <c r="B73" i="3"/>
  <c r="D72" i="3"/>
  <c r="B72" i="3"/>
  <c r="D71" i="3"/>
  <c r="B71" i="3"/>
  <c r="D70" i="3"/>
  <c r="B70" i="3"/>
  <c r="D69" i="3"/>
  <c r="B69" i="3"/>
  <c r="D68" i="3"/>
  <c r="B68" i="3"/>
  <c r="D67" i="3"/>
  <c r="B67" i="3"/>
  <c r="D66" i="3"/>
  <c r="B66" i="3"/>
  <c r="D65" i="3"/>
  <c r="B65" i="3"/>
  <c r="D64" i="3"/>
  <c r="B64" i="3"/>
  <c r="D63" i="3"/>
  <c r="B63" i="3"/>
  <c r="D62" i="3"/>
  <c r="B62" i="3"/>
  <c r="D61" i="3"/>
  <c r="B61" i="3"/>
  <c r="D54" i="3"/>
  <c r="B54" i="3"/>
  <c r="D53" i="3"/>
  <c r="B53" i="3"/>
  <c r="D52" i="3"/>
  <c r="B52" i="3"/>
  <c r="D51" i="3"/>
  <c r="B51" i="3"/>
  <c r="D50" i="3"/>
  <c r="B50" i="3"/>
  <c r="D49" i="3"/>
  <c r="B49" i="3"/>
  <c r="D48" i="3"/>
  <c r="B48" i="3"/>
  <c r="D47" i="3"/>
  <c r="B47" i="3"/>
  <c r="D46" i="3"/>
  <c r="B46" i="3"/>
  <c r="D45" i="3"/>
  <c r="B45" i="3"/>
  <c r="D44" i="3"/>
  <c r="B44" i="3"/>
  <c r="D43" i="3"/>
  <c r="B43" i="3"/>
  <c r="D42" i="3"/>
  <c r="B42" i="3"/>
  <c r="D41" i="3"/>
  <c r="B41" i="3"/>
  <c r="D40" i="3"/>
  <c r="B40" i="3"/>
  <c r="D39" i="3"/>
  <c r="B39" i="3"/>
  <c r="D38" i="3"/>
  <c r="B38" i="3"/>
  <c r="D37" i="3"/>
  <c r="B37" i="3"/>
  <c r="D36" i="3"/>
  <c r="B36" i="3"/>
  <c r="D35" i="3"/>
  <c r="B35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D16" i="6" l="1"/>
  <c r="D17" i="6"/>
  <c r="D18" i="6"/>
  <c r="D19" i="6"/>
  <c r="D20" i="6"/>
  <c r="D21" i="6"/>
  <c r="D22" i="6"/>
  <c r="D23" i="6"/>
  <c r="D24" i="6"/>
  <c r="D25" i="6"/>
  <c r="J81" i="3"/>
  <c r="I81" i="3"/>
  <c r="R15" i="3"/>
  <c r="S15" i="3" s="1"/>
  <c r="R16" i="3"/>
  <c r="S16" i="3" s="1"/>
  <c r="R17" i="3"/>
  <c r="S17" i="3" s="1"/>
  <c r="R18" i="3"/>
  <c r="S18" i="3" s="1"/>
  <c r="R19" i="3"/>
  <c r="S19" i="3" s="1"/>
  <c r="R20" i="3"/>
  <c r="S20" i="3" s="1"/>
  <c r="R21" i="3"/>
  <c r="S21" i="3" s="1"/>
  <c r="R22" i="3"/>
  <c r="S22" i="3" s="1"/>
  <c r="R23" i="3"/>
  <c r="S23" i="3" s="1"/>
  <c r="R24" i="3"/>
  <c r="S24" i="3" s="1"/>
  <c r="R25" i="3"/>
  <c r="S25" i="3" s="1"/>
  <c r="R26" i="3"/>
  <c r="S26" i="3" s="1"/>
  <c r="R27" i="3"/>
  <c r="S27" i="3" s="1"/>
  <c r="R28" i="3"/>
  <c r="S28" i="3" s="1"/>
  <c r="R29" i="3"/>
  <c r="S29" i="3"/>
  <c r="M29" i="3"/>
  <c r="N29" i="3"/>
  <c r="H29" i="3"/>
  <c r="I29" i="3"/>
  <c r="C29" i="3"/>
  <c r="D29" i="3"/>
  <c r="D6" i="6" l="1"/>
  <c r="D7" i="6"/>
  <c r="D8" i="6"/>
  <c r="D9" i="6"/>
  <c r="D10" i="6"/>
  <c r="D11" i="6"/>
  <c r="D12" i="6"/>
  <c r="D13" i="6"/>
  <c r="D14" i="6"/>
  <c r="D15" i="6"/>
  <c r="D5" i="6"/>
  <c r="I6" i="1" l="1"/>
  <c r="E91" i="3" l="1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90" i="3"/>
  <c r="F106" i="3" l="1"/>
  <c r="G106" i="3" s="1"/>
  <c r="F98" i="3"/>
  <c r="G98" i="3" s="1"/>
  <c r="F109" i="3"/>
  <c r="G109" i="3" s="1"/>
  <c r="F101" i="3"/>
  <c r="G101" i="3" s="1"/>
  <c r="F93" i="3"/>
  <c r="G93" i="3" s="1"/>
  <c r="F108" i="3"/>
  <c r="G108" i="3" s="1"/>
  <c r="F100" i="3"/>
  <c r="G100" i="3" s="1"/>
  <c r="F92" i="3"/>
  <c r="G92" i="3" s="1"/>
  <c r="F105" i="3"/>
  <c r="G105" i="3" s="1"/>
  <c r="F97" i="3"/>
  <c r="G97" i="3" s="1"/>
  <c r="F104" i="3"/>
  <c r="G104" i="3" s="1"/>
  <c r="F96" i="3"/>
  <c r="G96" i="3" s="1"/>
  <c r="F110" i="3"/>
  <c r="F102" i="3"/>
  <c r="G102" i="3" s="1"/>
  <c r="F94" i="3"/>
  <c r="G94" i="3" s="1"/>
  <c r="F107" i="3"/>
  <c r="G107" i="3" s="1"/>
  <c r="F99" i="3"/>
  <c r="G99" i="3" s="1"/>
  <c r="F91" i="3"/>
  <c r="G91" i="3" s="1"/>
  <c r="F90" i="3"/>
  <c r="G90" i="3" s="1"/>
  <c r="F103" i="3"/>
  <c r="G103" i="3" s="1"/>
  <c r="F95" i="3"/>
  <c r="G95" i="3" s="1"/>
  <c r="E62" i="3" l="1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F81" i="3" s="1"/>
  <c r="C46" i="3"/>
  <c r="E46" i="3"/>
  <c r="C47" i="3"/>
  <c r="E47" i="3"/>
  <c r="C48" i="3"/>
  <c r="E48" i="3"/>
  <c r="C49" i="3"/>
  <c r="E49" i="3"/>
  <c r="C50" i="3"/>
  <c r="E50" i="3"/>
  <c r="C51" i="3"/>
  <c r="E51" i="3"/>
  <c r="C52" i="3"/>
  <c r="E52" i="3"/>
  <c r="C53" i="3"/>
  <c r="E53" i="3"/>
  <c r="C54" i="3"/>
  <c r="E54" i="3"/>
  <c r="C55" i="3"/>
  <c r="E55" i="3"/>
  <c r="F53" i="3" l="1"/>
  <c r="F49" i="3"/>
  <c r="F52" i="3"/>
  <c r="F48" i="3"/>
  <c r="F73" i="3"/>
  <c r="F54" i="3"/>
  <c r="F77" i="3"/>
  <c r="F80" i="3"/>
  <c r="F72" i="3"/>
  <c r="F79" i="3"/>
  <c r="F78" i="3"/>
  <c r="F71" i="3"/>
  <c r="F63" i="3"/>
  <c r="F70" i="3"/>
  <c r="F66" i="3"/>
  <c r="F65" i="3"/>
  <c r="F64" i="3"/>
  <c r="F69" i="3"/>
  <c r="F68" i="3"/>
  <c r="F67" i="3"/>
  <c r="F76" i="3"/>
  <c r="F75" i="3"/>
  <c r="F74" i="3"/>
  <c r="F51" i="3"/>
  <c r="F50" i="3"/>
  <c r="F46" i="3"/>
  <c r="F47" i="3"/>
  <c r="F55" i="3"/>
  <c r="I17" i="1" l="1"/>
  <c r="I18" i="1"/>
  <c r="I19" i="1"/>
  <c r="I20" i="1"/>
  <c r="I21" i="1"/>
  <c r="I22" i="1"/>
  <c r="I23" i="1"/>
  <c r="I24" i="1"/>
  <c r="I25" i="1"/>
  <c r="D16" i="4" l="1"/>
  <c r="E16" i="4" s="1"/>
  <c r="I40" i="1" s="1"/>
  <c r="D17" i="4"/>
  <c r="E17" i="4" s="1"/>
  <c r="I41" i="1" s="1"/>
  <c r="D18" i="4"/>
  <c r="E18" i="4" s="1"/>
  <c r="I42" i="1" s="1"/>
  <c r="D19" i="4"/>
  <c r="E19" i="4" s="1"/>
  <c r="I43" i="1" s="1"/>
  <c r="D20" i="4"/>
  <c r="E20" i="4" s="1"/>
  <c r="I44" i="1" s="1"/>
  <c r="D21" i="4"/>
  <c r="E21" i="4" s="1"/>
  <c r="I45" i="1" s="1"/>
  <c r="D22" i="4"/>
  <c r="E22" i="4" s="1"/>
  <c r="I46" i="1" s="1"/>
  <c r="D23" i="4"/>
  <c r="E23" i="4" s="1"/>
  <c r="I47" i="1" s="1"/>
  <c r="D24" i="4"/>
  <c r="E24" i="4" s="1"/>
  <c r="I48" i="1" s="1"/>
  <c r="H41" i="1" l="1"/>
  <c r="F41" i="1"/>
  <c r="E41" i="1"/>
  <c r="B41" i="1"/>
  <c r="G41" i="1"/>
  <c r="C41" i="1"/>
  <c r="D41" i="1"/>
  <c r="D40" i="1"/>
  <c r="H40" i="1"/>
  <c r="F40" i="1"/>
  <c r="G40" i="1"/>
  <c r="E40" i="1"/>
  <c r="B40" i="1"/>
  <c r="C40" i="1"/>
  <c r="G47" i="1"/>
  <c r="E47" i="1"/>
  <c r="C47" i="1"/>
  <c r="D47" i="1"/>
  <c r="B47" i="1"/>
  <c r="H47" i="1"/>
  <c r="F47" i="1"/>
  <c r="G43" i="1"/>
  <c r="E43" i="1"/>
  <c r="C43" i="1"/>
  <c r="D43" i="1"/>
  <c r="H43" i="1"/>
  <c r="F43" i="1"/>
  <c r="B43" i="1"/>
  <c r="H45" i="1"/>
  <c r="F45" i="1"/>
  <c r="B45" i="1"/>
  <c r="D45" i="1"/>
  <c r="G45" i="1"/>
  <c r="E45" i="1"/>
  <c r="C45" i="1"/>
  <c r="D48" i="1"/>
  <c r="G48" i="1"/>
  <c r="H48" i="1"/>
  <c r="F48" i="1"/>
  <c r="B48" i="1"/>
  <c r="E48" i="1"/>
  <c r="C48" i="1"/>
  <c r="D44" i="1"/>
  <c r="H44" i="1"/>
  <c r="F44" i="1"/>
  <c r="E44" i="1"/>
  <c r="C44" i="1"/>
  <c r="B44" i="1"/>
  <c r="G44" i="1"/>
  <c r="B46" i="1"/>
  <c r="G46" i="1"/>
  <c r="E46" i="1"/>
  <c r="C46" i="1"/>
  <c r="H46" i="1"/>
  <c r="F46" i="1"/>
  <c r="D46" i="1"/>
  <c r="B42" i="1"/>
  <c r="G42" i="1"/>
  <c r="E42" i="1"/>
  <c r="C42" i="1"/>
  <c r="F42" i="1"/>
  <c r="D42" i="1"/>
  <c r="H42" i="1"/>
  <c r="J44" i="1" l="1"/>
  <c r="J48" i="1"/>
  <c r="J45" i="1"/>
  <c r="J40" i="1"/>
  <c r="J43" i="1"/>
  <c r="J41" i="1"/>
  <c r="J47" i="1"/>
  <c r="J46" i="1"/>
  <c r="J42" i="1"/>
  <c r="M15" i="1"/>
  <c r="M14" i="1" s="1"/>
  <c r="M13" i="1" s="1"/>
  <c r="M12" i="1" s="1"/>
  <c r="M11" i="1" s="1"/>
  <c r="M10" i="1" s="1"/>
  <c r="M9" i="1" s="1"/>
  <c r="M8" i="1" s="1"/>
  <c r="M7" i="1" s="1"/>
  <c r="C62" i="3" l="1"/>
  <c r="F62" i="3" s="1"/>
  <c r="E61" i="3"/>
  <c r="C61" i="3"/>
  <c r="E45" i="3"/>
  <c r="C45" i="3"/>
  <c r="E44" i="3"/>
  <c r="C44" i="3"/>
  <c r="E43" i="3"/>
  <c r="C43" i="3"/>
  <c r="E42" i="3"/>
  <c r="C42" i="3"/>
  <c r="E41" i="3"/>
  <c r="C41" i="3"/>
  <c r="E40" i="3"/>
  <c r="C40" i="3"/>
  <c r="E39" i="3"/>
  <c r="C39" i="3"/>
  <c r="E38" i="3"/>
  <c r="C38" i="3"/>
  <c r="E37" i="3"/>
  <c r="C37" i="3"/>
  <c r="E36" i="3"/>
  <c r="C36" i="3"/>
  <c r="E35" i="3"/>
  <c r="C35" i="3"/>
  <c r="R14" i="3"/>
  <c r="S14" i="3" s="1"/>
  <c r="R13" i="3"/>
  <c r="S13" i="3" s="1"/>
  <c r="R12" i="3"/>
  <c r="S12" i="3" s="1"/>
  <c r="R11" i="3"/>
  <c r="S11" i="3" s="1"/>
  <c r="R10" i="3"/>
  <c r="S10" i="3" s="1"/>
  <c r="R9" i="3"/>
  <c r="S9" i="3" s="1"/>
  <c r="E72" i="5"/>
  <c r="C72" i="5"/>
  <c r="E71" i="5"/>
  <c r="C71" i="5"/>
  <c r="E70" i="5"/>
  <c r="C70" i="5"/>
  <c r="E69" i="5"/>
  <c r="C69" i="5"/>
  <c r="E68" i="5"/>
  <c r="F68" i="5" s="1"/>
  <c r="C68" i="5"/>
  <c r="E67" i="5"/>
  <c r="C67" i="5"/>
  <c r="E66" i="5"/>
  <c r="C66" i="5"/>
  <c r="E65" i="5"/>
  <c r="C65" i="5"/>
  <c r="F64" i="5"/>
  <c r="E64" i="5"/>
  <c r="C64" i="5"/>
  <c r="E63" i="5"/>
  <c r="C63" i="5"/>
  <c r="E62" i="5"/>
  <c r="C62" i="5"/>
  <c r="F62" i="5" s="1"/>
  <c r="E53" i="5"/>
  <c r="C53" i="5"/>
  <c r="E52" i="5"/>
  <c r="C52" i="5"/>
  <c r="E51" i="5"/>
  <c r="C51" i="5"/>
  <c r="E50" i="5"/>
  <c r="C50" i="5"/>
  <c r="E49" i="5"/>
  <c r="C49" i="5"/>
  <c r="E48" i="5"/>
  <c r="C48" i="5"/>
  <c r="E47" i="5"/>
  <c r="C47" i="5"/>
  <c r="E46" i="5"/>
  <c r="C46" i="5"/>
  <c r="E45" i="5"/>
  <c r="C45" i="5"/>
  <c r="E44" i="5"/>
  <c r="C44" i="5"/>
  <c r="E43" i="5"/>
  <c r="C43" i="5"/>
  <c r="E36" i="5"/>
  <c r="C36" i="5"/>
  <c r="E35" i="5"/>
  <c r="C35" i="5"/>
  <c r="F34" i="5"/>
  <c r="E34" i="5"/>
  <c r="C34" i="5"/>
  <c r="E33" i="5"/>
  <c r="C33" i="5"/>
  <c r="E32" i="5"/>
  <c r="C32" i="5"/>
  <c r="F32" i="5" s="1"/>
  <c r="E31" i="5"/>
  <c r="C31" i="5"/>
  <c r="E30" i="5"/>
  <c r="C30" i="5"/>
  <c r="E29" i="5"/>
  <c r="C29" i="5"/>
  <c r="E28" i="5"/>
  <c r="C28" i="5"/>
  <c r="F28" i="5" s="1"/>
  <c r="E27" i="5"/>
  <c r="C27" i="5"/>
  <c r="E26" i="5"/>
  <c r="C26" i="5"/>
  <c r="R19" i="5"/>
  <c r="S19" i="5" s="1"/>
  <c r="M19" i="5"/>
  <c r="N19" i="5" s="1"/>
  <c r="H19" i="5"/>
  <c r="I19" i="5" s="1"/>
  <c r="C19" i="5"/>
  <c r="D19" i="5" s="1"/>
  <c r="R18" i="5"/>
  <c r="S18" i="5" s="1"/>
  <c r="M18" i="5"/>
  <c r="N18" i="5" s="1"/>
  <c r="H18" i="5"/>
  <c r="I18" i="5" s="1"/>
  <c r="C18" i="5"/>
  <c r="D18" i="5" s="1"/>
  <c r="R17" i="5"/>
  <c r="S17" i="5" s="1"/>
  <c r="M17" i="5"/>
  <c r="N17" i="5" s="1"/>
  <c r="H17" i="5"/>
  <c r="I17" i="5" s="1"/>
  <c r="C17" i="5"/>
  <c r="D17" i="5" s="1"/>
  <c r="R16" i="5"/>
  <c r="S16" i="5" s="1"/>
  <c r="M16" i="5"/>
  <c r="N16" i="5" s="1"/>
  <c r="H16" i="5"/>
  <c r="I16" i="5" s="1"/>
  <c r="C16" i="5"/>
  <c r="D16" i="5" s="1"/>
  <c r="R15" i="5"/>
  <c r="S15" i="5" s="1"/>
  <c r="M15" i="5"/>
  <c r="N15" i="5" s="1"/>
  <c r="H15" i="5"/>
  <c r="I15" i="5" s="1"/>
  <c r="C15" i="5"/>
  <c r="D15" i="5" s="1"/>
  <c r="R14" i="5"/>
  <c r="S14" i="5" s="1"/>
  <c r="M14" i="5"/>
  <c r="N14" i="5" s="1"/>
  <c r="H14" i="5"/>
  <c r="I14" i="5" s="1"/>
  <c r="C14" i="5"/>
  <c r="D14" i="5" s="1"/>
  <c r="R13" i="5"/>
  <c r="S13" i="5" s="1"/>
  <c r="M13" i="5"/>
  <c r="N13" i="5" s="1"/>
  <c r="H13" i="5"/>
  <c r="I13" i="5" s="1"/>
  <c r="C13" i="5"/>
  <c r="D13" i="5" s="1"/>
  <c r="R12" i="5"/>
  <c r="S12" i="5" s="1"/>
  <c r="M12" i="5"/>
  <c r="N12" i="5" s="1"/>
  <c r="H12" i="5"/>
  <c r="I12" i="5" s="1"/>
  <c r="C12" i="5"/>
  <c r="D12" i="5" s="1"/>
  <c r="R11" i="5"/>
  <c r="S11" i="5" s="1"/>
  <c r="M11" i="5"/>
  <c r="N11" i="5" s="1"/>
  <c r="H11" i="5"/>
  <c r="I11" i="5" s="1"/>
  <c r="C11" i="5"/>
  <c r="D11" i="5" s="1"/>
  <c r="R10" i="5"/>
  <c r="S10" i="5" s="1"/>
  <c r="M10" i="5"/>
  <c r="N10" i="5" s="1"/>
  <c r="H10" i="5"/>
  <c r="I10" i="5" s="1"/>
  <c r="C10" i="5"/>
  <c r="D10" i="5" s="1"/>
  <c r="R9" i="5"/>
  <c r="S9" i="5" s="1"/>
  <c r="M9" i="5"/>
  <c r="N9" i="5" s="1"/>
  <c r="H9" i="5"/>
  <c r="I9" i="5" s="1"/>
  <c r="C9" i="5"/>
  <c r="D9" i="5" s="1"/>
  <c r="L34" i="2"/>
  <c r="L33" i="2"/>
  <c r="R33" i="2" s="1"/>
  <c r="L32" i="2"/>
  <c r="R32" i="2" s="1"/>
  <c r="R25" i="2"/>
  <c r="T24" i="2"/>
  <c r="R24" i="2"/>
  <c r="D6" i="4"/>
  <c r="E6" i="4" s="1"/>
  <c r="I30" i="1" s="1"/>
  <c r="D7" i="4"/>
  <c r="E7" i="4" s="1"/>
  <c r="I41" i="2" s="1"/>
  <c r="D8" i="4"/>
  <c r="E8" i="4" s="1"/>
  <c r="I32" i="1" s="1"/>
  <c r="C32" i="1" s="1"/>
  <c r="D9" i="4"/>
  <c r="E9" i="4" s="1"/>
  <c r="I33" i="1" s="1"/>
  <c r="C33" i="1" s="1"/>
  <c r="D10" i="4"/>
  <c r="E10" i="4" s="1"/>
  <c r="I44" i="2" s="1"/>
  <c r="D11" i="4"/>
  <c r="E11" i="4" s="1"/>
  <c r="I45" i="2" s="1"/>
  <c r="D12" i="4"/>
  <c r="E12" i="4" s="1"/>
  <c r="I46" i="2" s="1"/>
  <c r="D13" i="4"/>
  <c r="E13" i="4" s="1"/>
  <c r="D14" i="4"/>
  <c r="E14" i="4" s="1"/>
  <c r="I48" i="2" s="1"/>
  <c r="D15" i="4"/>
  <c r="E15" i="4" s="1"/>
  <c r="D5" i="4"/>
  <c r="E5" i="4" s="1"/>
  <c r="I29" i="1" s="1"/>
  <c r="B29" i="1" s="1"/>
  <c r="L7" i="4"/>
  <c r="L8" i="4" s="1"/>
  <c r="J7" i="4"/>
  <c r="J8" i="4" s="1"/>
  <c r="I39" i="2" l="1"/>
  <c r="F61" i="3"/>
  <c r="F40" i="3"/>
  <c r="F27" i="5"/>
  <c r="F29" i="5"/>
  <c r="F65" i="5"/>
  <c r="F69" i="5"/>
  <c r="I49" i="2"/>
  <c r="I39" i="1"/>
  <c r="C39" i="1" s="1"/>
  <c r="F26" i="5"/>
  <c r="F30" i="5"/>
  <c r="F70" i="5"/>
  <c r="F72" i="5"/>
  <c r="F35" i="3"/>
  <c r="F37" i="3"/>
  <c r="F39" i="3"/>
  <c r="F43" i="3"/>
  <c r="F45" i="3"/>
  <c r="F42" i="3"/>
  <c r="F44" i="3"/>
  <c r="F36" i="3"/>
  <c r="D30" i="1"/>
  <c r="C30" i="1"/>
  <c r="I31" i="1"/>
  <c r="I40" i="2"/>
  <c r="I36" i="1"/>
  <c r="I35" i="1"/>
  <c r="F32" i="1"/>
  <c r="E32" i="1"/>
  <c r="I42" i="2"/>
  <c r="B30" i="1"/>
  <c r="F30" i="1"/>
  <c r="E30" i="1"/>
  <c r="I34" i="1"/>
  <c r="I37" i="1"/>
  <c r="C37" i="1" s="1"/>
  <c r="I47" i="2"/>
  <c r="F33" i="1"/>
  <c r="B33" i="1"/>
  <c r="D33" i="1"/>
  <c r="G33" i="1"/>
  <c r="H33" i="1"/>
  <c r="I43" i="2"/>
  <c r="F31" i="5"/>
  <c r="F33" i="5"/>
  <c r="F63" i="5"/>
  <c r="I38" i="1"/>
  <c r="C38" i="1" s="1"/>
  <c r="F35" i="5"/>
  <c r="F67" i="5"/>
  <c r="F38" i="3"/>
  <c r="F41" i="3"/>
  <c r="G30" i="1"/>
  <c r="F36" i="5"/>
  <c r="F66" i="5"/>
  <c r="F71" i="5"/>
  <c r="B32" i="1"/>
  <c r="E33" i="1"/>
  <c r="G32" i="1"/>
  <c r="H32" i="1"/>
  <c r="D32" i="1"/>
  <c r="H30" i="1"/>
  <c r="J32" i="1" l="1"/>
  <c r="J30" i="1"/>
  <c r="J33" i="1"/>
  <c r="E29" i="1"/>
  <c r="F34" i="1"/>
  <c r="C34" i="1"/>
  <c r="F36" i="1"/>
  <c r="C36" i="1"/>
  <c r="E31" i="1"/>
  <c r="C31" i="1"/>
  <c r="E35" i="1"/>
  <c r="C35" i="1"/>
  <c r="G35" i="1"/>
  <c r="H36" i="1"/>
  <c r="G36" i="1"/>
  <c r="E36" i="1"/>
  <c r="D35" i="1"/>
  <c r="D31" i="1"/>
  <c r="H35" i="1"/>
  <c r="D29" i="1"/>
  <c r="G31" i="1"/>
  <c r="H34" i="1"/>
  <c r="G34" i="1"/>
  <c r="B36" i="1"/>
  <c r="F31" i="1"/>
  <c r="H31" i="1"/>
  <c r="D36" i="1"/>
  <c r="B31" i="1"/>
  <c r="E34" i="1"/>
  <c r="F35" i="1"/>
  <c r="B35" i="1"/>
  <c r="D34" i="1"/>
  <c r="B34" i="1"/>
  <c r="D38" i="1"/>
  <c r="B38" i="1"/>
  <c r="E38" i="1"/>
  <c r="F38" i="1"/>
  <c r="G38" i="1"/>
  <c r="F37" i="1"/>
  <c r="D37" i="1"/>
  <c r="E37" i="1"/>
  <c r="B37" i="1"/>
  <c r="G37" i="1"/>
  <c r="H37" i="1"/>
  <c r="H29" i="1"/>
  <c r="C29" i="1"/>
  <c r="G29" i="1"/>
  <c r="H38" i="1"/>
  <c r="E39" i="1"/>
  <c r="G39" i="1"/>
  <c r="F39" i="1"/>
  <c r="H39" i="1"/>
  <c r="D39" i="1"/>
  <c r="B39" i="1"/>
  <c r="F29" i="1"/>
  <c r="I7" i="1"/>
  <c r="I8" i="1"/>
  <c r="I9" i="1"/>
  <c r="I10" i="1"/>
  <c r="I11" i="1"/>
  <c r="I12" i="1"/>
  <c r="I13" i="1"/>
  <c r="I14" i="1"/>
  <c r="I15" i="1"/>
  <c r="I16" i="1"/>
  <c r="J39" i="1" l="1"/>
  <c r="J31" i="1"/>
  <c r="J29" i="1"/>
  <c r="J38" i="1"/>
  <c r="J37" i="1"/>
  <c r="J34" i="1"/>
  <c r="J36" i="1"/>
  <c r="J35" i="1"/>
  <c r="C9" i="3" l="1"/>
  <c r="D9" i="3" s="1"/>
  <c r="C11" i="3" l="1"/>
  <c r="D11" i="3" s="1"/>
  <c r="C10" i="3"/>
  <c r="D10" i="3" s="1"/>
  <c r="C12" i="3" l="1"/>
  <c r="D12" i="3" s="1"/>
  <c r="C13" i="3" l="1"/>
  <c r="D13" i="3" s="1"/>
  <c r="C14" i="3" l="1"/>
  <c r="D14" i="3" s="1"/>
  <c r="C15" i="3" l="1"/>
  <c r="D15" i="3" s="1"/>
  <c r="C16" i="3" l="1"/>
  <c r="D16" i="3" s="1"/>
  <c r="C18" i="3" l="1"/>
  <c r="D18" i="3" s="1"/>
  <c r="C17" i="3"/>
  <c r="D17" i="3" s="1"/>
  <c r="C19" i="3" l="1"/>
  <c r="D19" i="3" s="1"/>
  <c r="C20" i="3" l="1"/>
  <c r="D20" i="3" s="1"/>
  <c r="C21" i="3" l="1"/>
  <c r="D21" i="3" s="1"/>
  <c r="C22" i="3" l="1"/>
  <c r="D22" i="3" s="1"/>
  <c r="C23" i="3" l="1"/>
  <c r="D23" i="3" s="1"/>
  <c r="C24" i="3" l="1"/>
  <c r="D24" i="3" s="1"/>
  <c r="C25" i="3" l="1"/>
  <c r="D25" i="3" s="1"/>
  <c r="C27" i="3" l="1"/>
  <c r="D27" i="3" s="1"/>
  <c r="C26" i="3"/>
  <c r="D26" i="3" s="1"/>
  <c r="C28" i="3" l="1"/>
  <c r="D28" i="3" s="1"/>
  <c r="M9" i="3" l="1"/>
  <c r="N9" i="3" s="1"/>
  <c r="M10" i="3" l="1"/>
  <c r="N10" i="3" s="1"/>
  <c r="M11" i="3" l="1"/>
  <c r="N11" i="3" s="1"/>
  <c r="M12" i="3" l="1"/>
  <c r="N12" i="3" s="1"/>
  <c r="M13" i="3" l="1"/>
  <c r="N13" i="3" s="1"/>
  <c r="M14" i="3" l="1"/>
  <c r="N14" i="3" s="1"/>
  <c r="M15" i="3" l="1"/>
  <c r="N15" i="3" s="1"/>
  <c r="M16" i="3" l="1"/>
  <c r="N16" i="3" s="1"/>
  <c r="M17" i="3" l="1"/>
  <c r="N17" i="3" s="1"/>
  <c r="M18" i="3" l="1"/>
  <c r="N18" i="3" s="1"/>
  <c r="M19" i="3" l="1"/>
  <c r="N19" i="3" s="1"/>
  <c r="M20" i="3" l="1"/>
  <c r="N20" i="3" s="1"/>
  <c r="M21" i="3" l="1"/>
  <c r="N21" i="3" s="1"/>
  <c r="M22" i="3" l="1"/>
  <c r="N22" i="3" s="1"/>
  <c r="M23" i="3" l="1"/>
  <c r="N23" i="3" s="1"/>
  <c r="M24" i="3" l="1"/>
  <c r="N24" i="3" s="1"/>
  <c r="M25" i="3" l="1"/>
  <c r="N25" i="3" s="1"/>
  <c r="M26" i="3" l="1"/>
  <c r="N26" i="3" s="1"/>
  <c r="M27" i="3" l="1"/>
  <c r="N27" i="3" s="1"/>
  <c r="M28" i="3" l="1"/>
  <c r="N28" i="3" s="1"/>
  <c r="H9" i="3" l="1"/>
  <c r="I9" i="3" s="1"/>
  <c r="I61" i="3" s="1"/>
  <c r="J61" i="3" s="1"/>
  <c r="H10" i="3" l="1"/>
  <c r="I10" i="3" s="1"/>
  <c r="I62" i="3" s="1"/>
  <c r="J62" i="3" s="1"/>
  <c r="H11" i="3" l="1"/>
  <c r="I11" i="3" s="1"/>
  <c r="I63" i="3" s="1"/>
  <c r="J63" i="3" s="1"/>
  <c r="H12" i="3" l="1"/>
  <c r="I12" i="3" s="1"/>
  <c r="I64" i="3" s="1"/>
  <c r="J64" i="3" s="1"/>
  <c r="H13" i="3" l="1"/>
  <c r="I13" i="3" s="1"/>
  <c r="I65" i="3" s="1"/>
  <c r="J65" i="3" s="1"/>
  <c r="H14" i="3" l="1"/>
  <c r="I14" i="3" s="1"/>
  <c r="I66" i="3" s="1"/>
  <c r="J66" i="3" s="1"/>
  <c r="H15" i="3" l="1"/>
  <c r="I15" i="3" s="1"/>
  <c r="I67" i="3" s="1"/>
  <c r="J67" i="3" s="1"/>
  <c r="H16" i="3" l="1"/>
  <c r="I16" i="3" s="1"/>
  <c r="I68" i="3" s="1"/>
  <c r="J68" i="3" s="1"/>
  <c r="H17" i="3" l="1"/>
  <c r="I17" i="3" s="1"/>
  <c r="I69" i="3" s="1"/>
  <c r="J69" i="3" s="1"/>
  <c r="H18" i="3" l="1"/>
  <c r="I18" i="3" s="1"/>
  <c r="I70" i="3" s="1"/>
  <c r="J70" i="3" s="1"/>
  <c r="H19" i="3" l="1"/>
  <c r="I19" i="3" s="1"/>
  <c r="I71" i="3" s="1"/>
  <c r="J71" i="3" s="1"/>
  <c r="H20" i="3" l="1"/>
  <c r="I20" i="3" s="1"/>
  <c r="I72" i="3" s="1"/>
  <c r="J72" i="3" s="1"/>
  <c r="H21" i="3" l="1"/>
  <c r="I21" i="3" s="1"/>
  <c r="I73" i="3" s="1"/>
  <c r="J73" i="3" s="1"/>
  <c r="H22" i="3" l="1"/>
  <c r="I22" i="3" s="1"/>
  <c r="I74" i="3" s="1"/>
  <c r="J74" i="3" s="1"/>
  <c r="H23" i="3" l="1"/>
  <c r="I23" i="3" s="1"/>
  <c r="I75" i="3" s="1"/>
  <c r="J75" i="3" s="1"/>
  <c r="H24" i="3" l="1"/>
  <c r="I24" i="3" s="1"/>
  <c r="I76" i="3" s="1"/>
  <c r="J76" i="3" s="1"/>
  <c r="H25" i="3" l="1"/>
  <c r="I25" i="3" s="1"/>
  <c r="I77" i="3" s="1"/>
  <c r="J77" i="3" s="1"/>
  <c r="H26" i="3" l="1"/>
  <c r="I26" i="3" s="1"/>
  <c r="I78" i="3" s="1"/>
  <c r="J78" i="3" s="1"/>
  <c r="H27" i="3" l="1"/>
  <c r="I27" i="3" s="1"/>
  <c r="I79" i="3" s="1"/>
  <c r="J79" i="3" s="1"/>
  <c r="H28" i="3" l="1"/>
  <c r="I28" i="3" s="1"/>
  <c r="I80" i="3" s="1"/>
  <c r="J80" i="3" s="1"/>
</calcChain>
</file>

<file path=xl/comments1.xml><?xml version="1.0" encoding="utf-8"?>
<comments xmlns="http://schemas.openxmlformats.org/spreadsheetml/2006/main">
  <authors>
    <author>Iwied</author>
  </authors>
  <commentList>
    <comment ref="E28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Belum masuk dalam perhitungan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Belum masuk dalam perhitungan</t>
        </r>
      </text>
    </comment>
  </commentList>
</comments>
</file>

<file path=xl/sharedStrings.xml><?xml version="1.0" encoding="utf-8"?>
<sst xmlns="http://schemas.openxmlformats.org/spreadsheetml/2006/main" count="302" uniqueCount="154">
  <si>
    <t>Fraksi Pengelolaan Sampah (%)</t>
  </si>
  <si>
    <t>Diangkut ke TPA</t>
  </si>
  <si>
    <t>Open dumping</t>
  </si>
  <si>
    <t>kompos</t>
  </si>
  <si>
    <t>Dibakar</t>
  </si>
  <si>
    <t>Dibuang ke sungai</t>
  </si>
  <si>
    <t>Dibuang semba- rangan</t>
  </si>
  <si>
    <t>Lainnya</t>
  </si>
  <si>
    <t>tahun</t>
  </si>
  <si>
    <t>KONDISI Business As Usual (BaU)</t>
  </si>
  <si>
    <t>total</t>
  </si>
  <si>
    <t>Tahun</t>
  </si>
  <si>
    <t>timbulan sampah</t>
  </si>
  <si>
    <t>kg/kapita/hari</t>
  </si>
  <si>
    <t>ton/tahun</t>
  </si>
  <si>
    <t>Giga gram/tahun</t>
  </si>
  <si>
    <t>1000 kg = 1 ton</t>
  </si>
  <si>
    <t>1 000 ton = 1 Gg (Giga gram)</t>
  </si>
  <si>
    <t>catatan</t>
  </si>
  <si>
    <t>kg sampah tercampur/hari/unit</t>
  </si>
  <si>
    <t>membagun TPA</t>
  </si>
  <si>
    <t>ton  sampah tercampur/hari/unit</t>
  </si>
  <si>
    <t>aksi mitigasi persampahan</t>
  </si>
  <si>
    <t>recovery metan</t>
  </si>
  <si>
    <t>kg CH4/hari/unit</t>
  </si>
  <si>
    <t xml:space="preserve">Asumsi pengurangan ke TPA </t>
  </si>
  <si>
    <t xml:space="preserve">komposting </t>
  </si>
  <si>
    <t>di daur ulang</t>
  </si>
  <si>
    <t>kg/hari/unit</t>
  </si>
  <si>
    <t xml:space="preserve">residu dan dibuang ke TPA </t>
  </si>
  <si>
    <t>SUBTOTAL</t>
  </si>
  <si>
    <t>ton/tahun/unit - dikompos</t>
  </si>
  <si>
    <t xml:space="preserve">ton/tahun/unit - pengurangan sampah </t>
  </si>
  <si>
    <t>-</t>
  </si>
  <si>
    <t xml:space="preserve">densitas sampah : </t>
  </si>
  <si>
    <t>250 kg/m3 di sumber</t>
  </si>
  <si>
    <t>750 kg/m3 di TPA</t>
  </si>
  <si>
    <t xml:space="preserve">laju timbulan sampah : </t>
  </si>
  <si>
    <t xml:space="preserve"> L/kapita/hari</t>
  </si>
  <si>
    <t>ton/kap/th</t>
  </si>
  <si>
    <t>total timbulan sampah (Gg/tahun)</t>
  </si>
  <si>
    <t xml:space="preserve">I. </t>
  </si>
  <si>
    <t xml:space="preserve">II. </t>
  </si>
  <si>
    <t xml:space="preserve">Membangun 1  TPST berbasis institusi asumsinya : </t>
  </si>
  <si>
    <t>Membangun TPS T3R berbasis masyarakat</t>
  </si>
  <si>
    <t>ton/tahun/unit - daur ulang pengurangan sampah nol emisi</t>
  </si>
  <si>
    <t>KATAGORI AKSI</t>
  </si>
  <si>
    <t>DESKRIPSI</t>
  </si>
  <si>
    <t>Peningkatan FasiIitas Pemrosesan Akhir sampah</t>
  </si>
  <si>
    <t xml:space="preserve">Pelaksanaan kegiatan 3R </t>
  </si>
  <si>
    <t xml:space="preserve">Rehabilitasi TPA menjadi TPA semi-aerobik. </t>
  </si>
  <si>
    <t xml:space="preserve">Mengoperasikan TPA baru </t>
  </si>
  <si>
    <t>membangun TPST (dana dari institusi/pemerintah)</t>
  </si>
  <si>
    <t> membangun TPST /TPS 3R dana dari masyarakat)</t>
  </si>
  <si>
    <t>volume sampah tertangani</t>
  </si>
  <si>
    <t xml:space="preserve">jumlah sarana  yang dibangun </t>
  </si>
  <si>
    <t xml:space="preserve">1. Merubah nilai MCF pada perhitungan emisi CH4 dari TPA </t>
  </si>
  <si>
    <t xml:space="preserve">2. Menyesuaikan perubahan fraksi jenis TPA </t>
  </si>
  <si>
    <t>isi dengan volume gas metan yg direcovery</t>
  </si>
  <si>
    <t>recovery metan di TPA Anaeobik</t>
  </si>
  <si>
    <t xml:space="preserve">isi dengan volume sam pah yg akan dikelola di TPA baru </t>
  </si>
  <si>
    <t>Mengis data metan yang akan direcovery</t>
  </si>
  <si>
    <t>Menyesuaikan perubahan fraksi jenis TPA</t>
  </si>
  <si>
    <t>Menyesuaikan nilai MCF sesuai jenis TPA</t>
  </si>
  <si>
    <t>prinsip  perhitungan emisi menggunakan metoda IPCC</t>
  </si>
  <si>
    <t>Deskripsi aksi mitigasi yang dipilih</t>
  </si>
  <si>
    <t>perubahan pada fraksi pengelolaan sampah, Menambah angka  volume sampah yang masuk ke TPA</t>
  </si>
  <si>
    <t>perubahan pada fraksi pengelolaan sampah, Menambah angka  volume sampah yang dikompos</t>
  </si>
  <si>
    <t>PERUBAHAN PADA FRAKSI DISTRIBUSI PENGELOLAAN SAMPAH</t>
  </si>
  <si>
    <t>VOLUME SAMPAH YANG DIKELOLA DARI AKSI MITIGASI (SELISIH TERHADAP BaU)</t>
  </si>
  <si>
    <t>isi dengan volume sampah di TPA tsb</t>
  </si>
  <si>
    <t xml:space="preserve">isi dengan volume sampah di TPA-TPA  baru </t>
  </si>
  <si>
    <t>dalam contoh perhitungan diambil 15.000 ton/tahun</t>
  </si>
  <si>
    <t xml:space="preserve">sampah yang dikompos = jumlah TPST x 15000 ton/tahun               atau         jumlah TPS 3R x  900 ton/tahun </t>
  </si>
  <si>
    <t>PERUBAHAN FRAKSI PENGELOLAAN SAMPAH PADA SKENARIO MITIGASI</t>
  </si>
  <si>
    <t>BaU + aksi mitigasi</t>
  </si>
  <si>
    <t>BaU - aksi mitigasi</t>
  </si>
  <si>
    <t xml:space="preserve">prosentase  menyesuaikan ke perubahan fraksi volume sampah </t>
  </si>
  <si>
    <t>sampah yang dikelola (Gg/tahun)</t>
  </si>
  <si>
    <t xml:space="preserve">Menyesuaiakn dengan pengurangan dari sampah yang dikompos dan yang didaur ulang. Catatan : Sampah yang didaur ulang dalam 1 TPST = 2740 ton/hari. Sampah yang didaur ulang dalam 1 TPS 3R  = 164  ton/hari. </t>
  </si>
  <si>
    <t>Rekapitulasi   BaU Baseline Emisi GRK dari Pengomposan Sampah</t>
  </si>
  <si>
    <t xml:space="preserve"> Emisi GRK dari komposting </t>
  </si>
  <si>
    <r>
      <t>Emisi CH</t>
    </r>
    <r>
      <rPr>
        <vertAlign val="subscript"/>
        <sz val="9"/>
        <color indexed="9"/>
        <rFont val="Calibri"/>
        <family val="2"/>
      </rPr>
      <t>4</t>
    </r>
  </si>
  <si>
    <r>
      <t>Emisi N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O</t>
    </r>
  </si>
  <si>
    <r>
      <t>Total Gg CO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eq</t>
    </r>
  </si>
  <si>
    <r>
      <t>Gg CH</t>
    </r>
    <r>
      <rPr>
        <vertAlign val="subscript"/>
        <sz val="9"/>
        <color indexed="9"/>
        <rFont val="Calibri"/>
        <family val="2"/>
      </rPr>
      <t>4</t>
    </r>
  </si>
  <si>
    <r>
      <t>Gg CO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eq</t>
    </r>
  </si>
  <si>
    <r>
      <t>Gg N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O</t>
    </r>
  </si>
  <si>
    <t xml:space="preserve"> Rekapitulasi BaU Baseline Emisi GRK dari Aktifitas Pembakaran Terbuka </t>
  </si>
  <si>
    <t xml:space="preserve"> Emisi GRK Dari Pembakaran Sampah</t>
  </si>
  <si>
    <r>
      <t>Emisi CO</t>
    </r>
    <r>
      <rPr>
        <vertAlign val="subscript"/>
        <sz val="9"/>
        <color indexed="9"/>
        <rFont val="Calibri"/>
        <family val="2"/>
      </rPr>
      <t>2</t>
    </r>
  </si>
  <si>
    <r>
      <t>Gg CO</t>
    </r>
    <r>
      <rPr>
        <vertAlign val="subscript"/>
        <sz val="9"/>
        <color indexed="9"/>
        <rFont val="Calibri"/>
        <family val="2"/>
      </rPr>
      <t>2</t>
    </r>
  </si>
  <si>
    <t>Rekapitulasi   BaU Baseline Emisi GRK dari Pengelolaan Air Limbah Domestik</t>
  </si>
  <si>
    <r>
      <t>Emisi CH</t>
    </r>
    <r>
      <rPr>
        <vertAlign val="subscript"/>
        <sz val="9"/>
        <rFont val="Calibri"/>
        <family val="2"/>
      </rPr>
      <t>4</t>
    </r>
  </si>
  <si>
    <r>
      <t>Emisi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</t>
    </r>
  </si>
  <si>
    <t>TOTAL</t>
  </si>
  <si>
    <r>
      <t>Gg CH</t>
    </r>
    <r>
      <rPr>
        <vertAlign val="subscript"/>
        <sz val="9"/>
        <rFont val="Calibri"/>
        <family val="2"/>
      </rPr>
      <t>4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</si>
  <si>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konversi dari Gg CH</t>
    </r>
    <r>
      <rPr>
        <vertAlign val="subscript"/>
        <sz val="9"/>
        <rFont val="Calibri"/>
        <family val="2"/>
      </rPr>
      <t>4</t>
    </r>
    <r>
      <rPr>
        <sz val="9"/>
        <rFont val="Calibri"/>
        <family val="2"/>
      </rPr>
      <t>)</t>
    </r>
  </si>
  <si>
    <r>
      <t>Gg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</si>
  <si>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konversi dari Gg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O)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</si>
  <si>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perjum-lahan)</t>
    </r>
  </si>
  <si>
    <t>A</t>
  </si>
  <si>
    <t>B</t>
  </si>
  <si>
    <t>C</t>
  </si>
  <si>
    <t>D</t>
  </si>
  <si>
    <t>E</t>
  </si>
  <si>
    <t>B = A x 21</t>
  </si>
  <si>
    <t>D = C x 310</t>
  </si>
  <si>
    <t>E = B+D</t>
  </si>
  <si>
    <t>Rekapitulasi   BaU Baseline Emisi GRK dari Penimbunan Sampah</t>
  </si>
  <si>
    <t xml:space="preserve"> Emisi GRK TPA+TERHAMPAR+BADAN AIR (BILA PERHITUNGANNYA DISATUKAN)</t>
  </si>
  <si>
    <t xml:space="preserve"> Emisi GRK dari sampah terhampar sembarangan</t>
  </si>
  <si>
    <t xml:space="preserve"> Emisi GRK dari sampah ditimbun di lubang</t>
  </si>
  <si>
    <t xml:space="preserve"> Emisi GRK dari sampah dibuang ke badan air</t>
  </si>
  <si>
    <t>atau</t>
  </si>
  <si>
    <t>dan</t>
  </si>
  <si>
    <t>REKAPITULASI EMISI GRK SETELAH MITIGASI</t>
  </si>
  <si>
    <t>REKAPITULASI EMISI GRK BaU BASELINE</t>
  </si>
  <si>
    <t xml:space="preserve"> Emisi GRK TPA</t>
  </si>
  <si>
    <t>ton/kapita/tahun</t>
  </si>
  <si>
    <t xml:space="preserve">TPA </t>
  </si>
  <si>
    <t>TPS 3 R</t>
  </si>
  <si>
    <t>TPST</t>
  </si>
  <si>
    <t>ton/unit/tahun</t>
  </si>
  <si>
    <t>KOTA BALIKPAPAN</t>
  </si>
  <si>
    <t xml:space="preserve">Jumlah Penduduk </t>
  </si>
  <si>
    <t>Rekapitulasi BAU Baseline Emisi GRK dari Penimbunan Sampah</t>
  </si>
  <si>
    <t>Rekapitulasi BaU Baseline Emisi GRK dari Pengomposan Sampah</t>
  </si>
  <si>
    <t>Dibuang sembarangan</t>
  </si>
  <si>
    <r>
      <t>Emisi CH</t>
    </r>
    <r>
      <rPr>
        <vertAlign val="subscript"/>
        <sz val="11"/>
        <color indexed="9"/>
        <rFont val="Calibri"/>
        <family val="2"/>
        <scheme val="minor"/>
      </rPr>
      <t>4</t>
    </r>
  </si>
  <si>
    <r>
      <t>Total Gg CO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eq</t>
    </r>
  </si>
  <si>
    <r>
      <t>Gg CH</t>
    </r>
    <r>
      <rPr>
        <vertAlign val="subscript"/>
        <sz val="11"/>
        <color indexed="9"/>
        <rFont val="Calibri"/>
        <family val="2"/>
        <scheme val="minor"/>
      </rPr>
      <t>4</t>
    </r>
  </si>
  <si>
    <r>
      <t>Gg CO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eq</t>
    </r>
  </si>
  <si>
    <r>
      <t>Emisi N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O</t>
    </r>
  </si>
  <si>
    <r>
      <t>Gg N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O</t>
    </r>
  </si>
  <si>
    <r>
      <t>Emisi CO</t>
    </r>
    <r>
      <rPr>
        <vertAlign val="subscript"/>
        <sz val="11"/>
        <color indexed="9"/>
        <rFont val="Calibri"/>
        <family val="2"/>
        <scheme val="minor"/>
      </rPr>
      <t>2</t>
    </r>
  </si>
  <si>
    <r>
      <t>Gg CO</t>
    </r>
    <r>
      <rPr>
        <vertAlign val="subscript"/>
        <sz val="11"/>
        <color indexed="9"/>
        <rFont val="Calibri"/>
        <family val="2"/>
        <scheme val="minor"/>
      </rPr>
      <t>2</t>
    </r>
  </si>
  <si>
    <r>
      <t>Emisi CH</t>
    </r>
    <r>
      <rPr>
        <vertAlign val="subscript"/>
        <sz val="11"/>
        <rFont val="Calibri"/>
        <family val="2"/>
        <scheme val="minor"/>
      </rPr>
      <t>4</t>
    </r>
  </si>
  <si>
    <r>
      <t>Emisi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</t>
    </r>
  </si>
  <si>
    <r>
      <t>Gg CH</t>
    </r>
    <r>
      <rPr>
        <vertAlign val="subscript"/>
        <sz val="11"/>
        <rFont val="Calibri"/>
        <family val="2"/>
        <scheme val="minor"/>
      </rPr>
      <t>4</t>
    </r>
  </si>
  <si>
    <r>
      <t>Gg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konversi dari Gg CH</t>
    </r>
    <r>
      <rPr>
        <vertAlign val="subscript"/>
        <sz val="11"/>
        <rFont val="Calibri"/>
        <family val="2"/>
        <scheme val="minor"/>
      </rPr>
      <t>4</t>
    </r>
    <r>
      <rPr>
        <sz val="11"/>
        <rFont val="Calibri"/>
        <family val="2"/>
        <scheme val="minor"/>
      </rPr>
      <t>)</t>
    </r>
  </si>
  <si>
    <r>
      <t>Gg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</t>
    </r>
  </si>
  <si>
    <r>
      <t>Gg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konversi dari Gg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O)</t>
    </r>
  </si>
  <si>
    <r>
      <t>Gg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perjumlahan)</t>
    </r>
  </si>
  <si>
    <t>Rekapitulasi BAU Baseline Emisi GRK dari Pengelolaan Air Limbah Domestik</t>
  </si>
  <si>
    <r>
      <t>Emisi CO</t>
    </r>
    <r>
      <rPr>
        <vertAlign val="subscript"/>
        <sz val="11"/>
        <rFont val="Calibri"/>
        <family val="2"/>
        <scheme val="minor"/>
      </rPr>
      <t>2</t>
    </r>
  </si>
  <si>
    <r>
      <t>Gg CO</t>
    </r>
    <r>
      <rPr>
        <vertAlign val="subscript"/>
        <sz val="11"/>
        <rFont val="Calibri"/>
        <family val="2"/>
        <scheme val="minor"/>
      </rPr>
      <t>2</t>
    </r>
  </si>
  <si>
    <t>ton CO2</t>
  </si>
  <si>
    <r>
      <t>ton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perjumlahan)</t>
    </r>
  </si>
  <si>
    <t>Kompos</t>
  </si>
  <si>
    <t>Total timbulan sampah (Gg/tahun)</t>
  </si>
  <si>
    <t>kg CH4</t>
  </si>
  <si>
    <t>Emisi GRK dari Limbah Cair Industri Sawit</t>
  </si>
  <si>
    <t>KAB PPU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</si>
</sst>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\-* #,##0.00_-;_-* &quot;-&quot;??_-;_-@_-"/>
    <numFmt numFmtId="164" formatCode="#,##0.0000"/>
    <numFmt numFmtId="165" formatCode="0.0000"/>
    <numFmt numFmtId="166" formatCode="0.00000"/>
    <numFmt numFmtId="167" formatCode="0.000000"/>
    <numFmt numFmtId="168" formatCode="_-* #,##0_-;\-* #,##0_-;_-* &quot;-&quot;??_-;_-@_-"/>
    <numFmt numFmtId="169" formatCode="_-* #,##0.000_-;\-* #,##0.000_-;_-* &quot;-&quot;??_-;_-@_-"/>
    <numFmt numFmtId="170" formatCode="_-* #,##0.0000_-;\-* #,##0.0000_-;_-* &quot;-&quot;??_-;_-@_-"/>
    <numFmt numFmtId="171" formatCode="0.0%"/>
  </numFmts>
  <fonts count="6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sz val="11"/>
      <name val="Arial"/>
      <family val="2"/>
    </font>
    <font>
      <sz val="9"/>
      <color theme="0"/>
      <name val="Calibri"/>
      <family val="2"/>
    </font>
    <font>
      <b/>
      <sz val="10"/>
      <color rgb="FFFFFFFF"/>
      <name val="Calibri"/>
      <family val="2"/>
    </font>
    <font>
      <sz val="10"/>
      <color theme="1"/>
      <name val="Calibri"/>
      <family val="2"/>
    </font>
    <font>
      <sz val="16"/>
      <color theme="0"/>
      <name val="Calibri"/>
      <family val="2"/>
      <charset val="1"/>
      <scheme val="minor"/>
    </font>
    <font>
      <sz val="9"/>
      <color rgb="FF000000"/>
      <name val="Lucida Sans Unicode"/>
      <family val="2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Calibri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6"/>
      <name val="Calibri"/>
      <family val="2"/>
      <charset val="1"/>
      <scheme val="minor"/>
    </font>
    <font>
      <sz val="14"/>
      <name val="Calibri"/>
      <family val="2"/>
      <charset val="1"/>
      <scheme val="minor"/>
    </font>
    <font>
      <vertAlign val="subscript"/>
      <sz val="9"/>
      <color indexed="9"/>
      <name val="Calibri"/>
      <family val="2"/>
    </font>
    <font>
      <sz val="9"/>
      <color indexed="9"/>
      <name val="Calibri"/>
      <family val="2"/>
    </font>
    <font>
      <sz val="9"/>
      <name val="Calibri"/>
      <family val="2"/>
    </font>
    <font>
      <sz val="9"/>
      <name val="Arial"/>
      <family val="2"/>
    </font>
    <font>
      <b/>
      <sz val="10"/>
      <color rgb="FFC00000"/>
      <name val="Arial"/>
      <family val="2"/>
    </font>
    <font>
      <sz val="10"/>
      <name val="Calibri"/>
      <family val="2"/>
    </font>
    <font>
      <b/>
      <sz val="10"/>
      <color rgb="FF0070C0"/>
      <name val="Arial"/>
      <family val="2"/>
    </font>
    <font>
      <vertAlign val="subscript"/>
      <sz val="9"/>
      <name val="Calibri"/>
      <family val="2"/>
    </font>
    <font>
      <b/>
      <sz val="9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C00000"/>
      <name val="Calibri"/>
      <family val="2"/>
    </font>
    <font>
      <sz val="11"/>
      <color rgb="FFC00000"/>
      <name val="Calibri"/>
      <family val="2"/>
      <charset val="1"/>
      <scheme val="minor"/>
    </font>
    <font>
      <b/>
      <sz val="10"/>
      <color rgb="FF00682F"/>
      <name val="Arial"/>
      <family val="2"/>
    </font>
    <font>
      <b/>
      <sz val="10"/>
      <color rgb="FF7030A0"/>
      <name val="Arial"/>
      <family val="2"/>
    </font>
    <font>
      <sz val="18"/>
      <color theme="0"/>
      <name val="Calibri"/>
      <family val="2"/>
      <charset val="1"/>
      <scheme val="minor"/>
    </font>
    <font>
      <sz val="18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vertAlign val="subscript"/>
      <sz val="11"/>
      <color indexed="9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1"/>
      <color rgb="FF00682F"/>
      <name val="Calibri"/>
      <family val="2"/>
      <scheme val="minor"/>
    </font>
    <font>
      <b/>
      <sz val="11"/>
      <color rgb="FF0070C0"/>
      <name val="Calibri"/>
      <family val="2"/>
      <scheme val="minor"/>
    </font>
    <font>
      <vertAlign val="subscript"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Lucida Sans Unicode"/>
      <family val="2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F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4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39" fillId="0" borderId="0" applyFont="0" applyFill="0" applyBorder="0" applyAlignment="0" applyProtection="0"/>
  </cellStyleXfs>
  <cellXfs count="257">
    <xf numFmtId="0" fontId="0" fillId="0" borderId="0" xfId="0"/>
    <xf numFmtId="0" fontId="5" fillId="3" borderId="1" xfId="0" applyFont="1" applyFill="1" applyBorder="1" applyAlignment="1">
      <alignment horizontal="center" vertical="top" wrapText="1"/>
    </xf>
    <xf numFmtId="0" fontId="0" fillId="7" borderId="1" xfId="0" applyFill="1" applyBorder="1" applyAlignment="1">
      <alignment horizontal="center"/>
    </xf>
    <xf numFmtId="9" fontId="0" fillId="7" borderId="1" xfId="0" applyNumberForma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4" fillId="0" borderId="0" xfId="0" applyFont="1" applyFill="1" applyBorder="1" applyAlignment="1">
      <alignment horizontal="center" vertical="top" wrapText="1"/>
    </xf>
    <xf numFmtId="0" fontId="3" fillId="0" borderId="0" xfId="0" applyFont="1" applyFill="1" applyBorder="1"/>
    <xf numFmtId="0" fontId="8" fillId="0" borderId="0" xfId="0" applyFont="1"/>
    <xf numFmtId="0" fontId="0" fillId="0" borderId="0" xfId="0" applyAlignment="1">
      <alignment horizontal="right"/>
    </xf>
    <xf numFmtId="0" fontId="5" fillId="3" borderId="0" xfId="0" applyFont="1" applyFill="1" applyBorder="1" applyAlignment="1">
      <alignment horizontal="left" vertical="top" wrapText="1"/>
    </xf>
    <xf numFmtId="0" fontId="0" fillId="11" borderId="0" xfId="0" applyFill="1"/>
    <xf numFmtId="0" fontId="12" fillId="0" borderId="0" xfId="0" applyFont="1"/>
    <xf numFmtId="2" fontId="0" fillId="0" borderId="1" xfId="0" applyNumberFormat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3" fontId="14" fillId="11" borderId="0" xfId="0" applyNumberFormat="1" applyFont="1" applyFill="1" applyBorder="1" applyAlignment="1">
      <alignment horizontal="center" vertical="top" wrapText="1"/>
    </xf>
    <xf numFmtId="3" fontId="14" fillId="11" borderId="0" xfId="0" quotePrefix="1" applyNumberFormat="1" applyFont="1" applyFill="1" applyBorder="1" applyAlignment="1">
      <alignment horizontal="center" vertical="top" wrapText="1"/>
    </xf>
    <xf numFmtId="0" fontId="11" fillId="11" borderId="0" xfId="0" applyFont="1" applyFill="1"/>
    <xf numFmtId="3" fontId="0" fillId="11" borderId="0" xfId="0" applyNumberFormat="1" applyFill="1"/>
    <xf numFmtId="0" fontId="0" fillId="11" borderId="0" xfId="0" quotePrefix="1" applyFill="1"/>
    <xf numFmtId="0" fontId="0" fillId="0" borderId="0" xfId="0" applyAlignment="1">
      <alignment vertical="top"/>
    </xf>
    <xf numFmtId="0" fontId="15" fillId="3" borderId="1" xfId="0" applyFont="1" applyFill="1" applyBorder="1" applyAlignment="1">
      <alignment vertical="top" wrapText="1"/>
    </xf>
    <xf numFmtId="0" fontId="16" fillId="14" borderId="1" xfId="0" applyFont="1" applyFill="1" applyBorder="1" applyAlignment="1">
      <alignment vertical="top"/>
    </xf>
    <xf numFmtId="0" fontId="16" fillId="8" borderId="1" xfId="0" applyFont="1" applyFill="1" applyBorder="1" applyAlignment="1">
      <alignment vertical="top" wrapText="1"/>
    </xf>
    <xf numFmtId="0" fontId="16" fillId="14" borderId="1" xfId="0" applyFont="1" applyFill="1" applyBorder="1" applyAlignment="1">
      <alignment vertical="top" wrapText="1"/>
    </xf>
    <xf numFmtId="0" fontId="9" fillId="3" borderId="1" xfId="0" applyFont="1" applyFill="1" applyBorder="1" applyAlignment="1">
      <alignment vertical="top" wrapText="1"/>
    </xf>
    <xf numFmtId="0" fontId="9" fillId="3" borderId="1" xfId="0" applyFont="1" applyFill="1" applyBorder="1" applyAlignment="1">
      <alignment horizontal="left" vertical="top" wrapText="1"/>
    </xf>
    <xf numFmtId="0" fontId="16" fillId="12" borderId="1" xfId="0" applyFont="1" applyFill="1" applyBorder="1" applyAlignment="1">
      <alignment vertical="top" wrapText="1"/>
    </xf>
    <xf numFmtId="0" fontId="18" fillId="12" borderId="1" xfId="0" applyFont="1" applyFill="1" applyBorder="1" applyAlignment="1">
      <alignment vertical="top" wrapText="1"/>
    </xf>
    <xf numFmtId="0" fontId="16" fillId="11" borderId="1" xfId="0" applyFont="1" applyFill="1" applyBorder="1" applyAlignment="1">
      <alignment vertical="top" wrapText="1"/>
    </xf>
    <xf numFmtId="0" fontId="7" fillId="5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19" fillId="0" borderId="0" xfId="0" applyFont="1" applyFill="1" applyAlignment="1">
      <alignment horizontal="left"/>
    </xf>
    <xf numFmtId="0" fontId="20" fillId="0" borderId="0" xfId="0" applyFont="1" applyFill="1" applyAlignment="1">
      <alignment horizontal="left"/>
    </xf>
    <xf numFmtId="2" fontId="0" fillId="0" borderId="0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 vertical="top"/>
    </xf>
    <xf numFmtId="0" fontId="4" fillId="2" borderId="11" xfId="0" applyFont="1" applyFill="1" applyBorder="1" applyAlignment="1">
      <alignment horizontal="center" vertical="top" wrapText="1"/>
    </xf>
    <xf numFmtId="0" fontId="23" fillId="0" borderId="1" xfId="0" applyFont="1" applyBorder="1" applyAlignment="1">
      <alignment horizontal="center"/>
    </xf>
    <xf numFmtId="2" fontId="24" fillId="0" borderId="1" xfId="0" applyNumberFormat="1" applyFont="1" applyBorder="1" applyAlignment="1">
      <alignment wrapText="1"/>
    </xf>
    <xf numFmtId="2" fontId="24" fillId="0" borderId="1" xfId="0" applyNumberFormat="1" applyFont="1" applyBorder="1" applyAlignment="1">
      <alignment vertical="top" wrapText="1"/>
    </xf>
    <xf numFmtId="2" fontId="24" fillId="0" borderId="1" xfId="0" applyNumberFormat="1" applyFont="1" applyBorder="1"/>
    <xf numFmtId="0" fontId="25" fillId="0" borderId="0" xfId="0" applyFont="1"/>
    <xf numFmtId="0" fontId="4" fillId="15" borderId="19" xfId="0" applyFont="1" applyFill="1" applyBorder="1" applyAlignment="1">
      <alignment horizontal="center" vertical="top"/>
    </xf>
    <xf numFmtId="0" fontId="4" fillId="15" borderId="20" xfId="0" applyFont="1" applyFill="1" applyBorder="1" applyAlignment="1">
      <alignment horizontal="center" vertical="top"/>
    </xf>
    <xf numFmtId="0" fontId="4" fillId="15" borderId="9" xfId="0" applyFont="1" applyFill="1" applyBorder="1" applyAlignment="1">
      <alignment horizontal="center" vertical="top"/>
    </xf>
    <xf numFmtId="0" fontId="4" fillId="15" borderId="10" xfId="0" applyFont="1" applyFill="1" applyBorder="1" applyAlignment="1">
      <alignment vertical="top"/>
    </xf>
    <xf numFmtId="0" fontId="4" fillId="15" borderId="11" xfId="0" applyFont="1" applyFill="1" applyBorder="1" applyAlignment="1">
      <alignment horizontal="center" vertical="top" wrapText="1"/>
    </xf>
    <xf numFmtId="0" fontId="24" fillId="0" borderId="1" xfId="0" applyFont="1" applyBorder="1" applyAlignment="1">
      <alignment wrapText="1"/>
    </xf>
    <xf numFmtId="0" fontId="24" fillId="0" borderId="1" xfId="0" applyFont="1" applyBorder="1"/>
    <xf numFmtId="0" fontId="26" fillId="0" borderId="0" xfId="0" applyFont="1" applyBorder="1" applyAlignment="1">
      <alignment horizontal="center"/>
    </xf>
    <xf numFmtId="0" fontId="3" fillId="0" borderId="0" xfId="0" applyFont="1" applyBorder="1" applyAlignment="1">
      <alignment wrapText="1"/>
    </xf>
    <xf numFmtId="0" fontId="3" fillId="0" borderId="0" xfId="0" applyFont="1" applyBorder="1"/>
    <xf numFmtId="0" fontId="27" fillId="0" borderId="0" xfId="0" applyFont="1"/>
    <xf numFmtId="0" fontId="23" fillId="10" borderId="19" xfId="0" applyFont="1" applyFill="1" applyBorder="1" applyAlignment="1">
      <alignment horizontal="center" vertical="top" wrapText="1"/>
    </xf>
    <xf numFmtId="0" fontId="23" fillId="10" borderId="9" xfId="0" applyFont="1" applyFill="1" applyBorder="1" applyAlignment="1">
      <alignment horizontal="center" vertical="top" wrapText="1"/>
    </xf>
    <xf numFmtId="0" fontId="29" fillId="13" borderId="9" xfId="0" applyFont="1" applyFill="1" applyBorder="1" applyAlignment="1">
      <alignment horizontal="center" vertical="top" wrapText="1"/>
    </xf>
    <xf numFmtId="0" fontId="23" fillId="16" borderId="10" xfId="0" applyFont="1" applyFill="1" applyBorder="1" applyAlignment="1">
      <alignment horizontal="center" vertical="top" wrapText="1"/>
    </xf>
    <xf numFmtId="0" fontId="23" fillId="10" borderId="10" xfId="0" applyFont="1" applyFill="1" applyBorder="1" applyAlignment="1">
      <alignment horizontal="center" vertical="top" wrapText="1"/>
    </xf>
    <xf numFmtId="0" fontId="23" fillId="13" borderId="10" xfId="0" applyFont="1" applyFill="1" applyBorder="1" applyAlignment="1">
      <alignment horizontal="center" vertical="top" wrapText="1"/>
    </xf>
    <xf numFmtId="0" fontId="30" fillId="16" borderId="10" xfId="0" applyFont="1" applyFill="1" applyBorder="1" applyAlignment="1">
      <alignment horizontal="center" vertical="top" wrapText="1"/>
    </xf>
    <xf numFmtId="0" fontId="30" fillId="10" borderId="3" xfId="0" applyFont="1" applyFill="1" applyBorder="1" applyAlignment="1">
      <alignment horizontal="center" vertical="top" wrapText="1"/>
    </xf>
    <xf numFmtId="0" fontId="30" fillId="10" borderId="10" xfId="0" applyFont="1" applyFill="1" applyBorder="1" applyAlignment="1">
      <alignment horizontal="center" vertical="top" wrapText="1"/>
    </xf>
    <xf numFmtId="0" fontId="31" fillId="13" borderId="10" xfId="0" applyFont="1" applyFill="1" applyBorder="1" applyAlignment="1">
      <alignment horizontal="center" vertical="top" wrapText="1"/>
    </xf>
    <xf numFmtId="0" fontId="30" fillId="16" borderId="11" xfId="0" applyFont="1" applyFill="1" applyBorder="1" applyAlignment="1">
      <alignment horizontal="center" wrapText="1"/>
    </xf>
    <xf numFmtId="0" fontId="30" fillId="10" borderId="2" xfId="0" applyFont="1" applyFill="1" applyBorder="1" applyAlignment="1">
      <alignment horizontal="center" vertical="top" wrapText="1"/>
    </xf>
    <xf numFmtId="0" fontId="30" fillId="10" borderId="11" xfId="0" applyFont="1" applyFill="1" applyBorder="1" applyAlignment="1">
      <alignment horizontal="center" wrapText="1"/>
    </xf>
    <xf numFmtId="0" fontId="31" fillId="13" borderId="11" xfId="0" applyFont="1" applyFill="1" applyBorder="1" applyAlignment="1">
      <alignment horizontal="center" vertical="top" wrapText="1"/>
    </xf>
    <xf numFmtId="0" fontId="32" fillId="0" borderId="1" xfId="0" applyFont="1" applyBorder="1" applyAlignment="1">
      <alignment horizontal="right" vertical="top" wrapText="1"/>
    </xf>
    <xf numFmtId="2" fontId="32" fillId="0" borderId="1" xfId="0" applyNumberFormat="1" applyFont="1" applyBorder="1" applyAlignment="1">
      <alignment horizontal="right" vertical="top" wrapText="1"/>
    </xf>
    <xf numFmtId="0" fontId="4" fillId="0" borderId="0" xfId="0" applyFont="1" applyFill="1" applyBorder="1" applyAlignment="1">
      <alignment horizontal="center" vertical="top"/>
    </xf>
    <xf numFmtId="2" fontId="24" fillId="0" borderId="0" xfId="0" applyNumberFormat="1" applyFont="1" applyFill="1" applyBorder="1" applyAlignment="1">
      <alignment vertical="top" wrapText="1"/>
    </xf>
    <xf numFmtId="0" fontId="33" fillId="0" borderId="0" xfId="0" applyFont="1" applyFill="1" applyBorder="1" applyAlignment="1">
      <alignment horizontal="center" vertical="top"/>
    </xf>
    <xf numFmtId="0" fontId="34" fillId="0" borderId="0" xfId="0" applyFont="1" applyAlignment="1">
      <alignment horizontal="center" vertical="top"/>
    </xf>
    <xf numFmtId="0" fontId="35" fillId="0" borderId="0" xfId="0" applyFont="1"/>
    <xf numFmtId="0" fontId="4" fillId="17" borderId="1" xfId="0" applyFont="1" applyFill="1" applyBorder="1" applyAlignment="1">
      <alignment horizontal="center" vertical="top" wrapText="1"/>
    </xf>
    <xf numFmtId="0" fontId="36" fillId="0" borderId="0" xfId="0" applyFont="1"/>
    <xf numFmtId="0" fontId="37" fillId="3" borderId="0" xfId="0" applyFont="1" applyFill="1"/>
    <xf numFmtId="0" fontId="38" fillId="3" borderId="0" xfId="0" applyFont="1" applyFill="1"/>
    <xf numFmtId="0" fontId="2" fillId="4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0" fillId="11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9" borderId="0" xfId="0" applyFill="1" applyAlignment="1">
      <alignment horizontal="center" vertical="center"/>
    </xf>
    <xf numFmtId="0" fontId="0" fillId="9" borderId="0" xfId="0" quotePrefix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2" fontId="0" fillId="9" borderId="0" xfId="0" quotePrefix="1" applyNumberFormat="1" applyFill="1" applyAlignment="1">
      <alignment horizontal="center" vertical="center"/>
    </xf>
    <xf numFmtId="0" fontId="0" fillId="6" borderId="0" xfId="0" applyFill="1" applyAlignment="1">
      <alignment vertical="center"/>
    </xf>
    <xf numFmtId="0" fontId="0" fillId="0" borderId="1" xfId="0" applyBorder="1" applyAlignment="1">
      <alignment horizontal="center" vertical="center"/>
    </xf>
    <xf numFmtId="168" fontId="0" fillId="8" borderId="1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0" fontId="6" fillId="8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 wrapText="1"/>
    </xf>
    <xf numFmtId="3" fontId="5" fillId="0" borderId="0" xfId="0" quotePrefix="1" applyNumberFormat="1" applyFont="1" applyFill="1" applyBorder="1" applyAlignment="1">
      <alignment horizontal="center" vertical="center" wrapText="1"/>
    </xf>
    <xf numFmtId="3" fontId="5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166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166" fontId="1" fillId="0" borderId="1" xfId="0" applyNumberFormat="1" applyFont="1" applyBorder="1" applyAlignment="1">
      <alignment vertical="center"/>
    </xf>
    <xf numFmtId="0" fontId="41" fillId="0" borderId="0" xfId="0" applyFont="1" applyBorder="1" applyAlignment="1">
      <alignment vertical="center" wrapText="1"/>
    </xf>
    <xf numFmtId="0" fontId="41" fillId="0" borderId="0" xfId="0" applyFont="1" applyBorder="1" applyAlignment="1">
      <alignment vertical="center"/>
    </xf>
    <xf numFmtId="0" fontId="15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42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0" fontId="40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17" borderId="1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166" fontId="41" fillId="0" borderId="1" xfId="0" applyNumberFormat="1" applyFont="1" applyBorder="1" applyAlignment="1">
      <alignment vertical="center" wrapText="1"/>
    </xf>
    <xf numFmtId="166" fontId="41" fillId="0" borderId="1" xfId="0" applyNumberFormat="1" applyFont="1" applyBorder="1" applyAlignment="1">
      <alignment vertical="center"/>
    </xf>
    <xf numFmtId="2" fontId="41" fillId="0" borderId="0" xfId="0" applyNumberFormat="1" applyFont="1" applyFill="1" applyBorder="1" applyAlignment="1">
      <alignment vertical="center" wrapText="1"/>
    </xf>
    <xf numFmtId="165" fontId="41" fillId="0" borderId="1" xfId="0" applyNumberFormat="1" applyFont="1" applyBorder="1" applyAlignment="1">
      <alignment vertical="center" wrapText="1"/>
    </xf>
    <xf numFmtId="165" fontId="41" fillId="0" borderId="1" xfId="0" applyNumberFormat="1" applyFont="1" applyBorder="1" applyAlignment="1">
      <alignment vertical="center"/>
    </xf>
    <xf numFmtId="0" fontId="46" fillId="0" borderId="0" xfId="0" applyFont="1" applyAlignment="1">
      <alignment vertical="center"/>
    </xf>
    <xf numFmtId="0" fontId="15" fillId="2" borderId="11" xfId="0" applyFont="1" applyFill="1" applyBorder="1" applyAlignment="1">
      <alignment horizontal="center" vertical="center" wrapText="1"/>
    </xf>
    <xf numFmtId="0" fontId="15" fillId="15" borderId="10" xfId="0" applyFont="1" applyFill="1" applyBorder="1" applyAlignment="1">
      <alignment horizontal="center" vertical="center"/>
    </xf>
    <xf numFmtId="0" fontId="15" fillId="15" borderId="11" xfId="0" applyFont="1" applyFill="1" applyBorder="1" applyAlignment="1">
      <alignment horizontal="center" vertical="center" wrapText="1"/>
    </xf>
    <xf numFmtId="0" fontId="41" fillId="0" borderId="1" xfId="0" applyFont="1" applyBorder="1" applyAlignment="1">
      <alignment vertical="center" wrapText="1"/>
    </xf>
    <xf numFmtId="2" fontId="41" fillId="0" borderId="1" xfId="0" applyNumberFormat="1" applyFont="1" applyBorder="1" applyAlignment="1">
      <alignment vertical="center" wrapText="1"/>
    </xf>
    <xf numFmtId="167" fontId="41" fillId="0" borderId="1" xfId="0" applyNumberFormat="1" applyFont="1" applyBorder="1" applyAlignment="1">
      <alignment vertical="center"/>
    </xf>
    <xf numFmtId="0" fontId="41" fillId="0" borderId="0" xfId="0" applyFont="1" applyBorder="1" applyAlignment="1">
      <alignment horizontal="center" vertical="center"/>
    </xf>
    <xf numFmtId="0" fontId="47" fillId="0" borderId="0" xfId="0" applyFont="1" applyAlignment="1">
      <alignment vertical="center"/>
    </xf>
    <xf numFmtId="0" fontId="41" fillId="16" borderId="10" xfId="0" applyFont="1" applyFill="1" applyBorder="1" applyAlignment="1">
      <alignment horizontal="center" vertical="center" wrapText="1"/>
    </xf>
    <xf numFmtId="0" fontId="41" fillId="10" borderId="10" xfId="0" applyFont="1" applyFill="1" applyBorder="1" applyAlignment="1">
      <alignment horizontal="center" vertical="center" wrapText="1"/>
    </xf>
    <xf numFmtId="0" fontId="41" fillId="13" borderId="10" xfId="0" applyFont="1" applyFill="1" applyBorder="1" applyAlignment="1">
      <alignment horizontal="center" vertical="center" wrapText="1"/>
    </xf>
    <xf numFmtId="0" fontId="18" fillId="16" borderId="10" xfId="0" applyFont="1" applyFill="1" applyBorder="1" applyAlignment="1">
      <alignment horizontal="center" vertical="center" wrapText="1"/>
    </xf>
    <xf numFmtId="0" fontId="18" fillId="10" borderId="3" xfId="0" applyFont="1" applyFill="1" applyBorder="1" applyAlignment="1">
      <alignment horizontal="center" vertical="center" wrapText="1"/>
    </xf>
    <xf numFmtId="0" fontId="18" fillId="10" borderId="10" xfId="0" applyFont="1" applyFill="1" applyBorder="1" applyAlignment="1">
      <alignment horizontal="center" vertical="center" wrapText="1"/>
    </xf>
    <xf numFmtId="0" fontId="50" fillId="13" borderId="10" xfId="0" applyFont="1" applyFill="1" applyBorder="1" applyAlignment="1">
      <alignment horizontal="center" vertical="center" wrapText="1"/>
    </xf>
    <xf numFmtId="0" fontId="18" fillId="16" borderId="11" xfId="0" applyFont="1" applyFill="1" applyBorder="1" applyAlignment="1">
      <alignment horizontal="center" vertical="center" wrapText="1"/>
    </xf>
    <xf numFmtId="0" fontId="18" fillId="10" borderId="2" xfId="0" applyFont="1" applyFill="1" applyBorder="1" applyAlignment="1">
      <alignment horizontal="center" vertical="center" wrapText="1"/>
    </xf>
    <xf numFmtId="0" fontId="18" fillId="10" borderId="11" xfId="0" applyFont="1" applyFill="1" applyBorder="1" applyAlignment="1">
      <alignment horizontal="center" vertical="center" wrapText="1"/>
    </xf>
    <xf numFmtId="0" fontId="50" fillId="13" borderId="11" xfId="0" applyFont="1" applyFill="1" applyBorder="1" applyAlignment="1">
      <alignment horizontal="center" vertical="center" wrapText="1"/>
    </xf>
    <xf numFmtId="43" fontId="41" fillId="0" borderId="1" xfId="1" applyFont="1" applyBorder="1" applyAlignment="1">
      <alignment vertical="center" wrapText="1"/>
    </xf>
    <xf numFmtId="170" fontId="41" fillId="0" borderId="1" xfId="1" applyNumberFormat="1" applyFont="1" applyBorder="1" applyAlignment="1">
      <alignment vertical="center" wrapText="1"/>
    </xf>
    <xf numFmtId="169" fontId="41" fillId="0" borderId="1" xfId="1" applyNumberFormat="1" applyFont="1" applyBorder="1" applyAlignment="1">
      <alignment vertical="center"/>
    </xf>
    <xf numFmtId="43" fontId="18" fillId="0" borderId="1" xfId="1" applyFont="1" applyBorder="1" applyAlignment="1">
      <alignment horizontal="right" vertical="center" wrapText="1"/>
    </xf>
    <xf numFmtId="170" fontId="18" fillId="0" borderId="1" xfId="1" applyNumberFormat="1" applyFont="1" applyBorder="1" applyAlignment="1">
      <alignment horizontal="right" vertical="center" wrapText="1"/>
    </xf>
    <xf numFmtId="43" fontId="41" fillId="0" borderId="1" xfId="1" applyNumberFormat="1" applyFont="1" applyBorder="1" applyAlignment="1">
      <alignment vertical="center" wrapText="1"/>
    </xf>
    <xf numFmtId="0" fontId="41" fillId="8" borderId="1" xfId="0" applyFont="1" applyFill="1" applyBorder="1" applyAlignment="1">
      <alignment horizontal="center" vertical="center" wrapText="1"/>
    </xf>
    <xf numFmtId="43" fontId="41" fillId="8" borderId="1" xfId="1" applyNumberFormat="1" applyFont="1" applyFill="1" applyBorder="1" applyAlignment="1">
      <alignment vertical="center"/>
    </xf>
    <xf numFmtId="43" fontId="1" fillId="8" borderId="1" xfId="1" applyFont="1" applyFill="1" applyBorder="1" applyAlignment="1">
      <alignment vertical="center" wrapText="1"/>
    </xf>
    <xf numFmtId="43" fontId="1" fillId="0" borderId="1" xfId="0" applyNumberFormat="1" applyFont="1" applyBorder="1" applyAlignment="1">
      <alignment vertical="center"/>
    </xf>
    <xf numFmtId="0" fontId="14" fillId="8" borderId="1" xfId="0" applyFont="1" applyFill="1" applyBorder="1" applyAlignment="1">
      <alignment horizontal="center" vertical="center" wrapText="1"/>
    </xf>
    <xf numFmtId="0" fontId="54" fillId="0" borderId="0" xfId="0" applyFont="1" applyAlignment="1">
      <alignment vertical="center"/>
    </xf>
    <xf numFmtId="0" fontId="53" fillId="18" borderId="1" xfId="0" applyFont="1" applyFill="1" applyBorder="1" applyAlignment="1">
      <alignment horizontal="center" vertical="center"/>
    </xf>
    <xf numFmtId="0" fontId="54" fillId="0" borderId="1" xfId="0" applyFont="1" applyBorder="1" applyAlignment="1">
      <alignment vertical="center"/>
    </xf>
    <xf numFmtId="164" fontId="1" fillId="8" borderId="21" xfId="0" applyNumberFormat="1" applyFont="1" applyFill="1" applyBorder="1" applyAlignment="1">
      <alignment vertical="center"/>
    </xf>
    <xf numFmtId="166" fontId="41" fillId="8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43" fontId="0" fillId="0" borderId="1" xfId="1" applyFont="1" applyBorder="1" applyAlignment="1">
      <alignment horizontal="right" vertical="center"/>
    </xf>
    <xf numFmtId="0" fontId="54" fillId="0" borderId="0" xfId="0" applyFont="1" applyFill="1" applyAlignment="1">
      <alignment vertical="center"/>
    </xf>
    <xf numFmtId="0" fontId="56" fillId="0" borderId="0" xfId="0" applyFont="1" applyAlignment="1">
      <alignment vertical="center"/>
    </xf>
    <xf numFmtId="0" fontId="57" fillId="0" borderId="0" xfId="0" applyFont="1" applyFill="1" applyAlignment="1">
      <alignment vertical="center"/>
    </xf>
    <xf numFmtId="0" fontId="54" fillId="7" borderId="1" xfId="0" applyFont="1" applyFill="1" applyBorder="1" applyAlignment="1">
      <alignment horizontal="center" vertical="center"/>
    </xf>
    <xf numFmtId="9" fontId="54" fillId="7" borderId="1" xfId="0" applyNumberFormat="1" applyFont="1" applyFill="1" applyBorder="1" applyAlignment="1">
      <alignment horizontal="center" vertical="center"/>
    </xf>
    <xf numFmtId="3" fontId="54" fillId="0" borderId="0" xfId="0" applyNumberFormat="1" applyFont="1" applyFill="1" applyAlignment="1">
      <alignment vertical="center"/>
    </xf>
    <xf numFmtId="0" fontId="54" fillId="0" borderId="0" xfId="0" quotePrefix="1" applyFont="1" applyFill="1" applyAlignment="1">
      <alignment vertical="center"/>
    </xf>
    <xf numFmtId="3" fontId="54" fillId="0" borderId="0" xfId="0" applyNumberFormat="1" applyFont="1" applyFill="1" applyAlignment="1">
      <alignment horizontal="center" vertical="center"/>
    </xf>
    <xf numFmtId="2" fontId="54" fillId="0" borderId="1" xfId="0" applyNumberFormat="1" applyFont="1" applyBorder="1" applyAlignment="1">
      <alignment horizontal="center" vertical="center"/>
    </xf>
    <xf numFmtId="2" fontId="54" fillId="8" borderId="1" xfId="0" applyNumberFormat="1" applyFont="1" applyFill="1" applyBorder="1" applyAlignment="1">
      <alignment horizontal="center" vertical="center"/>
    </xf>
    <xf numFmtId="2" fontId="59" fillId="8" borderId="1" xfId="0" applyNumberFormat="1" applyFont="1" applyFill="1" applyBorder="1" applyAlignment="1">
      <alignment horizontal="center" vertical="center"/>
    </xf>
    <xf numFmtId="2" fontId="54" fillId="0" borderId="1" xfId="0" applyNumberFormat="1" applyFont="1" applyFill="1" applyBorder="1" applyAlignment="1">
      <alignment horizontal="center" vertical="center"/>
    </xf>
    <xf numFmtId="2" fontId="54" fillId="0" borderId="0" xfId="0" applyNumberFormat="1" applyFont="1" applyAlignment="1">
      <alignment vertical="center"/>
    </xf>
    <xf numFmtId="168" fontId="54" fillId="0" borderId="1" xfId="1" applyNumberFormat="1" applyFont="1" applyBorder="1" applyAlignment="1">
      <alignment vertical="center"/>
    </xf>
    <xf numFmtId="2" fontId="0" fillId="8" borderId="1" xfId="0" applyNumberFormat="1" applyFill="1" applyBorder="1" applyAlignment="1">
      <alignment vertical="center"/>
    </xf>
    <xf numFmtId="171" fontId="6" fillId="8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55" fillId="5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8" fillId="3" borderId="6" xfId="0" applyFont="1" applyFill="1" applyBorder="1" applyAlignment="1">
      <alignment horizontal="center" vertical="center"/>
    </xf>
    <xf numFmtId="0" fontId="58" fillId="3" borderId="7" xfId="0" applyFont="1" applyFill="1" applyBorder="1" applyAlignment="1">
      <alignment horizontal="center" vertical="center"/>
    </xf>
    <xf numFmtId="0" fontId="58" fillId="3" borderId="8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41" fillId="10" borderId="19" xfId="0" applyFont="1" applyFill="1" applyBorder="1" applyAlignment="1">
      <alignment horizontal="center" vertical="center" wrapText="1"/>
    </xf>
    <xf numFmtId="0" fontId="41" fillId="10" borderId="9" xfId="0" applyFont="1" applyFill="1" applyBorder="1" applyAlignment="1">
      <alignment horizontal="center" vertical="center" wrapText="1"/>
    </xf>
    <xf numFmtId="0" fontId="41" fillId="8" borderId="1" xfId="0" applyFont="1" applyFill="1" applyBorder="1" applyAlignment="1">
      <alignment horizontal="center" vertical="center"/>
    </xf>
    <xf numFmtId="0" fontId="49" fillId="13" borderId="19" xfId="0" applyFont="1" applyFill="1" applyBorder="1" applyAlignment="1">
      <alignment horizontal="center" vertical="center" wrapText="1"/>
    </xf>
    <xf numFmtId="0" fontId="49" fillId="13" borderId="9" xfId="0" applyFont="1" applyFill="1" applyBorder="1" applyAlignment="1">
      <alignment horizontal="center" vertical="center" wrapText="1"/>
    </xf>
    <xf numFmtId="0" fontId="41" fillId="13" borderId="3" xfId="0" applyFont="1" applyFill="1" applyBorder="1" applyAlignment="1">
      <alignment horizontal="center" vertical="center" wrapText="1"/>
    </xf>
    <xf numFmtId="0" fontId="41" fillId="13" borderId="2" xfId="0" applyFont="1" applyFill="1" applyBorder="1" applyAlignment="1">
      <alignment horizontal="center" vertical="center" wrapText="1"/>
    </xf>
    <xf numFmtId="0" fontId="41" fillId="16" borderId="19" xfId="0" applyFont="1" applyFill="1" applyBorder="1" applyAlignment="1">
      <alignment horizontal="center" vertical="center"/>
    </xf>
    <xf numFmtId="0" fontId="41" fillId="16" borderId="9" xfId="0" applyFont="1" applyFill="1" applyBorder="1" applyAlignment="1">
      <alignment horizontal="center" vertical="center"/>
    </xf>
    <xf numFmtId="0" fontId="18" fillId="16" borderId="3" xfId="0" applyFont="1" applyFill="1" applyBorder="1" applyAlignment="1">
      <alignment horizontal="center" vertical="center" wrapText="1"/>
    </xf>
    <xf numFmtId="0" fontId="18" fillId="16" borderId="2" xfId="0" applyFont="1" applyFill="1" applyBorder="1" applyAlignment="1">
      <alignment horizontal="center" vertical="center" wrapText="1"/>
    </xf>
    <xf numFmtId="0" fontId="15" fillId="17" borderId="1" xfId="0" applyFont="1" applyFill="1" applyBorder="1" applyAlignment="1">
      <alignment horizontal="center" vertical="center"/>
    </xf>
    <xf numFmtId="0" fontId="15" fillId="15" borderId="3" xfId="0" applyFont="1" applyFill="1" applyBorder="1" applyAlignment="1">
      <alignment horizontal="center" vertical="center"/>
    </xf>
    <xf numFmtId="0" fontId="15" fillId="15" borderId="2" xfId="0" applyFont="1" applyFill="1" applyBorder="1" applyAlignment="1">
      <alignment horizontal="center" vertical="center"/>
    </xf>
    <xf numFmtId="0" fontId="15" fillId="15" borderId="19" xfId="0" applyFont="1" applyFill="1" applyBorder="1" applyAlignment="1">
      <alignment horizontal="center" vertical="center"/>
    </xf>
    <xf numFmtId="0" fontId="15" fillId="15" borderId="20" xfId="0" applyFont="1" applyFill="1" applyBorder="1" applyAlignment="1">
      <alignment horizontal="center" vertical="center"/>
    </xf>
    <xf numFmtId="0" fontId="15" fillId="15" borderId="9" xfId="0" applyFont="1" applyFill="1" applyBorder="1" applyAlignment="1">
      <alignment horizontal="center" vertical="center"/>
    </xf>
    <xf numFmtId="0" fontId="15" fillId="17" borderId="1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9" xfId="0" applyFont="1" applyFill="1" applyBorder="1" applyAlignment="1">
      <alignment horizontal="center" vertical="center"/>
    </xf>
    <xf numFmtId="0" fontId="15" fillId="2" borderId="20" xfId="0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53" fillId="18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top" wrapText="1"/>
    </xf>
    <xf numFmtId="0" fontId="10" fillId="3" borderId="1" xfId="0" applyFont="1" applyFill="1" applyBorder="1" applyAlignment="1">
      <alignment horizontal="center" vertical="top" wrapText="1"/>
    </xf>
    <xf numFmtId="0" fontId="5" fillId="3" borderId="4" xfId="0" applyFont="1" applyFill="1" applyBorder="1" applyAlignment="1">
      <alignment horizontal="center" vertical="top" wrapText="1"/>
    </xf>
    <xf numFmtId="0" fontId="5" fillId="3" borderId="5" xfId="0" applyFont="1" applyFill="1" applyBorder="1" applyAlignment="1">
      <alignment horizontal="center" vertical="top" wrapText="1"/>
    </xf>
    <xf numFmtId="3" fontId="14" fillId="11" borderId="0" xfId="0" applyNumberFormat="1" applyFont="1" applyFill="1" applyBorder="1" applyAlignment="1">
      <alignment horizontal="center" vertical="top" wrapText="1"/>
    </xf>
    <xf numFmtId="3" fontId="0" fillId="11" borderId="0" xfId="0" applyNumberFormat="1" applyFill="1" applyAlignment="1">
      <alignment horizontal="right"/>
    </xf>
    <xf numFmtId="2" fontId="0" fillId="0" borderId="1" xfId="0" applyNumberFormat="1" applyBorder="1" applyAlignment="1">
      <alignment horizontal="center" vertical="top" wrapText="1"/>
    </xf>
    <xf numFmtId="0" fontId="9" fillId="3" borderId="6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2" fontId="0" fillId="0" borderId="4" xfId="0" applyNumberFormat="1" applyBorder="1" applyAlignment="1">
      <alignment horizontal="center" vertical="top" wrapText="1"/>
    </xf>
    <xf numFmtId="2" fontId="0" fillId="0" borderId="12" xfId="0" applyNumberFormat="1" applyBorder="1" applyAlignment="1">
      <alignment horizontal="center" vertical="top" wrapText="1"/>
    </xf>
    <xf numFmtId="2" fontId="0" fillId="0" borderId="5" xfId="0" applyNumberFormat="1" applyBorder="1" applyAlignment="1">
      <alignment horizontal="center" vertical="top" wrapText="1"/>
    </xf>
    <xf numFmtId="0" fontId="9" fillId="3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top" wrapText="1"/>
    </xf>
    <xf numFmtId="0" fontId="16" fillId="11" borderId="1" xfId="0" applyFont="1" applyFill="1" applyBorder="1" applyAlignment="1">
      <alignment vertical="top" wrapText="1"/>
    </xf>
    <xf numFmtId="0" fontId="17" fillId="8" borderId="1" xfId="0" applyFont="1" applyFill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/>
    </xf>
    <xf numFmtId="0" fontId="16" fillId="0" borderId="13" xfId="0" applyFont="1" applyBorder="1" applyAlignment="1">
      <alignment horizontal="left" vertical="top" wrapText="1"/>
    </xf>
    <xf numFmtId="0" fontId="16" fillId="0" borderId="15" xfId="0" applyFont="1" applyBorder="1" applyAlignment="1">
      <alignment horizontal="left" vertical="top" wrapText="1"/>
    </xf>
    <xf numFmtId="0" fontId="16" fillId="0" borderId="16" xfId="0" applyFont="1" applyBorder="1" applyAlignment="1">
      <alignment horizontal="left" vertical="top" wrapText="1"/>
    </xf>
    <xf numFmtId="0" fontId="16" fillId="0" borderId="14" xfId="0" applyFont="1" applyBorder="1" applyAlignment="1">
      <alignment horizontal="left" vertical="top" wrapText="1"/>
    </xf>
    <xf numFmtId="0" fontId="16" fillId="0" borderId="17" xfId="0" applyFont="1" applyBorder="1" applyAlignment="1">
      <alignment horizontal="left" vertical="top" wrapText="1"/>
    </xf>
    <xf numFmtId="0" fontId="16" fillId="0" borderId="18" xfId="0" applyFont="1" applyBorder="1" applyAlignment="1">
      <alignment horizontal="left" vertical="top" wrapText="1"/>
    </xf>
    <xf numFmtId="0" fontId="16" fillId="0" borderId="6" xfId="0" applyFont="1" applyBorder="1" applyAlignment="1">
      <alignment horizontal="left" vertical="top" wrapText="1"/>
    </xf>
    <xf numFmtId="0" fontId="16" fillId="0" borderId="7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left" vertical="top" wrapText="1"/>
    </xf>
    <xf numFmtId="0" fontId="16" fillId="12" borderId="1" xfId="0" applyFont="1" applyFill="1" applyBorder="1" applyAlignment="1">
      <alignment vertical="top" wrapText="1"/>
    </xf>
    <xf numFmtId="0" fontId="16" fillId="14" borderId="1" xfId="0" applyFont="1" applyFill="1" applyBorder="1" applyAlignment="1">
      <alignment horizontal="center" vertical="top" wrapText="1"/>
    </xf>
    <xf numFmtId="0" fontId="7" fillId="5" borderId="0" xfId="0" applyFont="1" applyFill="1" applyAlignment="1">
      <alignment horizontal="center"/>
    </xf>
    <xf numFmtId="0" fontId="15" fillId="3" borderId="1" xfId="0" applyFont="1" applyFill="1" applyBorder="1" applyAlignment="1">
      <alignment horizontal="center" vertical="top" wrapText="1"/>
    </xf>
    <xf numFmtId="0" fontId="15" fillId="3" borderId="1" xfId="0" applyFont="1" applyFill="1" applyBorder="1" applyAlignment="1">
      <alignment horizontal="left" vertical="top" wrapText="1"/>
    </xf>
    <xf numFmtId="10" fontId="6" fillId="0" borderId="4" xfId="0" applyNumberFormat="1" applyFont="1" applyFill="1" applyBorder="1" applyAlignment="1">
      <alignment horizontal="center" vertical="top" wrapText="1"/>
    </xf>
    <xf numFmtId="10" fontId="6" fillId="0" borderId="12" xfId="0" applyNumberFormat="1" applyFont="1" applyFill="1" applyBorder="1" applyAlignment="1">
      <alignment horizontal="center" vertical="top" wrapText="1"/>
    </xf>
    <xf numFmtId="10" fontId="6" fillId="0" borderId="5" xfId="0" applyNumberFormat="1" applyFont="1" applyFill="1" applyBorder="1" applyAlignment="1">
      <alignment horizontal="center" vertical="top" wrapText="1"/>
    </xf>
    <xf numFmtId="0" fontId="4" fillId="17" borderId="1" xfId="0" applyFont="1" applyFill="1" applyBorder="1" applyAlignment="1">
      <alignment horizontal="center" vertical="top"/>
    </xf>
    <xf numFmtId="0" fontId="4" fillId="17" borderId="1" xfId="0" applyFont="1" applyFill="1" applyBorder="1" applyAlignment="1">
      <alignment horizontal="center" vertical="top" wrapText="1"/>
    </xf>
    <xf numFmtId="0" fontId="23" fillId="13" borderId="3" xfId="0" applyFont="1" applyFill="1" applyBorder="1" applyAlignment="1">
      <alignment horizontal="center" vertical="top" wrapText="1"/>
    </xf>
    <xf numFmtId="0" fontId="23" fillId="13" borderId="2" xfId="0" applyFont="1" applyFill="1" applyBorder="1" applyAlignment="1">
      <alignment horizontal="center" vertical="top" wrapText="1"/>
    </xf>
    <xf numFmtId="0" fontId="23" fillId="16" borderId="19" xfId="0" applyFont="1" applyFill="1" applyBorder="1" applyAlignment="1">
      <alignment horizontal="center"/>
    </xf>
    <xf numFmtId="0" fontId="23" fillId="16" borderId="9" xfId="0" applyFont="1" applyFill="1" applyBorder="1" applyAlignment="1">
      <alignment horizontal="center"/>
    </xf>
    <xf numFmtId="0" fontId="30" fillId="16" borderId="3" xfId="0" applyFont="1" applyFill="1" applyBorder="1" applyAlignment="1">
      <alignment horizontal="center" vertical="top" wrapText="1"/>
    </xf>
    <xf numFmtId="0" fontId="30" fillId="16" borderId="2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0" fontId="4" fillId="2" borderId="19" xfId="0" applyFont="1" applyFill="1" applyBorder="1" applyAlignment="1">
      <alignment horizontal="center" vertical="top"/>
    </xf>
    <xf numFmtId="0" fontId="4" fillId="2" borderId="20" xfId="0" applyFont="1" applyFill="1" applyBorder="1" applyAlignment="1">
      <alignment horizontal="center" vertical="top"/>
    </xf>
    <xf numFmtId="0" fontId="4" fillId="2" borderId="9" xfId="0" applyFont="1" applyFill="1" applyBorder="1" applyAlignment="1">
      <alignment horizontal="center" vertical="top"/>
    </xf>
    <xf numFmtId="0" fontId="4" fillId="2" borderId="3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15" borderId="3" xfId="0" applyFont="1" applyFill="1" applyBorder="1" applyAlignment="1">
      <alignment horizontal="center" vertical="top"/>
    </xf>
    <xf numFmtId="0" fontId="4" fillId="15" borderId="2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0068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Profil BaU Baseline Pengelolaan Sampah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3"/>
          <c:order val="0"/>
          <c:tx>
            <c:strRef>
              <c:f>'Rekapitulasi BaU Emisi GRK'!$B$32:$F$32</c:f>
              <c:strCache>
                <c:ptCount val="1"/>
                <c:pt idx="0">
                  <c:v> Emisi GRK dari komposting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4">
                  <a:shade val="95000"/>
                </a:schemeClr>
              </a:contourClr>
            </a:sp3d>
          </c:spPr>
          <c:invertIfNegative val="0"/>
          <c:cat>
            <c:numRef>
              <c:f>'Rekapitulasi BaU Emisi GRK'!$A$35:$A$45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'Rekapitulasi BaU Emisi GRK'!$F$35:$F$45</c:f>
              <c:numCache>
                <c:formatCode>0.00000</c:formatCode>
                <c:ptCount val="11"/>
                <c:pt idx="0">
                  <c:v>6.9762886199999999E-2</c:v>
                </c:pt>
                <c:pt idx="1">
                  <c:v>7.074544860000001E-2</c:v>
                </c:pt>
                <c:pt idx="2">
                  <c:v>7.1782969500000002E-2</c:v>
                </c:pt>
                <c:pt idx="3">
                  <c:v>7.26976701E-2</c:v>
                </c:pt>
                <c:pt idx="4">
                  <c:v>7.3708906500000004E-2</c:v>
                </c:pt>
                <c:pt idx="5">
                  <c:v>7.4552877900000009E-2</c:v>
                </c:pt>
                <c:pt idx="6">
                  <c:v>7.7478294959999999E-2</c:v>
                </c:pt>
                <c:pt idx="7">
                  <c:v>7.9124851619999992E-2</c:v>
                </c:pt>
                <c:pt idx="8">
                  <c:v>8.0771408280000012E-2</c:v>
                </c:pt>
                <c:pt idx="9">
                  <c:v>8.2417964939999991E-2</c:v>
                </c:pt>
                <c:pt idx="10">
                  <c:v>8.4064521599999997E-2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A3D-4E3C-8DEE-62A0A2CA5931}"/>
            </c:ext>
          </c:extLst>
        </c:ser>
        <c:ser>
          <c:idx val="2"/>
          <c:order val="1"/>
          <c:tx>
            <c:strRef>
              <c:f>'Rekapitulasi BaU Emisi GRK'!$Q$6:$S$6</c:f>
              <c:strCache>
                <c:ptCount val="1"/>
                <c:pt idx="0">
                  <c:v> Emisi GRK dari sampah dibuang ke badan air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3">
                  <a:shade val="95000"/>
                </a:schemeClr>
              </a:contourClr>
            </a:sp3d>
          </c:spPr>
          <c:invertIfNegative val="0"/>
          <c:cat>
            <c:numRef>
              <c:f>'Rekapitulasi BaU Emisi GRK'!$A$35:$A$45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'Rekapitulasi BaU Emisi GRK'!$S$9:$S$29</c:f>
              <c:numCache>
                <c:formatCode>0.0000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A3D-4E3C-8DEE-62A0A2CA5931}"/>
            </c:ext>
          </c:extLst>
        </c:ser>
        <c:ser>
          <c:idx val="1"/>
          <c:order val="2"/>
          <c:tx>
            <c:strRef>
              <c:f>'Rekapitulasi BaU Emisi GRK'!$G$6:$I$6</c:f>
              <c:strCache>
                <c:ptCount val="1"/>
                <c:pt idx="0">
                  <c:v> Emisi GRK dari sampah terhampar sembarangan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numRef>
              <c:f>'Rekapitulasi BaU Emisi GRK'!$A$35:$A$45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'Rekapitulasi BaU Emisi GRK'!$I$9:$I$29</c:f>
              <c:numCache>
                <c:formatCode>0.00000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A3D-4E3C-8DEE-62A0A2CA5931}"/>
            </c:ext>
          </c:extLst>
        </c:ser>
        <c:ser>
          <c:idx val="0"/>
          <c:order val="3"/>
          <c:tx>
            <c:strRef>
              <c:f>'Rekapitulasi BaU Emisi GRK'!$B$6:$D$6</c:f>
              <c:strCache>
                <c:ptCount val="1"/>
                <c:pt idx="0">
                  <c:v> Emisi GRK TPA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numRef>
              <c:f>'Rekapitulasi BaU Emisi GRK'!$A$35:$A$45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'Rekapitulasi BaU Emisi GRK'!$D$9:$D$29</c:f>
              <c:numCache>
                <c:formatCode>0.00000</c:formatCode>
                <c:ptCount val="21"/>
                <c:pt idx="0">
                  <c:v>8.5794843082427779</c:v>
                </c:pt>
                <c:pt idx="1">
                  <c:v>8.8231149368929813</c:v>
                </c:pt>
                <c:pt idx="2">
                  <c:v>9.0571283468360075</c:v>
                </c:pt>
                <c:pt idx="3">
                  <c:v>9.284376865598972</c:v>
                </c:pt>
                <c:pt idx="4">
                  <c:v>9.5006239075001933</c:v>
                </c:pt>
                <c:pt idx="5">
                  <c:v>9.7111395620897873</c:v>
                </c:pt>
                <c:pt idx="6">
                  <c:v>9.9101509092641287</c:v>
                </c:pt>
                <c:pt idx="7">
                  <c:v>10.176128664028052</c:v>
                </c:pt>
                <c:pt idx="8">
                  <c:v>10.441578038694487</c:v>
                </c:pt>
                <c:pt idx="9">
                  <c:v>10.706179819172631</c:v>
                </c:pt>
                <c:pt idx="10">
                  <c:v>10.969772501636658</c:v>
                </c:pt>
                <c:pt idx="11">
                  <c:v>11.232293762976775</c:v>
                </c:pt>
                <c:pt idx="12">
                  <c:v>11.493742136282483</c:v>
                </c:pt>
                <c:pt idx="13">
                  <c:v>11.754152095674993</c:v>
                </c:pt>
                <c:pt idx="14">
                  <c:v>12.013578015716117</c:v>
                </c:pt>
                <c:pt idx="15">
                  <c:v>12.272083982983254</c:v>
                </c:pt>
                <c:pt idx="16">
                  <c:v>12.529737448488504</c:v>
                </c:pt>
                <c:pt idx="17">
                  <c:v>12.786605385111123</c:v>
                </c:pt>
                <c:pt idx="18">
                  <c:v>13.042752065097849</c:v>
                </c:pt>
                <c:pt idx="19">
                  <c:v>13.298237873309503</c:v>
                </c:pt>
                <c:pt idx="2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A3D-4E3C-8DEE-62A0A2CA5931}"/>
            </c:ext>
          </c:extLst>
        </c:ser>
        <c:ser>
          <c:idx val="4"/>
          <c:order val="4"/>
          <c:tx>
            <c:strRef>
              <c:f>'Rekapitulasi BaU Emisi GRK'!$B$58</c:f>
              <c:strCache>
                <c:ptCount val="1"/>
                <c:pt idx="0">
                  <c:v> Emisi GRK Dari Pembakaran Sampah</c:v>
                </c:pt>
              </c:strCache>
            </c:strRef>
          </c:tx>
          <c:invertIfNegative val="0"/>
          <c:cat>
            <c:numRef>
              <c:f>'Rekapitulasi BaU Emisi GRK'!$A$35:$A$45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'Rekapitulasi BaU Emisi GRK'!$F$61:$F$71</c:f>
              <c:numCache>
                <c:formatCode>0.000000</c:formatCode>
                <c:ptCount val="11"/>
                <c:pt idx="0">
                  <c:v>0.38046843190020002</c:v>
                </c:pt>
                <c:pt idx="1">
                  <c:v>0.38582706879059991</c:v>
                </c:pt>
                <c:pt idx="2">
                  <c:v>0.39148543488450005</c:v>
                </c:pt>
                <c:pt idx="3">
                  <c:v>0.39647397136709994</c:v>
                </c:pt>
                <c:pt idx="4">
                  <c:v>0.40198898871149996</c:v>
                </c:pt>
                <c:pt idx="5">
                  <c:v>0.40659178674089996</c:v>
                </c:pt>
                <c:pt idx="6">
                  <c:v>0.42254624192615997</c:v>
                </c:pt>
                <c:pt idx="7">
                  <c:v>0.43152612886302</c:v>
                </c:pt>
                <c:pt idx="8">
                  <c:v>0.44050601579987997</c:v>
                </c:pt>
                <c:pt idx="9">
                  <c:v>0.44948590273674</c:v>
                </c:pt>
                <c:pt idx="10">
                  <c:v>0.45846578967359997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2468296"/>
        <c:axId val="303338736"/>
        <c:axId val="0"/>
      </c:bar3DChart>
      <c:catAx>
        <c:axId val="132468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03338736"/>
        <c:crosses val="autoZero"/>
        <c:auto val="1"/>
        <c:lblAlgn val="ctr"/>
        <c:lblOffset val="100"/>
        <c:noMultiLvlLbl val="0"/>
      </c:catAx>
      <c:valAx>
        <c:axId val="30333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GG CO2eq</a:t>
                </a:r>
              </a:p>
            </c:rich>
          </c:tx>
          <c:layout>
            <c:manualLayout>
              <c:xMode val="edge"/>
              <c:yMode val="edge"/>
              <c:x val="4.9674414960116375E-2"/>
              <c:y val="0.256329515538726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32468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Baseline </a:t>
            </a:r>
            <a:r>
              <a:rPr lang="id-ID" baseline="0"/>
              <a:t> Emisi GRK dari </a:t>
            </a:r>
            <a:r>
              <a:rPr lang="en-US" baseline="0"/>
              <a:t>Pengelolaan Air Limbah Domestik</a:t>
            </a:r>
            <a:endParaRPr lang="id-ID" baseline="0"/>
          </a:p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baseline="0"/>
              <a:t>Periode 2000 - 2010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tx>
            <c:strRef>
              <c:f>'Rekapitulasi BaU Emisi GRK'!$D$86</c:f>
              <c:strCache>
                <c:ptCount val="1"/>
                <c:pt idx="0">
                  <c:v>Emisi N2O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numRef>
              <c:f>'Rekapitulasi BaU Emisi GRK'!$A$90:$A$100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'Rekapitulasi BaU Emisi GRK'!$E$90:$E$100</c:f>
              <c:numCache>
                <c:formatCode>_(* #,##0.00_);_(* \(#,##0.00\);_(* "-"??_);_(@_)</c:formatCode>
                <c:ptCount val="11"/>
                <c:pt idx="0">
                  <c:v>1.6067076911600002</c:v>
                </c:pt>
                <c:pt idx="1">
                  <c:v>1.5706365104571434</c:v>
                </c:pt>
                <c:pt idx="2">
                  <c:v>1.5711340002285716</c:v>
                </c:pt>
                <c:pt idx="3">
                  <c:v>1.6264770651590477</c:v>
                </c:pt>
                <c:pt idx="4">
                  <c:v>1.6491016253380952</c:v>
                </c:pt>
                <c:pt idx="5">
                  <c:v>1.6679839378504762</c:v>
                </c:pt>
                <c:pt idx="6">
                  <c:v>1.7334347803268573</c:v>
                </c:pt>
                <c:pt idx="7">
                  <c:v>1.7702734663575235</c:v>
                </c:pt>
                <c:pt idx="8">
                  <c:v>1.8071121523881906</c:v>
                </c:pt>
                <c:pt idx="9">
                  <c:v>1.8439508384188572</c:v>
                </c:pt>
                <c:pt idx="10">
                  <c:v>1.8807895244495241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B6-4E3B-B66E-53C1BCC44E9F}"/>
            </c:ext>
          </c:extLst>
        </c:ser>
        <c:ser>
          <c:idx val="0"/>
          <c:order val="1"/>
          <c:tx>
            <c:strRef>
              <c:f>'Rekapitulasi BaU Emisi GRK'!$B$86:$C$86</c:f>
              <c:strCache>
                <c:ptCount val="1"/>
                <c:pt idx="0">
                  <c:v>Emisi CH4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numRef>
              <c:f>'Rekapitulasi BaU Emisi GRK'!$A$90:$A$100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'Rekapitulasi BaU Emisi GRK'!$C$90:$C$100</c:f>
              <c:numCache>
                <c:formatCode>_(* #,##0.00_);_(* \(#,##0.00\);_(* "-"??_);_(@_)</c:formatCode>
                <c:ptCount val="11"/>
                <c:pt idx="0">
                  <c:v>3.2026215020688</c:v>
                </c:pt>
                <c:pt idx="1">
                  <c:v>3.2477282291664</c:v>
                </c:pt>
                <c:pt idx="2">
                  <c:v>3.2953579492679999</c:v>
                </c:pt>
                <c:pt idx="3">
                  <c:v>3.3373493284823992</c:v>
                </c:pt>
                <c:pt idx="4">
                  <c:v>3.3837723997560003</c:v>
                </c:pt>
                <c:pt idx="5">
                  <c:v>3.4225167966696004</c:v>
                </c:pt>
                <c:pt idx="6">
                  <c:v>3.5568146173190396</c:v>
                </c:pt>
                <c:pt idx="7">
                  <c:v>3.63240348771888</c:v>
                </c:pt>
                <c:pt idx="8">
                  <c:v>3.7079923581187209</c:v>
                </c:pt>
                <c:pt idx="9">
                  <c:v>3.7835812285185608</c:v>
                </c:pt>
                <c:pt idx="10">
                  <c:v>3.8591700989183995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1B6-4E3B-B66E-53C1BCC44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3339912"/>
        <c:axId val="303340304"/>
        <c:axId val="0"/>
      </c:bar3DChart>
      <c:catAx>
        <c:axId val="30333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340304"/>
        <c:crosses val="autoZero"/>
        <c:auto val="1"/>
        <c:lblAlgn val="ctr"/>
        <c:lblOffset val="100"/>
        <c:noMultiLvlLbl val="0"/>
      </c:catAx>
      <c:valAx>
        <c:axId val="30334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Gg</a:t>
                </a:r>
                <a:r>
                  <a:rPr lang="en-US" sz="2000" baseline="0"/>
                  <a:t> CO2 EQ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339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Grafik Emisi GRK dari Limbah Cair Domestik</a:t>
            </a:r>
            <a:r>
              <a:rPr lang="id-ID" baseline="0"/>
              <a:t> </a:t>
            </a:r>
          </a:p>
          <a:p>
            <a:pPr>
              <a:defRPr/>
            </a:pPr>
            <a:r>
              <a:rPr lang="id-ID" baseline="0"/>
              <a:t>Periode 2011 - 2030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'Rekapitulasi BaU Emisi GRK'!$A$86:$A$89</c:f>
              <c:strCache>
                <c:ptCount val="4"/>
                <c:pt idx="0">
                  <c:v>Tahun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'Rekapitulasi BaU Emisi GRK'!$A$90:$A$109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GRK'!$G$90:$G$109</c:f>
              <c:numCache>
                <c:formatCode>_(* #,##0.00_);_(* \(#,##0.00\);_(* "-"??_);_(@_)</c:formatCode>
                <c:ptCount val="20"/>
                <c:pt idx="0">
                  <c:v>4809.3291932288002</c:v>
                </c:pt>
                <c:pt idx="1">
                  <c:v>4818.3647396235438</c:v>
                </c:pt>
                <c:pt idx="2">
                  <c:v>4866.4919494965716</c:v>
                </c:pt>
                <c:pt idx="3">
                  <c:v>4963.8263936414469</c:v>
                </c:pt>
                <c:pt idx="4">
                  <c:v>5032.8740250940955</c:v>
                </c:pt>
                <c:pt idx="5">
                  <c:v>5090.5007345200765</c:v>
                </c:pt>
                <c:pt idx="6">
                  <c:v>5290.2493976458973</c:v>
                </c:pt>
                <c:pt idx="7">
                  <c:v>5402.6769540764035</c:v>
                </c:pt>
                <c:pt idx="8">
                  <c:v>5515.1045105069115</c:v>
                </c:pt>
                <c:pt idx="9">
                  <c:v>5627.5320669374178</c:v>
                </c:pt>
                <c:pt idx="10">
                  <c:v>5739.9596233679231</c:v>
                </c:pt>
                <c:pt idx="11">
                  <c:v>5852.3871797984311</c:v>
                </c:pt>
                <c:pt idx="12">
                  <c:v>5964.8147362289374</c:v>
                </c:pt>
                <c:pt idx="13">
                  <c:v>6077.2422926594445</c:v>
                </c:pt>
                <c:pt idx="14">
                  <c:v>6189.6698490899516</c:v>
                </c:pt>
                <c:pt idx="15">
                  <c:v>6302.097405520457</c:v>
                </c:pt>
                <c:pt idx="16">
                  <c:v>6414.524961950965</c:v>
                </c:pt>
                <c:pt idx="17">
                  <c:v>6526.9525183814703</c:v>
                </c:pt>
                <c:pt idx="18">
                  <c:v>6639.3800748119784</c:v>
                </c:pt>
                <c:pt idx="19">
                  <c:v>6751.8076312424855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341480"/>
        <c:axId val="303341872"/>
      </c:lineChart>
      <c:catAx>
        <c:axId val="303341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341872"/>
        <c:crosses val="autoZero"/>
        <c:auto val="1"/>
        <c:lblAlgn val="ctr"/>
        <c:lblOffset val="100"/>
        <c:noMultiLvlLbl val="0"/>
      </c:catAx>
      <c:valAx>
        <c:axId val="30334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341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Grafik</a:t>
            </a:r>
            <a:r>
              <a:rPr lang="id-ID" baseline="0"/>
              <a:t> Emisi GRK 2011 - 2030 Limbah Padat Domestik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'Rekapitulasi BaU Emisi GRK'!$H$61:$H$80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GRK'!$J$61:$J$80</c:f>
              <c:numCache>
                <c:formatCode>_(* #,##0.00_);_(* \(#,##0.00\);_(* "-"??_);_(@_)</c:formatCode>
                <c:ptCount val="20"/>
                <c:pt idx="0">
                  <c:v>15113.794090549563</c:v>
                </c:pt>
                <c:pt idx="1">
                  <c:v>15536.534794536446</c:v>
                </c:pt>
                <c:pt idx="2">
                  <c:v>15943.192987306427</c:v>
                </c:pt>
                <c:pt idx="3">
                  <c:v>16337.49636594828</c:v>
                </c:pt>
                <c:pt idx="4">
                  <c:v>16713.619667644449</c:v>
                </c:pt>
                <c:pt idx="5">
                  <c:v>17078.86772637652</c:v>
                </c:pt>
                <c:pt idx="6">
                  <c:v>17437.886385158978</c:v>
                </c:pt>
                <c:pt idx="7">
                  <c:v>17903.106760387469</c:v>
                </c:pt>
                <c:pt idx="8">
                  <c:v>18367.424058641995</c:v>
                </c:pt>
                <c:pt idx="9">
                  <c:v>18830.292697497065</c:v>
                </c:pt>
                <c:pt idx="10">
                  <c:v>19291.436643871577</c:v>
                </c:pt>
                <c:pt idx="11">
                  <c:v>19750.749378678851</c:v>
                </c:pt>
                <c:pt idx="12">
                  <c:v>20208.22839475955</c:v>
                </c:pt>
                <c:pt idx="13">
                  <c:v>20663.932613305475</c:v>
                </c:pt>
                <c:pt idx="14">
                  <c:v>21117.954968200709</c:v>
                </c:pt>
                <c:pt idx="15">
                  <c:v>21570.404992549684</c:v>
                </c:pt>
                <c:pt idx="16">
                  <c:v>22021.397969755741</c:v>
                </c:pt>
                <c:pt idx="17">
                  <c:v>22471.048366024974</c:v>
                </c:pt>
                <c:pt idx="18">
                  <c:v>22919.466031797183</c:v>
                </c:pt>
                <c:pt idx="19">
                  <c:v>23366.754173415011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342656"/>
        <c:axId val="306888848"/>
      </c:lineChart>
      <c:catAx>
        <c:axId val="30334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888848"/>
        <c:crosses val="autoZero"/>
        <c:auto val="1"/>
        <c:lblAlgn val="ctr"/>
        <c:lblOffset val="100"/>
        <c:noMultiLvlLbl val="0"/>
      </c:catAx>
      <c:valAx>
        <c:axId val="30688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34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257734</xdr:colOff>
      <xdr:row>29</xdr:row>
      <xdr:rowOff>118582</xdr:rowOff>
    </xdr:from>
    <xdr:to>
      <xdr:col>18</xdr:col>
      <xdr:colOff>95757</xdr:colOff>
      <xdr:row>42</xdr:row>
      <xdr:rowOff>156883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201706</xdr:colOff>
      <xdr:row>84</xdr:row>
      <xdr:rowOff>134472</xdr:rowOff>
    </xdr:from>
    <xdr:to>
      <xdr:col>18</xdr:col>
      <xdr:colOff>129378</xdr:colOff>
      <xdr:row>97</xdr:row>
      <xdr:rowOff>159939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219314</xdr:colOff>
      <xdr:row>98</xdr:row>
      <xdr:rowOff>112779</xdr:rowOff>
    </xdr:from>
    <xdr:to>
      <xdr:col>18</xdr:col>
      <xdr:colOff>212912</xdr:colOff>
      <xdr:row>115</xdr:row>
      <xdr:rowOff>156882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112057</xdr:colOff>
      <xdr:row>57</xdr:row>
      <xdr:rowOff>169209</xdr:rowOff>
    </xdr:from>
    <xdr:to>
      <xdr:col>18</xdr:col>
      <xdr:colOff>44823</xdr:colOff>
      <xdr:row>71</xdr:row>
      <xdr:rowOff>155762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581025</xdr:colOff>
      <xdr:row>23</xdr:row>
      <xdr:rowOff>114300</xdr:rowOff>
    </xdr:from>
    <xdr:to>
      <xdr:col>16</xdr:col>
      <xdr:colOff>571500</xdr:colOff>
      <xdr:row>23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CxnSpPr/>
      </xdr:nvCxnSpPr>
      <xdr:spPr>
        <a:xfrm flipV="1">
          <a:off x="13411200" y="4381500"/>
          <a:ext cx="6000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600075</xdr:colOff>
      <xdr:row>24</xdr:row>
      <xdr:rowOff>104775</xdr:rowOff>
    </xdr:from>
    <xdr:to>
      <xdr:col>16</xdr:col>
      <xdr:colOff>590550</xdr:colOff>
      <xdr:row>24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CxnSpPr/>
      </xdr:nvCxnSpPr>
      <xdr:spPr>
        <a:xfrm flipV="1">
          <a:off x="13430250" y="4562475"/>
          <a:ext cx="6000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</xdr:colOff>
      <xdr:row>31</xdr:row>
      <xdr:rowOff>114300</xdr:rowOff>
    </xdr:from>
    <xdr:to>
      <xdr:col>16</xdr:col>
      <xdr:colOff>590550</xdr:colOff>
      <xdr:row>31</xdr:row>
      <xdr:rowOff>114301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CxnSpPr/>
      </xdr:nvCxnSpPr>
      <xdr:spPr>
        <a:xfrm>
          <a:off x="12858750" y="5905500"/>
          <a:ext cx="1171575" cy="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</xdr:colOff>
      <xdr:row>32</xdr:row>
      <xdr:rowOff>85725</xdr:rowOff>
    </xdr:from>
    <xdr:to>
      <xdr:col>16</xdr:col>
      <xdr:colOff>600075</xdr:colOff>
      <xdr:row>32</xdr:row>
      <xdr:rowOff>95251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CxnSpPr/>
      </xdr:nvCxnSpPr>
      <xdr:spPr>
        <a:xfrm>
          <a:off x="12858750" y="6067425"/>
          <a:ext cx="1181100" cy="95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1_Data%20Jumlah%20Penduduk%20dan%20Pertumbuh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PU_IPCC%204A-TPA%20-%201_Diangkut%20TP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PU_IPCC%204A-TPA%20-%203_Dibuang%20Sembaranga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PU_IPCC%204A-TPA%20-%202_Open%20Dumping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PU_IPCC%204A-TPA%20-%204_Buang%20ke%20sunga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PU_IPCC%204A-TPA%20-%205_Peng%20biologi%20sampah%20+%20pembakaran%20sampah%20+%20Air%20Limbah%20(2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PU_Palm%20Oil%20Wastewater%20Indust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Sheet2"/>
    </sheetNames>
    <sheetDataSet>
      <sheetData sheetId="0"/>
      <sheetData sheetId="1">
        <row r="14">
          <cell r="H14">
            <v>145978</v>
          </cell>
        </row>
        <row r="15">
          <cell r="H15">
            <v>148034</v>
          </cell>
        </row>
        <row r="16">
          <cell r="H16">
            <v>150205</v>
          </cell>
        </row>
        <row r="17">
          <cell r="H17">
            <v>152119</v>
          </cell>
        </row>
        <row r="18">
          <cell r="H18">
            <v>154235</v>
          </cell>
        </row>
        <row r="19">
          <cell r="H19">
            <v>156001</v>
          </cell>
        </row>
        <row r="20">
          <cell r="H20">
            <v>162122.4</v>
          </cell>
        </row>
        <row r="21">
          <cell r="H21">
            <v>165567.79999999999</v>
          </cell>
        </row>
        <row r="22">
          <cell r="H22">
            <v>169013.2</v>
          </cell>
        </row>
        <row r="23">
          <cell r="H23">
            <v>172458.6</v>
          </cell>
        </row>
        <row r="24">
          <cell r="H24">
            <v>175904</v>
          </cell>
        </row>
        <row r="25">
          <cell r="H25">
            <v>179349.40000000002</v>
          </cell>
        </row>
        <row r="26">
          <cell r="H26">
            <v>182794.8</v>
          </cell>
        </row>
        <row r="27">
          <cell r="H27">
            <v>186240.2</v>
          </cell>
        </row>
        <row r="28">
          <cell r="H28">
            <v>189685.6</v>
          </cell>
        </row>
        <row r="29">
          <cell r="H29">
            <v>193131</v>
          </cell>
        </row>
        <row r="30">
          <cell r="H30">
            <v>196576.40000000002</v>
          </cell>
        </row>
        <row r="31">
          <cell r="H31">
            <v>200021.8</v>
          </cell>
        </row>
        <row r="32">
          <cell r="H32">
            <v>203467.2</v>
          </cell>
        </row>
        <row r="33">
          <cell r="H33">
            <v>206912.6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">
          <cell r="O28">
            <v>0.40854687182108468</v>
          </cell>
        </row>
        <row r="29">
          <cell r="O29">
            <v>0.42014833032823717</v>
          </cell>
        </row>
        <row r="30">
          <cell r="O30">
            <v>0.43129182603980987</v>
          </cell>
        </row>
        <row r="31">
          <cell r="O31">
            <v>0.44211318407614153</v>
          </cell>
        </row>
        <row r="32">
          <cell r="O32">
            <v>0.45241066226191395</v>
          </cell>
        </row>
        <row r="33">
          <cell r="O33">
            <v>0.46243521724237086</v>
          </cell>
        </row>
        <row r="34">
          <cell r="O34">
            <v>0.4719119480601966</v>
          </cell>
        </row>
        <row r="35">
          <cell r="O35">
            <v>0.48457755542990727</v>
          </cell>
        </row>
        <row r="36">
          <cell r="O36">
            <v>0.49721800184259468</v>
          </cell>
        </row>
        <row r="37">
          <cell r="O37">
            <v>0.50981808662726813</v>
          </cell>
        </row>
        <row r="38">
          <cell r="O38">
            <v>0.5223701191255552</v>
          </cell>
        </row>
        <row r="39">
          <cell r="O39">
            <v>0.53487113157032262</v>
          </cell>
        </row>
        <row r="40">
          <cell r="O40">
            <v>0.5473210541086897</v>
          </cell>
        </row>
        <row r="41">
          <cell r="O41">
            <v>0.55972152836547584</v>
          </cell>
        </row>
        <row r="42">
          <cell r="O42">
            <v>0.57207514360552936</v>
          </cell>
        </row>
        <row r="43">
          <cell r="O43">
            <v>0.58438495157063119</v>
          </cell>
        </row>
        <row r="44">
          <cell r="O44">
            <v>0.59665416421373829</v>
          </cell>
        </row>
        <row r="45">
          <cell r="O45">
            <v>0.60888597071957729</v>
          </cell>
        </row>
        <row r="46">
          <cell r="O46">
            <v>0.62108343167132618</v>
          </cell>
        </row>
        <row r="47">
          <cell r="O47">
            <v>0.63324942253854777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">
          <cell r="O28">
            <v>0</v>
          </cell>
        </row>
        <row r="29">
          <cell r="O29">
            <v>0</v>
          </cell>
        </row>
        <row r="30">
          <cell r="O30">
            <v>0</v>
          </cell>
        </row>
        <row r="31">
          <cell r="O31">
            <v>0</v>
          </cell>
        </row>
        <row r="32">
          <cell r="O32">
            <v>0</v>
          </cell>
        </row>
        <row r="33">
          <cell r="O33">
            <v>0</v>
          </cell>
        </row>
        <row r="34">
          <cell r="O34">
            <v>0</v>
          </cell>
        </row>
        <row r="35">
          <cell r="O35">
            <v>0</v>
          </cell>
        </row>
        <row r="36">
          <cell r="O36">
            <v>0</v>
          </cell>
        </row>
        <row r="37">
          <cell r="O37">
            <v>0</v>
          </cell>
        </row>
        <row r="38">
          <cell r="O38">
            <v>0</v>
          </cell>
        </row>
        <row r="39">
          <cell r="O39">
            <v>0</v>
          </cell>
        </row>
        <row r="40">
          <cell r="O40">
            <v>0</v>
          </cell>
        </row>
        <row r="41">
          <cell r="O41">
            <v>0</v>
          </cell>
        </row>
        <row r="42">
          <cell r="O42">
            <v>0</v>
          </cell>
        </row>
        <row r="43">
          <cell r="O43">
            <v>0</v>
          </cell>
        </row>
        <row r="44">
          <cell r="O44">
            <v>0</v>
          </cell>
        </row>
        <row r="45">
          <cell r="O45">
            <v>0</v>
          </cell>
        </row>
        <row r="46">
          <cell r="O46">
            <v>0</v>
          </cell>
        </row>
        <row r="47">
          <cell r="O47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">
          <cell r="O28">
            <v>0.28971802210507552</v>
          </cell>
        </row>
        <row r="29">
          <cell r="O29">
            <v>0.29794511144061264</v>
          </cell>
        </row>
        <row r="30">
          <cell r="O30">
            <v>0.30584743981361528</v>
          </cell>
        </row>
        <row r="31">
          <cell r="O31">
            <v>0.31352132661343846</v>
          </cell>
        </row>
        <row r="32">
          <cell r="O32">
            <v>0.3208237078539406</v>
          </cell>
        </row>
        <row r="33">
          <cell r="O33">
            <v>0.32793254760218243</v>
          </cell>
        </row>
        <row r="34">
          <cell r="O34">
            <v>0.33465290185755681</v>
          </cell>
        </row>
        <row r="35">
          <cell r="O35">
            <v>0.34363462456554267</v>
          </cell>
        </row>
        <row r="36">
          <cell r="O36">
            <v>0.35259850456512504</v>
          </cell>
        </row>
        <row r="37">
          <cell r="O37">
            <v>0.36153376241179508</v>
          </cell>
        </row>
        <row r="38">
          <cell r="O38">
            <v>0.37043494433149149</v>
          </cell>
        </row>
        <row r="39">
          <cell r="O39">
            <v>0.37929994575388648</v>
          </cell>
        </row>
        <row r="40">
          <cell r="O40">
            <v>0.38812871714332137</v>
          </cell>
        </row>
        <row r="41">
          <cell r="O41">
            <v>0.39692242264601424</v>
          </cell>
        </row>
        <row r="42">
          <cell r="O42">
            <v>0.40568289842016919</v>
          </cell>
        </row>
        <row r="43">
          <cell r="O43">
            <v>0.41441230858612044</v>
          </cell>
        </row>
        <row r="44">
          <cell r="O44">
            <v>0.42311293087678453</v>
          </cell>
        </row>
        <row r="45">
          <cell r="O45">
            <v>0.43178702687915377</v>
          </cell>
        </row>
        <row r="46">
          <cell r="O46">
            <v>0.44043676698337386</v>
          </cell>
        </row>
        <row r="47">
          <cell r="O47">
            <v>0.44906419030762701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">
          <cell r="O28">
            <v>0</v>
          </cell>
        </row>
        <row r="29">
          <cell r="O29">
            <v>0</v>
          </cell>
        </row>
        <row r="30">
          <cell r="O30">
            <v>0</v>
          </cell>
        </row>
        <row r="31">
          <cell r="O31">
            <v>0</v>
          </cell>
        </row>
        <row r="32">
          <cell r="O32">
            <v>0</v>
          </cell>
        </row>
        <row r="33">
          <cell r="O33">
            <v>0</v>
          </cell>
        </row>
        <row r="34">
          <cell r="O34">
            <v>0</v>
          </cell>
        </row>
        <row r="35">
          <cell r="O35">
            <v>0</v>
          </cell>
        </row>
        <row r="36">
          <cell r="O36">
            <v>0</v>
          </cell>
        </row>
        <row r="37">
          <cell r="O37">
            <v>0</v>
          </cell>
        </row>
        <row r="38">
          <cell r="O38">
            <v>0</v>
          </cell>
        </row>
        <row r="39">
          <cell r="O39">
            <v>0</v>
          </cell>
        </row>
        <row r="40">
          <cell r="O40">
            <v>0</v>
          </cell>
        </row>
        <row r="41">
          <cell r="O41">
            <v>0</v>
          </cell>
        </row>
        <row r="42">
          <cell r="O42">
            <v>0</v>
          </cell>
        </row>
        <row r="43">
          <cell r="O43">
            <v>0</v>
          </cell>
        </row>
        <row r="44">
          <cell r="O44">
            <v>0</v>
          </cell>
        </row>
        <row r="45">
          <cell r="O45">
            <v>0</v>
          </cell>
        </row>
        <row r="46">
          <cell r="O46">
            <v>0</v>
          </cell>
        </row>
        <row r="47">
          <cell r="O47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A_DOC"/>
      <sheetName val="4B_CH4 emissions"/>
      <sheetName val="4B_N2O emission"/>
      <sheetName val="REKAPITULASI"/>
      <sheetName val="4C1_Amount_Waste_OpenBurned"/>
      <sheetName val="4C2_CO2_OpenBurning"/>
      <sheetName val="4C2_CH4_OpenBurning"/>
      <sheetName val="4C2_N2O_OpenBurning"/>
      <sheetName val="4D1_TOW_DomesticWastewater"/>
      <sheetName val="4D1_CH4_EF_DomesticWastewater"/>
      <sheetName val="4D1_CH4_Domestic_Wastewater"/>
      <sheetName val="4D1_N_effluent"/>
      <sheetName val="4D1_Indirect_N2O"/>
    </sheetNames>
    <sheetDataSet>
      <sheetData sheetId="0"/>
      <sheetData sheetId="1"/>
      <sheetData sheetId="2"/>
      <sheetData sheetId="3">
        <row r="6">
          <cell r="B6">
            <v>1.5765624E-3</v>
          </cell>
          <cell r="D6">
            <v>1.1824218E-4</v>
          </cell>
        </row>
        <row r="7">
          <cell r="B7">
            <v>1.5987672000000001E-3</v>
          </cell>
          <cell r="D7">
            <v>1.1990754000000001E-4</v>
          </cell>
        </row>
        <row r="8">
          <cell r="B8">
            <v>1.6222140000000001E-3</v>
          </cell>
          <cell r="D8">
            <v>1.2166605E-4</v>
          </cell>
        </row>
        <row r="9">
          <cell r="B9">
            <v>1.6428852000000002E-3</v>
          </cell>
          <cell r="D9">
            <v>1.2321639000000001E-4</v>
          </cell>
        </row>
        <row r="10">
          <cell r="B10">
            <v>1.6657379999999999E-3</v>
          </cell>
          <cell r="D10">
            <v>1.2493035E-4</v>
          </cell>
        </row>
        <row r="11">
          <cell r="B11">
            <v>1.6848108000000002E-3</v>
          </cell>
          <cell r="D11">
            <v>1.2636081000000002E-4</v>
          </cell>
        </row>
        <row r="12">
          <cell r="B12">
            <v>1.7509219200000001E-3</v>
          </cell>
          <cell r="D12">
            <v>1.3131914399999999E-4</v>
          </cell>
        </row>
        <row r="13">
          <cell r="B13">
            <v>1.7881322399999999E-3</v>
          </cell>
          <cell r="D13">
            <v>1.34109918E-4</v>
          </cell>
        </row>
        <row r="14">
          <cell r="B14">
            <v>1.8253425600000001E-3</v>
          </cell>
          <cell r="D14">
            <v>1.3690069200000002E-4</v>
          </cell>
        </row>
        <row r="15">
          <cell r="B15">
            <v>1.8625528799999999E-3</v>
          </cell>
          <cell r="D15">
            <v>1.3969146599999998E-4</v>
          </cell>
        </row>
        <row r="16">
          <cell r="B16">
            <v>1.8997632000000001E-3</v>
          </cell>
          <cell r="D16">
            <v>1.4248224E-4</v>
          </cell>
        </row>
        <row r="17">
          <cell r="B17">
            <v>1.9369735199999999E-3</v>
          </cell>
          <cell r="D17">
            <v>1.4527301400000001E-4</v>
          </cell>
        </row>
        <row r="18">
          <cell r="B18">
            <v>1.9741838400000001E-3</v>
          </cell>
          <cell r="D18">
            <v>1.48063788E-4</v>
          </cell>
        </row>
        <row r="19">
          <cell r="B19">
            <v>2.0113941599999999E-3</v>
          </cell>
          <cell r="D19">
            <v>1.5085456199999999E-4</v>
          </cell>
        </row>
        <row r="20">
          <cell r="B20">
            <v>2.0486044799999997E-3</v>
          </cell>
          <cell r="D20">
            <v>1.5364533599999998E-4</v>
          </cell>
        </row>
        <row r="21">
          <cell r="B21">
            <v>2.0858147999999999E-3</v>
          </cell>
          <cell r="D21">
            <v>1.5643611E-4</v>
          </cell>
        </row>
        <row r="22">
          <cell r="B22">
            <v>2.1230251200000001E-3</v>
          </cell>
          <cell r="D22">
            <v>1.5922688400000001E-4</v>
          </cell>
        </row>
        <row r="23">
          <cell r="B23">
            <v>2.1602354399999995E-3</v>
          </cell>
          <cell r="D23">
            <v>1.6201765799999998E-4</v>
          </cell>
        </row>
        <row r="24">
          <cell r="B24">
            <v>2.1974457600000001E-3</v>
          </cell>
          <cell r="D24">
            <v>1.6480843199999997E-4</v>
          </cell>
        </row>
        <row r="25">
          <cell r="B25">
            <v>2.2346560800000003E-3</v>
          </cell>
          <cell r="D25">
            <v>1.6759920600000001E-4</v>
          </cell>
        </row>
        <row r="32">
          <cell r="B32">
            <v>1.35139060511E-2</v>
          </cell>
          <cell r="D32">
            <v>3.1185937040999998E-4</v>
          </cell>
        </row>
        <row r="33">
          <cell r="B33">
            <v>1.3704240148299997E-2</v>
          </cell>
          <cell r="D33">
            <v>3.1625169572999996E-4</v>
          </cell>
        </row>
        <row r="34">
          <cell r="B34">
            <v>1.3905220364750002E-2</v>
          </cell>
          <cell r="D34">
            <v>3.2088970072500009E-4</v>
          </cell>
        </row>
        <row r="35">
          <cell r="B35">
            <v>1.4082408819049999E-2</v>
          </cell>
          <cell r="D35">
            <v>3.2497866505499997E-4</v>
          </cell>
        </row>
        <row r="36">
          <cell r="B36">
            <v>1.4278297413249999E-2</v>
          </cell>
          <cell r="D36">
            <v>3.29499171075E-4</v>
          </cell>
        </row>
        <row r="37">
          <cell r="B37">
            <v>1.4441784774949997E-2</v>
          </cell>
          <cell r="D37">
            <v>3.3327195634499994E-4</v>
          </cell>
        </row>
        <row r="38">
          <cell r="B38">
            <v>1.5008473073879999E-2</v>
          </cell>
          <cell r="D38">
            <v>3.4634937862799997E-4</v>
          </cell>
        </row>
        <row r="39">
          <cell r="B39">
            <v>1.5327430806610001E-2</v>
          </cell>
          <cell r="D39">
            <v>3.5370994169099998E-4</v>
          </cell>
        </row>
        <row r="40">
          <cell r="B40">
            <v>1.564638853934E-2</v>
          </cell>
          <cell r="D40">
            <v>3.61070504754E-4</v>
          </cell>
        </row>
        <row r="41">
          <cell r="B41">
            <v>1.596534627207E-2</v>
          </cell>
          <cell r="D41">
            <v>3.6843106781699996E-4</v>
          </cell>
        </row>
        <row r="42">
          <cell r="B42">
            <v>1.62843040048E-2</v>
          </cell>
          <cell r="D42">
            <v>3.7579163087999998E-4</v>
          </cell>
        </row>
        <row r="43">
          <cell r="B43">
            <v>1.6603261737530003E-2</v>
          </cell>
          <cell r="D43">
            <v>3.8315219394300005E-4</v>
          </cell>
        </row>
        <row r="44">
          <cell r="B44">
            <v>1.692221947026E-2</v>
          </cell>
          <cell r="D44">
            <v>3.9051275700600002E-4</v>
          </cell>
        </row>
        <row r="45">
          <cell r="B45">
            <v>1.7241177202990003E-2</v>
          </cell>
          <cell r="D45">
            <v>3.9787332006900003E-4</v>
          </cell>
        </row>
        <row r="46">
          <cell r="B46">
            <v>1.7560134935720006E-2</v>
          </cell>
          <cell r="D46">
            <v>4.0523388313200005E-4</v>
          </cell>
        </row>
        <row r="47">
          <cell r="B47">
            <v>1.7879092668449999E-2</v>
          </cell>
          <cell r="D47">
            <v>4.1259444619500007E-4</v>
          </cell>
        </row>
        <row r="48">
          <cell r="B48">
            <v>1.8198050401180003E-2</v>
          </cell>
          <cell r="D48">
            <v>4.1995500925800014E-4</v>
          </cell>
        </row>
        <row r="49">
          <cell r="B49">
            <v>1.8517008133909999E-2</v>
          </cell>
          <cell r="D49">
            <v>4.27315572321E-4</v>
          </cell>
        </row>
        <row r="50">
          <cell r="B50">
            <v>1.8835965866640002E-2</v>
          </cell>
          <cell r="D50">
            <v>4.3467613538400007E-4</v>
          </cell>
        </row>
        <row r="51">
          <cell r="B51">
            <v>1.9154923599370002E-2</v>
          </cell>
          <cell r="D51">
            <v>4.4203669844700003E-4</v>
          </cell>
        </row>
        <row r="59">
          <cell r="B59">
            <v>0.1525057858128</v>
          </cell>
          <cell r="D59">
            <v>5.1829280360000006E-3</v>
          </cell>
        </row>
        <row r="60">
          <cell r="B60">
            <v>0.15465372519840001</v>
          </cell>
          <cell r="D60">
            <v>5.0665693885714302E-3</v>
          </cell>
        </row>
        <row r="61">
          <cell r="B61">
            <v>0.15692180710799999</v>
          </cell>
          <cell r="D61">
            <v>5.0681741942857151E-3</v>
          </cell>
        </row>
        <row r="62">
          <cell r="B62">
            <v>0.15892139659439997</v>
          </cell>
          <cell r="D62">
            <v>5.2467002101904761E-3</v>
          </cell>
        </row>
        <row r="63">
          <cell r="B63">
            <v>0.16113201903600002</v>
          </cell>
          <cell r="D63">
            <v>5.3196826623809522E-3</v>
          </cell>
        </row>
        <row r="64">
          <cell r="B64">
            <v>0.16297699031760002</v>
          </cell>
          <cell r="D64">
            <v>5.3805933479047618E-3</v>
          </cell>
        </row>
        <row r="65">
          <cell r="B65">
            <v>0.16937212463423998</v>
          </cell>
          <cell r="D65">
            <v>5.5917250978285721E-3</v>
          </cell>
        </row>
        <row r="66">
          <cell r="B66">
            <v>0.17297159465327999</v>
          </cell>
          <cell r="D66">
            <v>5.7105595688952369E-3</v>
          </cell>
        </row>
        <row r="67">
          <cell r="B67">
            <v>0.17657106467232003</v>
          </cell>
          <cell r="D67">
            <v>5.8293940399619052E-3</v>
          </cell>
        </row>
        <row r="68">
          <cell r="B68">
            <v>0.18017053469136005</v>
          </cell>
          <cell r="D68">
            <v>5.9482285110285717E-3</v>
          </cell>
        </row>
        <row r="69">
          <cell r="B69">
            <v>0.18377000471039998</v>
          </cell>
          <cell r="D69">
            <v>6.0670629820952391E-3</v>
          </cell>
        </row>
        <row r="70">
          <cell r="B70">
            <v>0.18736947472944004</v>
          </cell>
          <cell r="D70">
            <v>6.1858974531619065E-3</v>
          </cell>
        </row>
        <row r="71">
          <cell r="B71">
            <v>0.19096894474847997</v>
          </cell>
          <cell r="D71">
            <v>6.3047319242285731E-3</v>
          </cell>
        </row>
        <row r="72">
          <cell r="B72">
            <v>0.19456841476752001</v>
          </cell>
          <cell r="D72">
            <v>6.4235663952952396E-3</v>
          </cell>
        </row>
        <row r="73">
          <cell r="B73">
            <v>0.19816788478656006</v>
          </cell>
          <cell r="D73">
            <v>6.5424008663619053E-3</v>
          </cell>
        </row>
        <row r="74">
          <cell r="B74">
            <v>0.20176735480560001</v>
          </cell>
          <cell r="D74">
            <v>6.6612353374285709E-3</v>
          </cell>
        </row>
        <row r="75">
          <cell r="B75">
            <v>0.20536682482464003</v>
          </cell>
          <cell r="D75">
            <v>6.7800698084952401E-3</v>
          </cell>
        </row>
        <row r="76">
          <cell r="B76">
            <v>0.20896629484368001</v>
          </cell>
          <cell r="D76">
            <v>6.8989042795619048E-3</v>
          </cell>
        </row>
        <row r="77">
          <cell r="B77">
            <v>0.21256576486272</v>
          </cell>
          <cell r="D77">
            <v>7.0177387506285731E-3</v>
          </cell>
        </row>
        <row r="78">
          <cell r="B78">
            <v>0.21616523488176004</v>
          </cell>
          <cell r="D78">
            <v>7.1365732216952379E-3</v>
          </cell>
        </row>
      </sheetData>
      <sheetData sheetId="4"/>
      <sheetData sheetId="5">
        <row r="14">
          <cell r="M14">
            <v>0.36544769440214148</v>
          </cell>
        </row>
        <row r="15">
          <cell r="M15">
            <v>0.37080718576593003</v>
          </cell>
        </row>
        <row r="16">
          <cell r="M16">
            <v>0.3755322278987217</v>
          </cell>
        </row>
        <row r="17">
          <cell r="M17">
            <v>0.38075594218972864</v>
          </cell>
        </row>
        <row r="18">
          <cell r="M18">
            <v>0.385115620563036</v>
          </cell>
        </row>
        <row r="19">
          <cell r="M19">
            <v>0.40022736189619784</v>
          </cell>
        </row>
        <row r="20">
          <cell r="M20">
            <v>0.4087329314700332</v>
          </cell>
        </row>
        <row r="21">
          <cell r="M21">
            <v>0.4172385010438685</v>
          </cell>
        </row>
        <row r="22">
          <cell r="M22">
            <v>0.42574407061770381</v>
          </cell>
        </row>
        <row r="23">
          <cell r="M23">
            <v>0.43424964019153911</v>
          </cell>
        </row>
        <row r="24">
          <cell r="M24">
            <v>0.44275520976537452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B_CH4 emissions"/>
      <sheetName val="4B_N2O emission"/>
      <sheetName val="4C1_CO2_Incineration"/>
      <sheetName val="4C2_Amount_Waste_OpenBurned"/>
      <sheetName val="4C2_CO2_OpenBurning"/>
      <sheetName val="4C1_CO2_fossil_liquid"/>
      <sheetName val="4C1_CH4_Incineration"/>
      <sheetName val="4C2_CH4_OpenBurning"/>
      <sheetName val="4C1_N2O_Incineration"/>
      <sheetName val="4C2_N2O_OpenBurning"/>
      <sheetName val="4D1_TOW_DomesticWastewater"/>
      <sheetName val="4D1_CH4_EF_DomesticWastewater"/>
      <sheetName val="4D1_CH4_Domestic_Wastewater"/>
      <sheetName val="4D2_TOW_IndustryWastewater"/>
      <sheetName val="4D2_CH4_EF_IndustrialWastewater"/>
      <sheetName val="4D2_CH4_Industrial_Wastewater"/>
      <sheetName val="4D1_N_effluent"/>
      <sheetName val="4D1_Indirect_N2O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2">
          <cell r="G12">
            <v>3081840</v>
          </cell>
        </row>
        <row r="13">
          <cell r="G13">
            <v>2831292</v>
          </cell>
        </row>
        <row r="14">
          <cell r="G14">
            <v>2203596</v>
          </cell>
        </row>
        <row r="15">
          <cell r="G15">
            <v>2667972</v>
          </cell>
        </row>
        <row r="16">
          <cell r="G16">
            <v>2775696</v>
          </cell>
        </row>
        <row r="17">
          <cell r="G17">
            <v>2719554</v>
          </cell>
        </row>
        <row r="18">
          <cell r="G18">
            <v>4665707.34</v>
          </cell>
        </row>
        <row r="19">
          <cell r="G19">
            <v>4973672.4479999989</v>
          </cell>
        </row>
        <row r="20">
          <cell r="G20">
            <v>5290202.1239999998</v>
          </cell>
        </row>
        <row r="21">
          <cell r="G21">
            <v>5615296.3679999989</v>
          </cell>
        </row>
        <row r="22">
          <cell r="G22">
            <v>5594525.5799999982</v>
          </cell>
        </row>
        <row r="23">
          <cell r="G23">
            <v>5568793.919999999</v>
          </cell>
        </row>
        <row r="24">
          <cell r="G24">
            <v>5538101.3879999984</v>
          </cell>
        </row>
        <row r="25">
          <cell r="G25">
            <v>5502447.9839999992</v>
          </cell>
        </row>
        <row r="26">
          <cell r="G26">
            <v>5461833.7079999987</v>
          </cell>
        </row>
        <row r="27">
          <cell r="G27">
            <v>5416258.5599999987</v>
          </cell>
        </row>
        <row r="28">
          <cell r="G28">
            <v>5365722.5399999991</v>
          </cell>
        </row>
        <row r="29">
          <cell r="G29">
            <v>5310225.6479999982</v>
          </cell>
        </row>
        <row r="30">
          <cell r="G30">
            <v>5249767.8839999977</v>
          </cell>
        </row>
        <row r="31">
          <cell r="G31">
            <v>5336671.1519999979</v>
          </cell>
        </row>
      </sheetData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zoomScale="85" zoomScaleNormal="85" workbookViewId="0">
      <selection activeCell="C5" sqref="C5:C24"/>
    </sheetView>
  </sheetViews>
  <sheetFormatPr defaultRowHeight="15" x14ac:dyDescent="0.25"/>
  <cols>
    <col min="1" max="1" width="9.140625" style="79"/>
    <col min="2" max="2" width="18.42578125" style="79" customWidth="1"/>
    <col min="3" max="3" width="19.42578125" style="79" customWidth="1"/>
    <col min="4" max="4" width="14" style="79" customWidth="1"/>
    <col min="5" max="5" width="16.7109375" style="79" customWidth="1"/>
    <col min="6" max="9" width="9.140625" style="79"/>
    <col min="10" max="10" width="7.5703125" style="79" customWidth="1"/>
    <col min="11" max="11" width="2" style="79" customWidth="1"/>
    <col min="12" max="12" width="5.7109375" style="79" customWidth="1"/>
    <col min="13" max="16384" width="9.140625" style="79"/>
  </cols>
  <sheetData>
    <row r="1" spans="1:14" x14ac:dyDescent="0.25">
      <c r="A1" s="79" t="s">
        <v>124</v>
      </c>
    </row>
    <row r="2" spans="1:14" ht="21" x14ac:dyDescent="0.25">
      <c r="G2" s="80" t="s">
        <v>18</v>
      </c>
    </row>
    <row r="3" spans="1:14" ht="15.75" customHeight="1" x14ac:dyDescent="0.25">
      <c r="A3" s="170" t="s">
        <v>11</v>
      </c>
      <c r="B3" s="170" t="s">
        <v>125</v>
      </c>
      <c r="C3" s="78" t="s">
        <v>12</v>
      </c>
      <c r="D3" s="169" t="s">
        <v>12</v>
      </c>
      <c r="E3" s="169"/>
      <c r="G3" s="81" t="s">
        <v>16</v>
      </c>
      <c r="H3" s="81"/>
      <c r="I3" s="81"/>
    </row>
    <row r="4" spans="1:14" x14ac:dyDescent="0.25">
      <c r="A4" s="171"/>
      <c r="B4" s="171"/>
      <c r="C4" s="78" t="s">
        <v>119</v>
      </c>
      <c r="D4" s="78" t="s">
        <v>14</v>
      </c>
      <c r="E4" s="78" t="s">
        <v>15</v>
      </c>
      <c r="G4" s="81" t="s">
        <v>17</v>
      </c>
      <c r="H4" s="81"/>
      <c r="I4" s="81"/>
    </row>
    <row r="5" spans="1:14" x14ac:dyDescent="0.25">
      <c r="A5" s="88">
        <v>2011</v>
      </c>
      <c r="B5" s="89">
        <f>[1]Sheet3!H14</f>
        <v>145978</v>
      </c>
      <c r="C5" s="167">
        <v>0.2</v>
      </c>
      <c r="D5" s="152">
        <f t="shared" ref="D5:D24" si="0">C5*B5</f>
        <v>29195.600000000002</v>
      </c>
      <c r="E5" s="152">
        <f>D5/1000</f>
        <v>29.195600000000002</v>
      </c>
    </row>
    <row r="6" spans="1:14" x14ac:dyDescent="0.25">
      <c r="A6" s="88">
        <v>2012</v>
      </c>
      <c r="B6" s="89">
        <f>[1]Sheet3!H15</f>
        <v>148034</v>
      </c>
      <c r="C6" s="167">
        <v>0.2</v>
      </c>
      <c r="D6" s="152">
        <f t="shared" si="0"/>
        <v>29606.800000000003</v>
      </c>
      <c r="E6" s="152">
        <f t="shared" ref="E6:E24" si="1">D6/1000</f>
        <v>29.606800000000003</v>
      </c>
      <c r="G6" s="82" t="s">
        <v>37</v>
      </c>
      <c r="H6" s="82"/>
      <c r="I6" s="82"/>
      <c r="J6" s="83">
        <v>2</v>
      </c>
      <c r="K6" s="84" t="s">
        <v>33</v>
      </c>
      <c r="L6" s="83">
        <v>3</v>
      </c>
      <c r="M6" s="82" t="s">
        <v>38</v>
      </c>
      <c r="N6" s="82"/>
    </row>
    <row r="7" spans="1:14" x14ac:dyDescent="0.25">
      <c r="A7" s="88">
        <v>2013</v>
      </c>
      <c r="B7" s="89">
        <f>[1]Sheet3!H16</f>
        <v>150205</v>
      </c>
      <c r="C7" s="167">
        <v>0.2</v>
      </c>
      <c r="D7" s="152">
        <f t="shared" si="0"/>
        <v>30041</v>
      </c>
      <c r="E7" s="152">
        <f t="shared" si="1"/>
        <v>30.041</v>
      </c>
      <c r="G7" s="82"/>
      <c r="H7" s="82"/>
      <c r="I7" s="82"/>
      <c r="J7" s="83">
        <f>(2*250)/1000</f>
        <v>0.5</v>
      </c>
      <c r="K7" s="84" t="s">
        <v>33</v>
      </c>
      <c r="L7" s="83">
        <f>(3*250)/1000</f>
        <v>0.75</v>
      </c>
      <c r="M7" s="82" t="s">
        <v>13</v>
      </c>
      <c r="N7" s="82"/>
    </row>
    <row r="8" spans="1:14" x14ac:dyDescent="0.25">
      <c r="A8" s="88">
        <v>2014</v>
      </c>
      <c r="B8" s="89">
        <f>[1]Sheet3!H17</f>
        <v>152119</v>
      </c>
      <c r="C8" s="167">
        <v>0.2</v>
      </c>
      <c r="D8" s="152">
        <f t="shared" si="0"/>
        <v>30423.800000000003</v>
      </c>
      <c r="E8" s="152">
        <f t="shared" si="1"/>
        <v>30.423800000000004</v>
      </c>
      <c r="G8" s="82"/>
      <c r="H8" s="82"/>
      <c r="I8" s="82"/>
      <c r="J8" s="85">
        <f>J7*(365/1000)</f>
        <v>0.1825</v>
      </c>
      <c r="K8" s="86" t="s">
        <v>33</v>
      </c>
      <c r="L8" s="85">
        <f>L7*(365/1000)</f>
        <v>0.27374999999999999</v>
      </c>
      <c r="M8" s="82" t="s">
        <v>39</v>
      </c>
      <c r="N8" s="82"/>
    </row>
    <row r="9" spans="1:14" x14ac:dyDescent="0.25">
      <c r="A9" s="88">
        <v>2015</v>
      </c>
      <c r="B9" s="89">
        <f>[1]Sheet3!H18</f>
        <v>154235</v>
      </c>
      <c r="C9" s="167">
        <v>0.2</v>
      </c>
      <c r="D9" s="152">
        <f t="shared" si="0"/>
        <v>30847</v>
      </c>
      <c r="E9" s="152">
        <f t="shared" si="1"/>
        <v>30.847000000000001</v>
      </c>
    </row>
    <row r="10" spans="1:14" x14ac:dyDescent="0.25">
      <c r="A10" s="88">
        <v>2016</v>
      </c>
      <c r="B10" s="89">
        <f>[1]Sheet3!H19</f>
        <v>156001</v>
      </c>
      <c r="C10" s="167">
        <v>0.2</v>
      </c>
      <c r="D10" s="152">
        <f t="shared" si="0"/>
        <v>31200.2</v>
      </c>
      <c r="E10" s="152">
        <f t="shared" si="1"/>
        <v>31.200200000000002</v>
      </c>
      <c r="G10" s="87" t="s">
        <v>34</v>
      </c>
      <c r="H10" s="87"/>
      <c r="I10" s="87" t="s">
        <v>35</v>
      </c>
      <c r="J10" s="87"/>
      <c r="K10" s="87"/>
    </row>
    <row r="11" spans="1:14" x14ac:dyDescent="0.25">
      <c r="A11" s="88">
        <v>2017</v>
      </c>
      <c r="B11" s="89">
        <f>[1]Sheet3!H20</f>
        <v>162122.4</v>
      </c>
      <c r="C11" s="167">
        <v>0.2</v>
      </c>
      <c r="D11" s="152">
        <f t="shared" si="0"/>
        <v>32424.48</v>
      </c>
      <c r="E11" s="152">
        <f t="shared" si="1"/>
        <v>32.424480000000003</v>
      </c>
      <c r="G11" s="87"/>
      <c r="H11" s="87"/>
      <c r="I11" s="87" t="s">
        <v>36</v>
      </c>
      <c r="J11" s="87"/>
      <c r="K11" s="87"/>
    </row>
    <row r="12" spans="1:14" x14ac:dyDescent="0.25">
      <c r="A12" s="88">
        <v>2018</v>
      </c>
      <c r="B12" s="89">
        <f>[1]Sheet3!H21</f>
        <v>165567.79999999999</v>
      </c>
      <c r="C12" s="167">
        <v>0.2</v>
      </c>
      <c r="D12" s="152">
        <f t="shared" si="0"/>
        <v>33113.56</v>
      </c>
      <c r="E12" s="152">
        <f t="shared" si="1"/>
        <v>33.11356</v>
      </c>
    </row>
    <row r="13" spans="1:14" x14ac:dyDescent="0.25">
      <c r="A13" s="88">
        <v>2019</v>
      </c>
      <c r="B13" s="89">
        <f>[1]Sheet3!H22</f>
        <v>169013.2</v>
      </c>
      <c r="C13" s="167">
        <v>0.2</v>
      </c>
      <c r="D13" s="152">
        <f t="shared" si="0"/>
        <v>33802.640000000007</v>
      </c>
      <c r="E13" s="152">
        <f t="shared" si="1"/>
        <v>33.802640000000004</v>
      </c>
    </row>
    <row r="14" spans="1:14" x14ac:dyDescent="0.25">
      <c r="A14" s="88">
        <v>2020</v>
      </c>
      <c r="B14" s="89">
        <f>[1]Sheet3!H23</f>
        <v>172458.6</v>
      </c>
      <c r="C14" s="167">
        <v>0.2</v>
      </c>
      <c r="D14" s="152">
        <f t="shared" si="0"/>
        <v>34491.72</v>
      </c>
      <c r="E14" s="152">
        <f t="shared" si="1"/>
        <v>34.491720000000001</v>
      </c>
    </row>
    <row r="15" spans="1:14" x14ac:dyDescent="0.25">
      <c r="A15" s="88">
        <v>2021</v>
      </c>
      <c r="B15" s="89">
        <f>[1]Sheet3!H24</f>
        <v>175904</v>
      </c>
      <c r="C15" s="167">
        <v>0.2</v>
      </c>
      <c r="D15" s="152">
        <f t="shared" si="0"/>
        <v>35180.800000000003</v>
      </c>
      <c r="E15" s="152">
        <f t="shared" si="1"/>
        <v>35.180800000000005</v>
      </c>
    </row>
    <row r="16" spans="1:14" x14ac:dyDescent="0.25">
      <c r="A16" s="88">
        <v>2022</v>
      </c>
      <c r="B16" s="89">
        <f>[1]Sheet3!H25</f>
        <v>179349.40000000002</v>
      </c>
      <c r="C16" s="167">
        <v>0.2</v>
      </c>
      <c r="D16" s="152">
        <f t="shared" si="0"/>
        <v>35869.880000000005</v>
      </c>
      <c r="E16" s="152">
        <f t="shared" si="1"/>
        <v>35.869880000000002</v>
      </c>
    </row>
    <row r="17" spans="1:10" x14ac:dyDescent="0.25">
      <c r="A17" s="88">
        <v>2023</v>
      </c>
      <c r="B17" s="89">
        <f>[1]Sheet3!H26</f>
        <v>182794.8</v>
      </c>
      <c r="C17" s="167">
        <v>0.2</v>
      </c>
      <c r="D17" s="152">
        <f t="shared" si="0"/>
        <v>36558.959999999999</v>
      </c>
      <c r="E17" s="152">
        <f t="shared" si="1"/>
        <v>36.558959999999999</v>
      </c>
      <c r="G17" s="90"/>
      <c r="H17" s="90"/>
      <c r="I17" s="90"/>
      <c r="J17" s="90"/>
    </row>
    <row r="18" spans="1:10" x14ac:dyDescent="0.25">
      <c r="A18" s="88">
        <v>2024</v>
      </c>
      <c r="B18" s="89">
        <f>[1]Sheet3!H27</f>
        <v>186240.2</v>
      </c>
      <c r="C18" s="167">
        <v>0.2</v>
      </c>
      <c r="D18" s="152">
        <f t="shared" si="0"/>
        <v>37248.04</v>
      </c>
      <c r="E18" s="152">
        <f t="shared" si="1"/>
        <v>37.248040000000003</v>
      </c>
      <c r="G18" s="90"/>
      <c r="H18" s="90"/>
      <c r="I18" s="90"/>
      <c r="J18" s="90"/>
    </row>
    <row r="19" spans="1:10" x14ac:dyDescent="0.25">
      <c r="A19" s="88">
        <v>2025</v>
      </c>
      <c r="B19" s="89">
        <f>[1]Sheet3!H28</f>
        <v>189685.6</v>
      </c>
      <c r="C19" s="167">
        <v>0.2</v>
      </c>
      <c r="D19" s="152">
        <f t="shared" si="0"/>
        <v>37937.120000000003</v>
      </c>
      <c r="E19" s="152">
        <f t="shared" si="1"/>
        <v>37.93712</v>
      </c>
      <c r="G19" s="90"/>
      <c r="H19" s="90"/>
      <c r="I19" s="90"/>
      <c r="J19" s="90"/>
    </row>
    <row r="20" spans="1:10" x14ac:dyDescent="0.25">
      <c r="A20" s="88">
        <v>2026</v>
      </c>
      <c r="B20" s="89">
        <f>[1]Sheet3!H29</f>
        <v>193131</v>
      </c>
      <c r="C20" s="167">
        <v>0.2</v>
      </c>
      <c r="D20" s="152">
        <f t="shared" si="0"/>
        <v>38626.200000000004</v>
      </c>
      <c r="E20" s="152">
        <f t="shared" si="1"/>
        <v>38.626200000000004</v>
      </c>
      <c r="G20" s="90"/>
      <c r="H20" s="90"/>
      <c r="I20" s="90"/>
      <c r="J20" s="90"/>
    </row>
    <row r="21" spans="1:10" x14ac:dyDescent="0.25">
      <c r="A21" s="88">
        <v>2027</v>
      </c>
      <c r="B21" s="89">
        <f>[1]Sheet3!H30</f>
        <v>196576.40000000002</v>
      </c>
      <c r="C21" s="167">
        <v>0.2</v>
      </c>
      <c r="D21" s="152">
        <f t="shared" si="0"/>
        <v>39315.280000000006</v>
      </c>
      <c r="E21" s="152">
        <f t="shared" si="1"/>
        <v>39.315280000000008</v>
      </c>
      <c r="G21" s="90"/>
      <c r="H21" s="90"/>
      <c r="I21" s="90"/>
      <c r="J21" s="90"/>
    </row>
    <row r="22" spans="1:10" x14ac:dyDescent="0.25">
      <c r="A22" s="88">
        <v>2028</v>
      </c>
      <c r="B22" s="89">
        <f>[1]Sheet3!H31</f>
        <v>200021.8</v>
      </c>
      <c r="C22" s="167">
        <v>0.2</v>
      </c>
      <c r="D22" s="152">
        <f t="shared" si="0"/>
        <v>40004.36</v>
      </c>
      <c r="E22" s="152">
        <f t="shared" si="1"/>
        <v>40.004359999999998</v>
      </c>
      <c r="G22" s="90"/>
      <c r="H22" s="90"/>
      <c r="I22" s="90"/>
      <c r="J22" s="90"/>
    </row>
    <row r="23" spans="1:10" x14ac:dyDescent="0.25">
      <c r="A23" s="88">
        <v>2029</v>
      </c>
      <c r="B23" s="89">
        <f>[1]Sheet3!H32</f>
        <v>203467.2</v>
      </c>
      <c r="C23" s="167">
        <v>0.2</v>
      </c>
      <c r="D23" s="152">
        <f t="shared" si="0"/>
        <v>40693.440000000002</v>
      </c>
      <c r="E23" s="152">
        <f t="shared" si="1"/>
        <v>40.693440000000002</v>
      </c>
      <c r="G23" s="90"/>
      <c r="H23" s="90"/>
      <c r="I23" s="90"/>
      <c r="J23" s="90"/>
    </row>
    <row r="24" spans="1:10" x14ac:dyDescent="0.25">
      <c r="A24" s="88">
        <v>2030</v>
      </c>
      <c r="B24" s="89">
        <f>[1]Sheet3!H33</f>
        <v>206912.6</v>
      </c>
      <c r="C24" s="167">
        <v>0.2</v>
      </c>
      <c r="D24" s="152">
        <f t="shared" si="0"/>
        <v>41382.520000000004</v>
      </c>
      <c r="E24" s="152">
        <f t="shared" si="1"/>
        <v>41.382520000000007</v>
      </c>
      <c r="G24" s="90"/>
      <c r="H24" s="90"/>
      <c r="I24" s="90"/>
      <c r="J24" s="90"/>
    </row>
  </sheetData>
  <mergeCells count="3">
    <mergeCell ref="D3:E3"/>
    <mergeCell ref="B3:B4"/>
    <mergeCell ref="A3:A4"/>
  </mergeCell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Y48"/>
  <sheetViews>
    <sheetView topLeftCell="A31" zoomScaleNormal="100" workbookViewId="0">
      <selection activeCell="B6" sqref="B6:H25"/>
    </sheetView>
  </sheetViews>
  <sheetFormatPr defaultRowHeight="12.75" x14ac:dyDescent="0.25"/>
  <cols>
    <col min="1" max="1" width="9.140625" style="146"/>
    <col min="2" max="2" width="15.5703125" style="146" customWidth="1"/>
    <col min="3" max="3" width="11" style="146" customWidth="1"/>
    <col min="4" max="6" width="9.140625" style="146"/>
    <col min="7" max="7" width="12.28515625" style="146" customWidth="1"/>
    <col min="8" max="8" width="9.140625" style="146"/>
    <col min="9" max="9" width="16.85546875" style="146" customWidth="1"/>
    <col min="10" max="11" width="9.140625" style="146"/>
    <col min="12" max="12" width="9" style="153" bestFit="1" customWidth="1"/>
    <col min="13" max="13" width="12" style="153" bestFit="1" customWidth="1"/>
    <col min="14" max="14" width="2.42578125" style="153" customWidth="1"/>
    <col min="15" max="15" width="7.140625" style="153" customWidth="1"/>
    <col min="16" max="19" width="9.140625" style="153"/>
    <col min="20" max="20" width="1.42578125" style="153" customWidth="1"/>
    <col min="21" max="21" width="7.140625" style="153" customWidth="1"/>
    <col min="22" max="22" width="50.28515625" style="153" customWidth="1"/>
    <col min="23" max="25" width="9.140625" style="153"/>
    <col min="26" max="16384" width="9.140625" style="146"/>
  </cols>
  <sheetData>
    <row r="2" spans="1:21" x14ac:dyDescent="0.25">
      <c r="A2" s="172" t="s">
        <v>9</v>
      </c>
      <c r="B2" s="172"/>
      <c r="C2" s="172"/>
      <c r="D2" s="172"/>
      <c r="E2" s="172"/>
      <c r="F2" s="172"/>
      <c r="G2" s="172"/>
      <c r="H2" s="172"/>
      <c r="I2" s="172"/>
    </row>
    <row r="3" spans="1:21" x14ac:dyDescent="0.25">
      <c r="A3" s="154" t="s">
        <v>153</v>
      </c>
    </row>
    <row r="4" spans="1:21" x14ac:dyDescent="0.25">
      <c r="A4" s="173" t="s">
        <v>8</v>
      </c>
      <c r="B4" s="173" t="s">
        <v>0</v>
      </c>
      <c r="C4" s="173"/>
      <c r="D4" s="173"/>
      <c r="E4" s="173"/>
      <c r="F4" s="173"/>
      <c r="G4" s="173"/>
      <c r="H4" s="173"/>
      <c r="I4" s="177" t="s">
        <v>10</v>
      </c>
    </row>
    <row r="5" spans="1:21" ht="25.5" x14ac:dyDescent="0.25">
      <c r="A5" s="173"/>
      <c r="B5" s="151" t="s">
        <v>1</v>
      </c>
      <c r="C5" s="151" t="s">
        <v>2</v>
      </c>
      <c r="D5" s="151" t="s">
        <v>149</v>
      </c>
      <c r="E5" s="151" t="s">
        <v>4</v>
      </c>
      <c r="F5" s="151" t="s">
        <v>5</v>
      </c>
      <c r="G5" s="151" t="s">
        <v>128</v>
      </c>
      <c r="H5" s="151" t="s">
        <v>7</v>
      </c>
      <c r="I5" s="178"/>
      <c r="P5" s="155"/>
    </row>
    <row r="6" spans="1:21" ht="17.25" customHeight="1" x14ac:dyDescent="0.25">
      <c r="A6" s="156">
        <v>2011</v>
      </c>
      <c r="B6" s="168">
        <v>0.31609999999999999</v>
      </c>
      <c r="C6" s="168">
        <f>4%+9.35%+8.46%+6.21%</f>
        <v>0.2802</v>
      </c>
      <c r="D6" s="168">
        <v>1.35E-2</v>
      </c>
      <c r="E6" s="168">
        <v>0.39019999999999999</v>
      </c>
      <c r="F6" s="91"/>
      <c r="G6" s="91"/>
      <c r="H6" s="91"/>
      <c r="I6" s="157">
        <f>SUM(B6:H6)</f>
        <v>1</v>
      </c>
      <c r="L6" s="92"/>
    </row>
    <row r="7" spans="1:21" x14ac:dyDescent="0.25">
      <c r="A7" s="156">
        <v>2012</v>
      </c>
      <c r="B7" s="168">
        <v>0.31609999999999999</v>
      </c>
      <c r="C7" s="168">
        <f t="shared" ref="C7:C25" si="0">4%+9.35%+8.46%+6.21%</f>
        <v>0.2802</v>
      </c>
      <c r="D7" s="168">
        <v>1.35E-2</v>
      </c>
      <c r="E7" s="168">
        <v>0.39019999999999999</v>
      </c>
      <c r="F7" s="91"/>
      <c r="G7" s="91"/>
      <c r="H7" s="91"/>
      <c r="I7" s="157">
        <f t="shared" ref="I7:I25" si="1">SUM(B7:H7)</f>
        <v>1</v>
      </c>
      <c r="L7" s="153">
        <v>2000</v>
      </c>
      <c r="M7" s="153">
        <f>M8-(M8*0.024)</f>
        <v>0</v>
      </c>
      <c r="N7" s="93"/>
      <c r="O7" s="94"/>
      <c r="P7" s="155"/>
      <c r="S7" s="158"/>
      <c r="T7" s="159"/>
      <c r="U7" s="158"/>
    </row>
    <row r="8" spans="1:21" x14ac:dyDescent="0.25">
      <c r="A8" s="156">
        <v>2013</v>
      </c>
      <c r="B8" s="168">
        <v>0.31609999999999999</v>
      </c>
      <c r="C8" s="168">
        <f t="shared" si="0"/>
        <v>0.2802</v>
      </c>
      <c r="D8" s="168">
        <v>1.35E-2</v>
      </c>
      <c r="E8" s="168">
        <v>0.39019999999999999</v>
      </c>
      <c r="F8" s="91"/>
      <c r="G8" s="91"/>
      <c r="H8" s="91"/>
      <c r="I8" s="157">
        <f t="shared" si="1"/>
        <v>1</v>
      </c>
      <c r="L8" s="153">
        <v>2001</v>
      </c>
      <c r="M8" s="153">
        <f t="shared" ref="M8:M10" si="2">M9-(M9*0.024)</f>
        <v>0</v>
      </c>
      <c r="N8" s="94"/>
      <c r="O8" s="94"/>
      <c r="P8" s="155"/>
      <c r="S8" s="160"/>
      <c r="T8" s="160"/>
      <c r="U8" s="160"/>
    </row>
    <row r="9" spans="1:21" x14ac:dyDescent="0.25">
      <c r="A9" s="156">
        <v>2014</v>
      </c>
      <c r="B9" s="168">
        <v>0.31609999999999999</v>
      </c>
      <c r="C9" s="168">
        <f t="shared" si="0"/>
        <v>0.2802</v>
      </c>
      <c r="D9" s="168">
        <v>1.35E-2</v>
      </c>
      <c r="E9" s="168">
        <v>0.39019999999999999</v>
      </c>
      <c r="F9" s="91"/>
      <c r="G9" s="91"/>
      <c r="H9" s="91"/>
      <c r="I9" s="157">
        <f t="shared" si="1"/>
        <v>1</v>
      </c>
      <c r="L9" s="153">
        <v>2002</v>
      </c>
      <c r="M9" s="153">
        <f t="shared" si="2"/>
        <v>0</v>
      </c>
      <c r="N9" s="94"/>
      <c r="O9" s="94"/>
      <c r="P9" s="155"/>
    </row>
    <row r="10" spans="1:21" x14ac:dyDescent="0.25">
      <c r="A10" s="156">
        <v>2015</v>
      </c>
      <c r="B10" s="168">
        <v>0.31609999999999999</v>
      </c>
      <c r="C10" s="168">
        <f t="shared" si="0"/>
        <v>0.2802</v>
      </c>
      <c r="D10" s="168">
        <v>1.35E-2</v>
      </c>
      <c r="E10" s="168">
        <v>0.39019999999999999</v>
      </c>
      <c r="F10" s="91"/>
      <c r="G10" s="91"/>
      <c r="H10" s="91"/>
      <c r="I10" s="157">
        <f t="shared" si="1"/>
        <v>1</v>
      </c>
      <c r="L10" s="153">
        <v>2003</v>
      </c>
      <c r="M10" s="153">
        <f t="shared" si="2"/>
        <v>0</v>
      </c>
      <c r="N10" s="93"/>
      <c r="O10" s="94"/>
      <c r="P10" s="155"/>
    </row>
    <row r="11" spans="1:21" x14ac:dyDescent="0.25">
      <c r="A11" s="156">
        <v>2016</v>
      </c>
      <c r="B11" s="168">
        <v>0.31609999999999999</v>
      </c>
      <c r="C11" s="168">
        <f t="shared" si="0"/>
        <v>0.2802</v>
      </c>
      <c r="D11" s="168">
        <v>1.35E-2</v>
      </c>
      <c r="E11" s="168">
        <v>0.39019999999999999</v>
      </c>
      <c r="F11" s="91"/>
      <c r="G11" s="91"/>
      <c r="H11" s="91"/>
      <c r="I11" s="157">
        <f t="shared" si="1"/>
        <v>1</v>
      </c>
      <c r="L11" s="153">
        <v>2004</v>
      </c>
      <c r="M11" s="153">
        <f>M12-(M12*0.024)</f>
        <v>0</v>
      </c>
    </row>
    <row r="12" spans="1:21" x14ac:dyDescent="0.25">
      <c r="A12" s="156">
        <v>2017</v>
      </c>
      <c r="B12" s="168">
        <v>0.31609999999999999</v>
      </c>
      <c r="C12" s="168">
        <f t="shared" si="0"/>
        <v>0.2802</v>
      </c>
      <c r="D12" s="168">
        <v>1.35E-2</v>
      </c>
      <c r="E12" s="168">
        <v>0.39019999999999999</v>
      </c>
      <c r="F12" s="91"/>
      <c r="G12" s="91"/>
      <c r="H12" s="91"/>
      <c r="I12" s="157">
        <f t="shared" si="1"/>
        <v>1</v>
      </c>
      <c r="L12" s="153">
        <v>2005</v>
      </c>
      <c r="M12" s="153">
        <f>M13-(M13*O29)</f>
        <v>0</v>
      </c>
    </row>
    <row r="13" spans="1:21" x14ac:dyDescent="0.25">
      <c r="A13" s="156">
        <v>2018</v>
      </c>
      <c r="B13" s="168">
        <v>0.31609999999999999</v>
      </c>
      <c r="C13" s="168">
        <f t="shared" si="0"/>
        <v>0.2802</v>
      </c>
      <c r="D13" s="168">
        <v>1.35E-2</v>
      </c>
      <c r="E13" s="168">
        <v>0.39019999999999999</v>
      </c>
      <c r="F13" s="91"/>
      <c r="G13" s="91"/>
      <c r="H13" s="91"/>
      <c r="I13" s="157">
        <f t="shared" si="1"/>
        <v>1</v>
      </c>
      <c r="L13" s="153">
        <v>2006</v>
      </c>
      <c r="M13" s="153">
        <f>M14-(M14*O29)</f>
        <v>0</v>
      </c>
    </row>
    <row r="14" spans="1:21" x14ac:dyDescent="0.25">
      <c r="A14" s="156">
        <v>2019</v>
      </c>
      <c r="B14" s="168">
        <v>0.31609999999999999</v>
      </c>
      <c r="C14" s="168">
        <f t="shared" si="0"/>
        <v>0.2802</v>
      </c>
      <c r="D14" s="168">
        <v>1.35E-2</v>
      </c>
      <c r="E14" s="168">
        <v>0.39019999999999999</v>
      </c>
      <c r="F14" s="91"/>
      <c r="G14" s="91"/>
      <c r="H14" s="91"/>
      <c r="I14" s="157">
        <f t="shared" si="1"/>
        <v>1</v>
      </c>
      <c r="L14" s="153">
        <v>2007</v>
      </c>
      <c r="M14" s="153">
        <f>M15-(M15*O29)</f>
        <v>0</v>
      </c>
      <c r="P14" s="155"/>
    </row>
    <row r="15" spans="1:21" x14ac:dyDescent="0.25">
      <c r="A15" s="156">
        <v>2020</v>
      </c>
      <c r="B15" s="168">
        <v>0.31609999999999999</v>
      </c>
      <c r="C15" s="168">
        <f t="shared" si="0"/>
        <v>0.2802</v>
      </c>
      <c r="D15" s="168">
        <v>1.35E-2</v>
      </c>
      <c r="E15" s="168">
        <v>0.39019999999999999</v>
      </c>
      <c r="F15" s="91"/>
      <c r="G15" s="91"/>
      <c r="H15" s="91"/>
      <c r="I15" s="157">
        <f t="shared" si="1"/>
        <v>1</v>
      </c>
      <c r="L15" s="153">
        <v>2008</v>
      </c>
      <c r="M15" s="153">
        <f>M27-(M27*O29)</f>
        <v>0</v>
      </c>
      <c r="S15" s="158"/>
    </row>
    <row r="16" spans="1:21" x14ac:dyDescent="0.25">
      <c r="A16" s="156">
        <v>2021</v>
      </c>
      <c r="B16" s="168">
        <v>0.31609999999999999</v>
      </c>
      <c r="C16" s="168">
        <f t="shared" si="0"/>
        <v>0.2802</v>
      </c>
      <c r="D16" s="168">
        <v>1.35E-2</v>
      </c>
      <c r="E16" s="168">
        <v>0.39019999999999999</v>
      </c>
      <c r="F16" s="91"/>
      <c r="G16" s="91"/>
      <c r="H16" s="91"/>
      <c r="I16" s="157">
        <f t="shared" si="1"/>
        <v>1</v>
      </c>
      <c r="S16" s="158"/>
    </row>
    <row r="17" spans="1:19" x14ac:dyDescent="0.25">
      <c r="A17" s="156">
        <v>2022</v>
      </c>
      <c r="B17" s="168">
        <v>0.31609999999999999</v>
      </c>
      <c r="C17" s="168">
        <f t="shared" si="0"/>
        <v>0.2802</v>
      </c>
      <c r="D17" s="168">
        <v>1.35E-2</v>
      </c>
      <c r="E17" s="168">
        <v>0.39019999999999999</v>
      </c>
      <c r="F17" s="91"/>
      <c r="G17" s="91"/>
      <c r="H17" s="91"/>
      <c r="I17" s="157">
        <f t="shared" si="1"/>
        <v>1</v>
      </c>
      <c r="S17" s="158"/>
    </row>
    <row r="18" spans="1:19" x14ac:dyDescent="0.25">
      <c r="A18" s="156">
        <v>2023</v>
      </c>
      <c r="B18" s="168">
        <v>0.31609999999999999</v>
      </c>
      <c r="C18" s="168">
        <f t="shared" si="0"/>
        <v>0.2802</v>
      </c>
      <c r="D18" s="168">
        <v>1.35E-2</v>
      </c>
      <c r="E18" s="168">
        <v>0.39019999999999999</v>
      </c>
      <c r="F18" s="91"/>
      <c r="G18" s="91"/>
      <c r="H18" s="91"/>
      <c r="I18" s="157">
        <f t="shared" si="1"/>
        <v>1</v>
      </c>
      <c r="S18" s="158"/>
    </row>
    <row r="19" spans="1:19" x14ac:dyDescent="0.25">
      <c r="A19" s="156">
        <v>2024</v>
      </c>
      <c r="B19" s="168">
        <v>0.31609999999999999</v>
      </c>
      <c r="C19" s="168">
        <f t="shared" si="0"/>
        <v>0.2802</v>
      </c>
      <c r="D19" s="168">
        <v>1.35E-2</v>
      </c>
      <c r="E19" s="168">
        <v>0.39019999999999999</v>
      </c>
      <c r="F19" s="91"/>
      <c r="G19" s="91"/>
      <c r="H19" s="91"/>
      <c r="I19" s="157">
        <f t="shared" si="1"/>
        <v>1</v>
      </c>
      <c r="S19" s="158"/>
    </row>
    <row r="20" spans="1:19" x14ac:dyDescent="0.25">
      <c r="A20" s="156">
        <v>2025</v>
      </c>
      <c r="B20" s="168">
        <v>0.31609999999999999</v>
      </c>
      <c r="C20" s="168">
        <f t="shared" si="0"/>
        <v>0.2802</v>
      </c>
      <c r="D20" s="168">
        <v>1.35E-2</v>
      </c>
      <c r="E20" s="168">
        <v>0.39019999999999999</v>
      </c>
      <c r="F20" s="91"/>
      <c r="G20" s="91"/>
      <c r="H20" s="91"/>
      <c r="I20" s="157">
        <f t="shared" si="1"/>
        <v>1</v>
      </c>
      <c r="S20" s="158"/>
    </row>
    <row r="21" spans="1:19" x14ac:dyDescent="0.25">
      <c r="A21" s="156">
        <v>2026</v>
      </c>
      <c r="B21" s="168">
        <v>0.31609999999999999</v>
      </c>
      <c r="C21" s="168">
        <f t="shared" si="0"/>
        <v>0.2802</v>
      </c>
      <c r="D21" s="168">
        <v>1.35E-2</v>
      </c>
      <c r="E21" s="168">
        <v>0.39019999999999999</v>
      </c>
      <c r="F21" s="91"/>
      <c r="G21" s="91"/>
      <c r="H21" s="91"/>
      <c r="I21" s="157">
        <f t="shared" si="1"/>
        <v>1</v>
      </c>
      <c r="S21" s="158"/>
    </row>
    <row r="22" spans="1:19" x14ac:dyDescent="0.25">
      <c r="A22" s="156">
        <v>2027</v>
      </c>
      <c r="B22" s="168">
        <v>0.31609999999999999</v>
      </c>
      <c r="C22" s="168">
        <f t="shared" si="0"/>
        <v>0.2802</v>
      </c>
      <c r="D22" s="168">
        <v>1.35E-2</v>
      </c>
      <c r="E22" s="168">
        <v>0.39019999999999999</v>
      </c>
      <c r="F22" s="91"/>
      <c r="G22" s="91"/>
      <c r="H22" s="91"/>
      <c r="I22" s="157">
        <f t="shared" si="1"/>
        <v>1</v>
      </c>
      <c r="S22" s="158"/>
    </row>
    <row r="23" spans="1:19" x14ac:dyDescent="0.25">
      <c r="A23" s="156">
        <v>2028</v>
      </c>
      <c r="B23" s="168">
        <v>0.31609999999999999</v>
      </c>
      <c r="C23" s="168">
        <f t="shared" si="0"/>
        <v>0.2802</v>
      </c>
      <c r="D23" s="168">
        <v>1.35E-2</v>
      </c>
      <c r="E23" s="168">
        <v>0.39019999999999999</v>
      </c>
      <c r="F23" s="91"/>
      <c r="G23" s="91"/>
      <c r="H23" s="91"/>
      <c r="I23" s="157">
        <f t="shared" si="1"/>
        <v>1</v>
      </c>
      <c r="S23" s="158"/>
    </row>
    <row r="24" spans="1:19" x14ac:dyDescent="0.25">
      <c r="A24" s="156">
        <v>2029</v>
      </c>
      <c r="B24" s="168">
        <v>0.31609999999999999</v>
      </c>
      <c r="C24" s="168">
        <f t="shared" si="0"/>
        <v>0.2802</v>
      </c>
      <c r="D24" s="168">
        <v>1.35E-2</v>
      </c>
      <c r="E24" s="168">
        <v>0.39019999999999999</v>
      </c>
      <c r="F24" s="91"/>
      <c r="G24" s="91"/>
      <c r="H24" s="91"/>
      <c r="I24" s="157">
        <f t="shared" si="1"/>
        <v>1</v>
      </c>
      <c r="S24" s="158"/>
    </row>
    <row r="25" spans="1:19" x14ac:dyDescent="0.25">
      <c r="A25" s="156">
        <v>2030</v>
      </c>
      <c r="B25" s="168">
        <v>0.31609999999999999</v>
      </c>
      <c r="C25" s="168">
        <f t="shared" si="0"/>
        <v>0.2802</v>
      </c>
      <c r="D25" s="168">
        <v>1.35E-2</v>
      </c>
      <c r="E25" s="168">
        <v>0.39019999999999999</v>
      </c>
      <c r="F25" s="91"/>
      <c r="G25" s="91"/>
      <c r="H25" s="91"/>
      <c r="I25" s="157">
        <f t="shared" si="1"/>
        <v>1</v>
      </c>
      <c r="S25" s="158"/>
    </row>
    <row r="26" spans="1:19" ht="14.25" customHeight="1" x14ac:dyDescent="0.25"/>
    <row r="27" spans="1:19" x14ac:dyDescent="0.25">
      <c r="A27" s="173" t="s">
        <v>11</v>
      </c>
      <c r="B27" s="174" t="s">
        <v>150</v>
      </c>
      <c r="C27" s="175"/>
      <c r="D27" s="175"/>
      <c r="E27" s="175"/>
      <c r="F27" s="175"/>
      <c r="G27" s="175"/>
      <c r="H27" s="176"/>
      <c r="I27" s="177" t="s">
        <v>40</v>
      </c>
    </row>
    <row r="28" spans="1:19" ht="25.5" x14ac:dyDescent="0.25">
      <c r="A28" s="173"/>
      <c r="B28" s="151" t="s">
        <v>1</v>
      </c>
      <c r="C28" s="151" t="s">
        <v>2</v>
      </c>
      <c r="D28" s="151" t="s">
        <v>149</v>
      </c>
      <c r="E28" s="145" t="s">
        <v>4</v>
      </c>
      <c r="F28" s="151" t="s">
        <v>5</v>
      </c>
      <c r="G28" s="151" t="s">
        <v>128</v>
      </c>
      <c r="H28" s="145" t="s">
        <v>7</v>
      </c>
      <c r="I28" s="178"/>
    </row>
    <row r="29" spans="1:19" x14ac:dyDescent="0.25">
      <c r="A29" s="156">
        <v>2011</v>
      </c>
      <c r="B29" s="161">
        <f t="shared" ref="B29:H29" si="3">$I$29*B6</f>
        <v>9.2287291600000003</v>
      </c>
      <c r="C29" s="161">
        <f t="shared" si="3"/>
        <v>8.1806071200000012</v>
      </c>
      <c r="D29" s="161">
        <f t="shared" si="3"/>
        <v>0.39414060000000001</v>
      </c>
      <c r="E29" s="162">
        <f t="shared" si="3"/>
        <v>11.392123120000001</v>
      </c>
      <c r="F29" s="161">
        <f t="shared" si="3"/>
        <v>0</v>
      </c>
      <c r="G29" s="161">
        <f t="shared" si="3"/>
        <v>0</v>
      </c>
      <c r="H29" s="163">
        <f t="shared" si="3"/>
        <v>0</v>
      </c>
      <c r="I29" s="164">
        <f>'timbulan sampah'!E5</f>
        <v>29.195600000000002</v>
      </c>
      <c r="J29" s="165">
        <f>SUM(B29:H29)</f>
        <v>29.195600000000002</v>
      </c>
    </row>
    <row r="30" spans="1:19" x14ac:dyDescent="0.25">
      <c r="A30" s="156">
        <v>2012</v>
      </c>
      <c r="B30" s="161">
        <f t="shared" ref="B30:H30" si="4">$I$30*B7</f>
        <v>9.3587094800000017</v>
      </c>
      <c r="C30" s="161">
        <f t="shared" si="4"/>
        <v>8.2958253600000003</v>
      </c>
      <c r="D30" s="161">
        <f t="shared" si="4"/>
        <v>0.39969180000000004</v>
      </c>
      <c r="E30" s="162">
        <f t="shared" si="4"/>
        <v>11.55257336</v>
      </c>
      <c r="F30" s="161">
        <f t="shared" si="4"/>
        <v>0</v>
      </c>
      <c r="G30" s="161">
        <f t="shared" si="4"/>
        <v>0</v>
      </c>
      <c r="H30" s="163">
        <f t="shared" si="4"/>
        <v>0</v>
      </c>
      <c r="I30" s="164">
        <f>'timbulan sampah'!E6</f>
        <v>29.606800000000003</v>
      </c>
      <c r="J30" s="165">
        <f t="shared" ref="J30:J48" si="5">SUM(B30:H30)</f>
        <v>29.606800000000003</v>
      </c>
    </row>
    <row r="31" spans="1:19" x14ac:dyDescent="0.25">
      <c r="A31" s="156">
        <v>2013</v>
      </c>
      <c r="B31" s="161">
        <f t="shared" ref="B31:H31" si="6">$I$31*B8</f>
        <v>9.4959600999999996</v>
      </c>
      <c r="C31" s="161">
        <f t="shared" si="6"/>
        <v>8.4174882000000011</v>
      </c>
      <c r="D31" s="161">
        <f t="shared" si="6"/>
        <v>0.40555350000000001</v>
      </c>
      <c r="E31" s="162">
        <f t="shared" si="6"/>
        <v>11.7219982</v>
      </c>
      <c r="F31" s="161">
        <f t="shared" si="6"/>
        <v>0</v>
      </c>
      <c r="G31" s="161">
        <f t="shared" si="6"/>
        <v>0</v>
      </c>
      <c r="H31" s="163">
        <f t="shared" si="6"/>
        <v>0</v>
      </c>
      <c r="I31" s="164">
        <f>'timbulan sampah'!E7</f>
        <v>30.041</v>
      </c>
      <c r="J31" s="165">
        <f t="shared" si="5"/>
        <v>30.040999999999997</v>
      </c>
    </row>
    <row r="32" spans="1:19" x14ac:dyDescent="0.25">
      <c r="A32" s="156">
        <v>2014</v>
      </c>
      <c r="B32" s="161">
        <f t="shared" ref="B32:H32" si="7">$I$32*B9</f>
        <v>9.6169631800000008</v>
      </c>
      <c r="C32" s="161">
        <f t="shared" si="7"/>
        <v>8.5247487600000014</v>
      </c>
      <c r="D32" s="161">
        <f t="shared" si="7"/>
        <v>0.41072130000000007</v>
      </c>
      <c r="E32" s="162">
        <f t="shared" si="7"/>
        <v>11.871366760000001</v>
      </c>
      <c r="F32" s="161">
        <f t="shared" si="7"/>
        <v>0</v>
      </c>
      <c r="G32" s="161">
        <f t="shared" si="7"/>
        <v>0</v>
      </c>
      <c r="H32" s="163">
        <f t="shared" si="7"/>
        <v>0</v>
      </c>
      <c r="I32" s="164">
        <f>'timbulan sampah'!E8</f>
        <v>30.423800000000004</v>
      </c>
      <c r="J32" s="165">
        <f t="shared" si="5"/>
        <v>30.4238</v>
      </c>
      <c r="P32" s="155"/>
    </row>
    <row r="33" spans="1:16" x14ac:dyDescent="0.25">
      <c r="A33" s="156">
        <v>2015</v>
      </c>
      <c r="B33" s="161">
        <f t="shared" ref="B33:H33" si="8">$I$33*B10</f>
        <v>9.7507367000000009</v>
      </c>
      <c r="C33" s="161">
        <f t="shared" si="8"/>
        <v>8.6433294000000007</v>
      </c>
      <c r="D33" s="161">
        <f t="shared" si="8"/>
        <v>0.41643449999999999</v>
      </c>
      <c r="E33" s="162">
        <f t="shared" si="8"/>
        <v>12.0364994</v>
      </c>
      <c r="F33" s="161">
        <f t="shared" si="8"/>
        <v>0</v>
      </c>
      <c r="G33" s="161">
        <f t="shared" si="8"/>
        <v>0</v>
      </c>
      <c r="H33" s="163">
        <f t="shared" si="8"/>
        <v>0</v>
      </c>
      <c r="I33" s="164">
        <f>'timbulan sampah'!E9</f>
        <v>30.847000000000001</v>
      </c>
      <c r="J33" s="165">
        <f t="shared" si="5"/>
        <v>30.847000000000005</v>
      </c>
      <c r="P33" s="155"/>
    </row>
    <row r="34" spans="1:16" x14ac:dyDescent="0.25">
      <c r="A34" s="156">
        <v>2016</v>
      </c>
      <c r="B34" s="161">
        <f t="shared" ref="B34:H34" si="9">$I$34*B11</f>
        <v>9.8623832199999999</v>
      </c>
      <c r="C34" s="161">
        <f t="shared" si="9"/>
        <v>8.7422960400000012</v>
      </c>
      <c r="D34" s="161">
        <f t="shared" si="9"/>
        <v>0.42120270000000004</v>
      </c>
      <c r="E34" s="162">
        <f t="shared" si="9"/>
        <v>12.174318040000001</v>
      </c>
      <c r="F34" s="161">
        <f t="shared" si="9"/>
        <v>0</v>
      </c>
      <c r="G34" s="161">
        <f t="shared" si="9"/>
        <v>0</v>
      </c>
      <c r="H34" s="163">
        <f t="shared" si="9"/>
        <v>0</v>
      </c>
      <c r="I34" s="164">
        <f>'timbulan sampah'!E10</f>
        <v>31.200200000000002</v>
      </c>
      <c r="J34" s="165">
        <f t="shared" si="5"/>
        <v>31.200200000000002</v>
      </c>
    </row>
    <row r="35" spans="1:16" x14ac:dyDescent="0.25">
      <c r="A35" s="156">
        <v>2017</v>
      </c>
      <c r="B35" s="161">
        <f t="shared" ref="B35:H35" si="10">$I$35*B12</f>
        <v>10.249378128</v>
      </c>
      <c r="C35" s="161">
        <f t="shared" si="10"/>
        <v>9.0853392960000008</v>
      </c>
      <c r="D35" s="161">
        <f t="shared" si="10"/>
        <v>0.43773048000000003</v>
      </c>
      <c r="E35" s="162">
        <f t="shared" si="10"/>
        <v>12.652032096000001</v>
      </c>
      <c r="F35" s="161">
        <f t="shared" si="10"/>
        <v>0</v>
      </c>
      <c r="G35" s="161">
        <f t="shared" si="10"/>
        <v>0</v>
      </c>
      <c r="H35" s="163">
        <f t="shared" si="10"/>
        <v>0</v>
      </c>
      <c r="I35" s="164">
        <f>'timbulan sampah'!E11</f>
        <v>32.424480000000003</v>
      </c>
      <c r="J35" s="165">
        <f t="shared" si="5"/>
        <v>32.424480000000003</v>
      </c>
    </row>
    <row r="36" spans="1:16" x14ac:dyDescent="0.25">
      <c r="A36" s="156">
        <v>2018</v>
      </c>
      <c r="B36" s="161">
        <f t="shared" ref="B36:H36" si="11">$I$36*B13</f>
        <v>10.467196315999999</v>
      </c>
      <c r="C36" s="161">
        <f t="shared" si="11"/>
        <v>9.2784195119999993</v>
      </c>
      <c r="D36" s="161">
        <f t="shared" si="11"/>
        <v>0.44703305999999998</v>
      </c>
      <c r="E36" s="162">
        <f t="shared" si="11"/>
        <v>12.920911111999999</v>
      </c>
      <c r="F36" s="161">
        <f t="shared" si="11"/>
        <v>0</v>
      </c>
      <c r="G36" s="161">
        <f t="shared" si="11"/>
        <v>0</v>
      </c>
      <c r="H36" s="163">
        <f t="shared" si="11"/>
        <v>0</v>
      </c>
      <c r="I36" s="164">
        <f>'timbulan sampah'!E12</f>
        <v>33.11356</v>
      </c>
      <c r="J36" s="165">
        <f t="shared" si="5"/>
        <v>33.113559999999993</v>
      </c>
    </row>
    <row r="37" spans="1:16" x14ac:dyDescent="0.25">
      <c r="A37" s="156">
        <v>2019</v>
      </c>
      <c r="B37" s="161">
        <f t="shared" ref="B37:H37" si="12">$I$37*B14</f>
        <v>10.685014504000002</v>
      </c>
      <c r="C37" s="161">
        <f t="shared" si="12"/>
        <v>9.4714997280000013</v>
      </c>
      <c r="D37" s="161">
        <f t="shared" si="12"/>
        <v>0.45633564000000004</v>
      </c>
      <c r="E37" s="162">
        <f t="shared" si="12"/>
        <v>13.189790128000002</v>
      </c>
      <c r="F37" s="161">
        <f t="shared" si="12"/>
        <v>0</v>
      </c>
      <c r="G37" s="161">
        <f t="shared" si="12"/>
        <v>0</v>
      </c>
      <c r="H37" s="163">
        <f t="shared" si="12"/>
        <v>0</v>
      </c>
      <c r="I37" s="164">
        <f>'timbulan sampah'!E13</f>
        <v>33.802640000000004</v>
      </c>
      <c r="J37" s="165">
        <f t="shared" si="5"/>
        <v>33.802640000000004</v>
      </c>
    </row>
    <row r="38" spans="1:16" x14ac:dyDescent="0.25">
      <c r="A38" s="156">
        <v>2020</v>
      </c>
      <c r="B38" s="161">
        <f t="shared" ref="B38:H38" si="13">$I$38*B15</f>
        <v>10.902832692</v>
      </c>
      <c r="C38" s="161">
        <f t="shared" si="13"/>
        <v>9.6645799439999998</v>
      </c>
      <c r="D38" s="161">
        <f t="shared" si="13"/>
        <v>0.46563821999999999</v>
      </c>
      <c r="E38" s="162">
        <f t="shared" si="13"/>
        <v>13.458669144</v>
      </c>
      <c r="F38" s="161">
        <f t="shared" si="13"/>
        <v>0</v>
      </c>
      <c r="G38" s="161">
        <f t="shared" si="13"/>
        <v>0</v>
      </c>
      <c r="H38" s="163">
        <f t="shared" si="13"/>
        <v>0</v>
      </c>
      <c r="I38" s="164">
        <f>'timbulan sampah'!E14</f>
        <v>34.491720000000001</v>
      </c>
      <c r="J38" s="165">
        <f t="shared" si="5"/>
        <v>34.491720000000001</v>
      </c>
    </row>
    <row r="39" spans="1:16" x14ac:dyDescent="0.25">
      <c r="A39" s="156">
        <v>2021</v>
      </c>
      <c r="B39" s="161">
        <f t="shared" ref="B39:H39" si="14">$I$39*B16</f>
        <v>11.120650880000001</v>
      </c>
      <c r="C39" s="161">
        <f t="shared" si="14"/>
        <v>9.8576601600000018</v>
      </c>
      <c r="D39" s="161">
        <f t="shared" si="14"/>
        <v>0.47494080000000005</v>
      </c>
      <c r="E39" s="162">
        <f t="shared" si="14"/>
        <v>13.727548160000001</v>
      </c>
      <c r="F39" s="161">
        <f t="shared" si="14"/>
        <v>0</v>
      </c>
      <c r="G39" s="161">
        <f t="shared" si="14"/>
        <v>0</v>
      </c>
      <c r="H39" s="163">
        <f t="shared" si="14"/>
        <v>0</v>
      </c>
      <c r="I39" s="164">
        <f>'timbulan sampah'!E15</f>
        <v>35.180800000000005</v>
      </c>
      <c r="J39" s="165">
        <f t="shared" si="5"/>
        <v>35.180800000000005</v>
      </c>
    </row>
    <row r="40" spans="1:16" x14ac:dyDescent="0.25">
      <c r="A40" s="156">
        <v>2022</v>
      </c>
      <c r="B40" s="161">
        <f t="shared" ref="B40:H40" si="15">$I$40*B17</f>
        <v>11.338469068</v>
      </c>
      <c r="C40" s="161">
        <f t="shared" si="15"/>
        <v>10.050740376</v>
      </c>
      <c r="D40" s="161">
        <f t="shared" si="15"/>
        <v>0.48424338</v>
      </c>
      <c r="E40" s="162">
        <f t="shared" si="15"/>
        <v>13.996427176000001</v>
      </c>
      <c r="F40" s="161">
        <f t="shared" si="15"/>
        <v>0</v>
      </c>
      <c r="G40" s="161">
        <f t="shared" si="15"/>
        <v>0</v>
      </c>
      <c r="H40" s="163">
        <f t="shared" si="15"/>
        <v>0</v>
      </c>
      <c r="I40" s="164">
        <f>'timbulan sampah'!E16</f>
        <v>35.869880000000002</v>
      </c>
      <c r="J40" s="165">
        <f t="shared" si="5"/>
        <v>35.869880000000002</v>
      </c>
    </row>
    <row r="41" spans="1:16" x14ac:dyDescent="0.25">
      <c r="A41" s="156">
        <v>2023</v>
      </c>
      <c r="B41" s="161">
        <f t="shared" ref="B41:H41" si="16">$I$41*B18</f>
        <v>11.556287255999999</v>
      </c>
      <c r="C41" s="161">
        <f t="shared" si="16"/>
        <v>10.243820592000001</v>
      </c>
      <c r="D41" s="161">
        <f t="shared" si="16"/>
        <v>0.49354596000000001</v>
      </c>
      <c r="E41" s="162">
        <f t="shared" si="16"/>
        <v>14.265306191999999</v>
      </c>
      <c r="F41" s="161">
        <f t="shared" si="16"/>
        <v>0</v>
      </c>
      <c r="G41" s="161">
        <f t="shared" si="16"/>
        <v>0</v>
      </c>
      <c r="H41" s="163">
        <f t="shared" si="16"/>
        <v>0</v>
      </c>
      <c r="I41" s="164">
        <f>'timbulan sampah'!E17</f>
        <v>36.558959999999999</v>
      </c>
      <c r="J41" s="165">
        <f t="shared" si="5"/>
        <v>36.558959999999999</v>
      </c>
    </row>
    <row r="42" spans="1:16" x14ac:dyDescent="0.25">
      <c r="A42" s="156">
        <v>2024</v>
      </c>
      <c r="B42" s="161">
        <f t="shared" ref="B42:H42" si="17">$I$42*B19</f>
        <v>11.774105444</v>
      </c>
      <c r="C42" s="161">
        <f t="shared" si="17"/>
        <v>10.436900808000001</v>
      </c>
      <c r="D42" s="161">
        <f t="shared" si="17"/>
        <v>0.50284854000000001</v>
      </c>
      <c r="E42" s="162">
        <f t="shared" si="17"/>
        <v>14.534185208</v>
      </c>
      <c r="F42" s="161">
        <f t="shared" si="17"/>
        <v>0</v>
      </c>
      <c r="G42" s="161">
        <f t="shared" si="17"/>
        <v>0</v>
      </c>
      <c r="H42" s="163">
        <f t="shared" si="17"/>
        <v>0</v>
      </c>
      <c r="I42" s="164">
        <f>'timbulan sampah'!E18</f>
        <v>37.248040000000003</v>
      </c>
      <c r="J42" s="165">
        <f t="shared" si="5"/>
        <v>37.248040000000003</v>
      </c>
    </row>
    <row r="43" spans="1:16" x14ac:dyDescent="0.25">
      <c r="A43" s="156">
        <v>2025</v>
      </c>
      <c r="B43" s="161">
        <f t="shared" ref="B43:H43" si="18">$I$43*B20</f>
        <v>11.991923631999999</v>
      </c>
      <c r="C43" s="161">
        <f t="shared" si="18"/>
        <v>10.629981024000001</v>
      </c>
      <c r="D43" s="161">
        <f t="shared" si="18"/>
        <v>0.51215111999999996</v>
      </c>
      <c r="E43" s="162">
        <f t="shared" si="18"/>
        <v>14.803064224</v>
      </c>
      <c r="F43" s="161">
        <f t="shared" si="18"/>
        <v>0</v>
      </c>
      <c r="G43" s="161">
        <f t="shared" si="18"/>
        <v>0</v>
      </c>
      <c r="H43" s="163">
        <f t="shared" si="18"/>
        <v>0</v>
      </c>
      <c r="I43" s="164">
        <f>'timbulan sampah'!E19</f>
        <v>37.93712</v>
      </c>
      <c r="J43" s="165">
        <f t="shared" si="5"/>
        <v>37.937119999999993</v>
      </c>
    </row>
    <row r="44" spans="1:16" x14ac:dyDescent="0.25">
      <c r="A44" s="156">
        <v>2026</v>
      </c>
      <c r="B44" s="161">
        <f t="shared" ref="B44:H44" si="19">$I$44*B21</f>
        <v>12.209741820000001</v>
      </c>
      <c r="C44" s="161">
        <f t="shared" si="19"/>
        <v>10.823061240000001</v>
      </c>
      <c r="D44" s="161">
        <f t="shared" si="19"/>
        <v>0.52145370000000002</v>
      </c>
      <c r="E44" s="162">
        <f t="shared" si="19"/>
        <v>15.071943240000001</v>
      </c>
      <c r="F44" s="161">
        <f t="shared" si="19"/>
        <v>0</v>
      </c>
      <c r="G44" s="161">
        <f t="shared" si="19"/>
        <v>0</v>
      </c>
      <c r="H44" s="163">
        <f t="shared" si="19"/>
        <v>0</v>
      </c>
      <c r="I44" s="164">
        <f>'timbulan sampah'!E20</f>
        <v>38.626200000000004</v>
      </c>
      <c r="J44" s="165">
        <f t="shared" si="5"/>
        <v>38.626200000000004</v>
      </c>
    </row>
    <row r="45" spans="1:16" x14ac:dyDescent="0.25">
      <c r="A45" s="156">
        <v>2027</v>
      </c>
      <c r="B45" s="161">
        <f t="shared" ref="B45:H45" si="20">$I$45*B22</f>
        <v>12.427560008000002</v>
      </c>
      <c r="C45" s="161">
        <f t="shared" si="20"/>
        <v>11.016141456000003</v>
      </c>
      <c r="D45" s="161">
        <f t="shared" si="20"/>
        <v>0.53075628000000008</v>
      </c>
      <c r="E45" s="162">
        <f t="shared" si="20"/>
        <v>15.340822256000003</v>
      </c>
      <c r="F45" s="161">
        <f t="shared" si="20"/>
        <v>0</v>
      </c>
      <c r="G45" s="161">
        <f t="shared" si="20"/>
        <v>0</v>
      </c>
      <c r="H45" s="163">
        <f t="shared" si="20"/>
        <v>0</v>
      </c>
      <c r="I45" s="164">
        <f>'timbulan sampah'!E21</f>
        <v>39.315280000000008</v>
      </c>
      <c r="J45" s="165">
        <f t="shared" si="5"/>
        <v>39.315280000000008</v>
      </c>
    </row>
    <row r="46" spans="1:16" x14ac:dyDescent="0.25">
      <c r="A46" s="156">
        <v>2028</v>
      </c>
      <c r="B46" s="161">
        <f t="shared" ref="B46:H46" si="21">$I$46*B23</f>
        <v>12.645378195999999</v>
      </c>
      <c r="C46" s="161">
        <f t="shared" si="21"/>
        <v>11.209221672</v>
      </c>
      <c r="D46" s="161">
        <f t="shared" si="21"/>
        <v>0.54005885999999992</v>
      </c>
      <c r="E46" s="162">
        <f t="shared" si="21"/>
        <v>15.609701271999999</v>
      </c>
      <c r="F46" s="161">
        <f t="shared" si="21"/>
        <v>0</v>
      </c>
      <c r="G46" s="161">
        <f t="shared" si="21"/>
        <v>0</v>
      </c>
      <c r="H46" s="162">
        <f t="shared" si="21"/>
        <v>0</v>
      </c>
      <c r="I46" s="164">
        <f>'timbulan sampah'!E22</f>
        <v>40.004359999999998</v>
      </c>
      <c r="J46" s="165">
        <f t="shared" si="5"/>
        <v>40.004359999999998</v>
      </c>
    </row>
    <row r="47" spans="1:16" x14ac:dyDescent="0.25">
      <c r="A47" s="156">
        <v>2029</v>
      </c>
      <c r="B47" s="161">
        <f t="shared" ref="B47:H47" si="22">$I$47*B24</f>
        <v>12.863196384</v>
      </c>
      <c r="C47" s="161">
        <f t="shared" si="22"/>
        <v>11.402301888</v>
      </c>
      <c r="D47" s="161">
        <f t="shared" si="22"/>
        <v>0.54936143999999998</v>
      </c>
      <c r="E47" s="162">
        <f t="shared" si="22"/>
        <v>15.878580288</v>
      </c>
      <c r="F47" s="161">
        <f t="shared" si="22"/>
        <v>0</v>
      </c>
      <c r="G47" s="161">
        <f t="shared" si="22"/>
        <v>0</v>
      </c>
      <c r="H47" s="162">
        <f t="shared" si="22"/>
        <v>0</v>
      </c>
      <c r="I47" s="164">
        <f>'timbulan sampah'!E23</f>
        <v>40.693440000000002</v>
      </c>
      <c r="J47" s="165">
        <f t="shared" si="5"/>
        <v>40.693440000000002</v>
      </c>
    </row>
    <row r="48" spans="1:16" x14ac:dyDescent="0.25">
      <c r="A48" s="156">
        <v>2030</v>
      </c>
      <c r="B48" s="161">
        <f t="shared" ref="B48:H48" si="23">$I$48*B25</f>
        <v>13.081014572000003</v>
      </c>
      <c r="C48" s="161">
        <f t="shared" si="23"/>
        <v>11.595382104000002</v>
      </c>
      <c r="D48" s="161">
        <f t="shared" si="23"/>
        <v>0.55866402000000004</v>
      </c>
      <c r="E48" s="162">
        <f t="shared" si="23"/>
        <v>16.147459304000002</v>
      </c>
      <c r="F48" s="161">
        <f t="shared" si="23"/>
        <v>0</v>
      </c>
      <c r="G48" s="161">
        <f t="shared" si="23"/>
        <v>0</v>
      </c>
      <c r="H48" s="162">
        <f t="shared" si="23"/>
        <v>0</v>
      </c>
      <c r="I48" s="164">
        <f>'timbulan sampah'!E24</f>
        <v>41.382520000000007</v>
      </c>
      <c r="J48" s="165">
        <f t="shared" si="5"/>
        <v>41.38252</v>
      </c>
    </row>
  </sheetData>
  <mergeCells count="7">
    <mergeCell ref="A2:I2"/>
    <mergeCell ref="A27:A28"/>
    <mergeCell ref="B27:H27"/>
    <mergeCell ref="I4:I5"/>
    <mergeCell ref="I27:I28"/>
    <mergeCell ref="A4:A5"/>
    <mergeCell ref="B4:H4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10"/>
  <sheetViews>
    <sheetView topLeftCell="A8" zoomScale="85" zoomScaleNormal="85" workbookViewId="0">
      <selection activeCell="D110" sqref="D110"/>
    </sheetView>
  </sheetViews>
  <sheetFormatPr defaultRowHeight="15" x14ac:dyDescent="0.25"/>
  <cols>
    <col min="1" max="1" width="9.42578125" style="95" bestFit="1" customWidth="1"/>
    <col min="2" max="2" width="11.5703125" style="95" bestFit="1" customWidth="1"/>
    <col min="3" max="3" width="11" style="95" bestFit="1" customWidth="1"/>
    <col min="4" max="4" width="12.7109375" style="95" bestFit="1" customWidth="1"/>
    <col min="5" max="5" width="12.42578125" style="95" customWidth="1"/>
    <col min="6" max="6" width="15.28515625" style="95" customWidth="1"/>
    <col min="7" max="7" width="14.7109375" style="95" customWidth="1"/>
    <col min="8" max="8" width="9.42578125" style="95" bestFit="1" customWidth="1"/>
    <col min="9" max="9" width="13.42578125" style="95" customWidth="1"/>
    <col min="10" max="10" width="10.28515625" style="95" bestFit="1" customWidth="1"/>
    <col min="11" max="14" width="9.42578125" style="95" bestFit="1" customWidth="1"/>
    <col min="15" max="15" width="9.140625" style="95"/>
    <col min="16" max="19" width="9.42578125" style="95" bestFit="1" customWidth="1"/>
    <col min="20" max="23" width="9.140625" style="95"/>
    <col min="24" max="24" width="9.5703125" style="95" bestFit="1" customWidth="1"/>
    <col min="25" max="16384" width="9.140625" style="95"/>
  </cols>
  <sheetData>
    <row r="2" spans="1:24" x14ac:dyDescent="0.25">
      <c r="A2" s="102" t="s">
        <v>117</v>
      </c>
      <c r="B2" s="102"/>
      <c r="C2" s="102"/>
      <c r="D2" s="103"/>
      <c r="E2" s="103"/>
      <c r="F2" s="103"/>
      <c r="G2" s="103"/>
      <c r="H2" s="103"/>
      <c r="I2" s="103"/>
    </row>
    <row r="3" spans="1:24" x14ac:dyDescent="0.25">
      <c r="A3" s="104"/>
    </row>
    <row r="4" spans="1:24" x14ac:dyDescent="0.25">
      <c r="A4" s="105" t="s">
        <v>126</v>
      </c>
    </row>
    <row r="6" spans="1:24" ht="35.25" customHeight="1" x14ac:dyDescent="0.25">
      <c r="A6" s="190" t="s">
        <v>11</v>
      </c>
      <c r="B6" s="196" t="s">
        <v>118</v>
      </c>
      <c r="C6" s="196"/>
      <c r="D6" s="196"/>
      <c r="E6" s="106" t="s">
        <v>114</v>
      </c>
      <c r="F6" s="190" t="s">
        <v>11</v>
      </c>
      <c r="G6" s="196" t="s">
        <v>111</v>
      </c>
      <c r="H6" s="196"/>
      <c r="I6" s="196"/>
      <c r="J6" s="96" t="s">
        <v>115</v>
      </c>
      <c r="K6" s="190" t="s">
        <v>11</v>
      </c>
      <c r="L6" s="196" t="s">
        <v>112</v>
      </c>
      <c r="M6" s="196"/>
      <c r="N6" s="196"/>
      <c r="O6" s="96" t="s">
        <v>115</v>
      </c>
      <c r="P6" s="190" t="s">
        <v>11</v>
      </c>
      <c r="Q6" s="196" t="s">
        <v>113</v>
      </c>
      <c r="R6" s="196"/>
      <c r="S6" s="196"/>
      <c r="X6" s="97"/>
    </row>
    <row r="7" spans="1:24" ht="18" x14ac:dyDescent="0.25">
      <c r="A7" s="190"/>
      <c r="B7" s="190" t="s">
        <v>129</v>
      </c>
      <c r="C7" s="190"/>
      <c r="D7" s="196" t="s">
        <v>130</v>
      </c>
      <c r="E7" s="107"/>
      <c r="F7" s="190"/>
      <c r="G7" s="190" t="s">
        <v>129</v>
      </c>
      <c r="H7" s="190"/>
      <c r="I7" s="196" t="s">
        <v>130</v>
      </c>
      <c r="K7" s="190"/>
      <c r="L7" s="190" t="s">
        <v>129</v>
      </c>
      <c r="M7" s="190"/>
      <c r="N7" s="196" t="s">
        <v>130</v>
      </c>
      <c r="P7" s="190"/>
      <c r="Q7" s="190" t="s">
        <v>129</v>
      </c>
      <c r="R7" s="190"/>
      <c r="S7" s="196" t="s">
        <v>130</v>
      </c>
      <c r="X7" s="97"/>
    </row>
    <row r="8" spans="1:24" ht="18" x14ac:dyDescent="0.25">
      <c r="A8" s="190"/>
      <c r="B8" s="108" t="s">
        <v>131</v>
      </c>
      <c r="C8" s="108" t="s">
        <v>132</v>
      </c>
      <c r="D8" s="196"/>
      <c r="E8" s="109"/>
      <c r="F8" s="190"/>
      <c r="G8" s="108" t="s">
        <v>131</v>
      </c>
      <c r="H8" s="108" t="s">
        <v>132</v>
      </c>
      <c r="I8" s="196"/>
      <c r="K8" s="190"/>
      <c r="L8" s="108" t="s">
        <v>131</v>
      </c>
      <c r="M8" s="108" t="s">
        <v>132</v>
      </c>
      <c r="N8" s="196"/>
      <c r="P8" s="190"/>
      <c r="Q8" s="108" t="s">
        <v>131</v>
      </c>
      <c r="R8" s="108" t="s">
        <v>132</v>
      </c>
      <c r="S8" s="196"/>
    </row>
    <row r="9" spans="1:24" x14ac:dyDescent="0.25">
      <c r="A9" s="88">
        <v>2011</v>
      </c>
      <c r="B9" s="150">
        <f>[2]Results!O28</f>
        <v>0.40854687182108468</v>
      </c>
      <c r="C9" s="110">
        <f>B9*21</f>
        <v>8.5794843082427779</v>
      </c>
      <c r="D9" s="111">
        <f t="shared" ref="D9:D14" si="0">E9+C9</f>
        <v>8.5794843082427779</v>
      </c>
      <c r="E9" s="112"/>
      <c r="F9" s="88">
        <v>2011</v>
      </c>
      <c r="G9" s="150">
        <f>[3]Results!O28</f>
        <v>0</v>
      </c>
      <c r="H9" s="110">
        <f>G9*21</f>
        <v>0</v>
      </c>
      <c r="I9" s="111">
        <f t="shared" ref="I9:I14" si="1">J9+H9</f>
        <v>0</v>
      </c>
      <c r="K9" s="88">
        <v>2011</v>
      </c>
      <c r="L9" s="149">
        <f>[4]Results!O28</f>
        <v>0.28971802210507552</v>
      </c>
      <c r="M9" s="110">
        <f>L9*21</f>
        <v>6.0840784642065859</v>
      </c>
      <c r="N9" s="111">
        <f>O9+M9</f>
        <v>6.0840784642065859</v>
      </c>
      <c r="P9" s="88">
        <v>2011</v>
      </c>
      <c r="Q9" s="149">
        <f>[5]Results!O28</f>
        <v>0</v>
      </c>
      <c r="R9" s="113">
        <f>Q9*21</f>
        <v>0</v>
      </c>
      <c r="S9" s="114">
        <f>T9+R9</f>
        <v>0</v>
      </c>
    </row>
    <row r="10" spans="1:24" x14ac:dyDescent="0.25">
      <c r="A10" s="88">
        <v>2012</v>
      </c>
      <c r="B10" s="150">
        <f>[2]Results!O29</f>
        <v>0.42014833032823717</v>
      </c>
      <c r="C10" s="110">
        <f t="shared" ref="C10:C14" si="2">B10*21</f>
        <v>8.8231149368929813</v>
      </c>
      <c r="D10" s="111">
        <f t="shared" si="0"/>
        <v>8.8231149368929813</v>
      </c>
      <c r="E10" s="112"/>
      <c r="F10" s="88">
        <v>2012</v>
      </c>
      <c r="G10" s="150">
        <f>[3]Results!O29</f>
        <v>0</v>
      </c>
      <c r="H10" s="110">
        <f t="shared" ref="H10:H14" si="3">G10*21</f>
        <v>0</v>
      </c>
      <c r="I10" s="111">
        <f t="shared" si="1"/>
        <v>0</v>
      </c>
      <c r="K10" s="88">
        <v>2012</v>
      </c>
      <c r="L10" s="149">
        <f>[4]Results!O29</f>
        <v>0.29794511144061264</v>
      </c>
      <c r="M10" s="110">
        <f t="shared" ref="M10:M14" si="4">L10*21</f>
        <v>6.2568473402528655</v>
      </c>
      <c r="N10" s="111">
        <f t="shared" ref="N10:N14" si="5">O10+M10</f>
        <v>6.2568473402528655</v>
      </c>
      <c r="P10" s="88">
        <v>2012</v>
      </c>
      <c r="Q10" s="149">
        <f>[5]Results!O29</f>
        <v>0</v>
      </c>
      <c r="R10" s="113">
        <f t="shared" ref="R10:R14" si="6">Q10*21</f>
        <v>0</v>
      </c>
      <c r="S10" s="114">
        <f t="shared" ref="S10:S14" si="7">T10+R10</f>
        <v>0</v>
      </c>
    </row>
    <row r="11" spans="1:24" x14ac:dyDescent="0.25">
      <c r="A11" s="88">
        <v>2013</v>
      </c>
      <c r="B11" s="150">
        <f>[2]Results!O30</f>
        <v>0.43129182603980987</v>
      </c>
      <c r="C11" s="110">
        <f t="shared" si="2"/>
        <v>9.0571283468360075</v>
      </c>
      <c r="D11" s="111">
        <f t="shared" si="0"/>
        <v>9.0571283468360075</v>
      </c>
      <c r="E11" s="112"/>
      <c r="F11" s="88">
        <v>2013</v>
      </c>
      <c r="G11" s="150">
        <f>[3]Results!O30</f>
        <v>0</v>
      </c>
      <c r="H11" s="110">
        <f t="shared" si="3"/>
        <v>0</v>
      </c>
      <c r="I11" s="111">
        <f t="shared" si="1"/>
        <v>0</v>
      </c>
      <c r="K11" s="88">
        <v>2013</v>
      </c>
      <c r="L11" s="149">
        <f>[4]Results!O30</f>
        <v>0.30584743981361528</v>
      </c>
      <c r="M11" s="110">
        <f t="shared" si="4"/>
        <v>6.4227962360859205</v>
      </c>
      <c r="N11" s="111">
        <f t="shared" si="5"/>
        <v>6.4227962360859205</v>
      </c>
      <c r="P11" s="88">
        <v>2013</v>
      </c>
      <c r="Q11" s="149">
        <f>[5]Results!O30</f>
        <v>0</v>
      </c>
      <c r="R11" s="113">
        <f t="shared" si="6"/>
        <v>0</v>
      </c>
      <c r="S11" s="114">
        <f t="shared" si="7"/>
        <v>0</v>
      </c>
    </row>
    <row r="12" spans="1:24" x14ac:dyDescent="0.25">
      <c r="A12" s="88">
        <v>2014</v>
      </c>
      <c r="B12" s="150">
        <f>[2]Results!O31</f>
        <v>0.44211318407614153</v>
      </c>
      <c r="C12" s="110">
        <f t="shared" si="2"/>
        <v>9.284376865598972</v>
      </c>
      <c r="D12" s="111">
        <f t="shared" si="0"/>
        <v>9.284376865598972</v>
      </c>
      <c r="E12" s="112"/>
      <c r="F12" s="88">
        <v>2014</v>
      </c>
      <c r="G12" s="150">
        <f>[3]Results!O31</f>
        <v>0</v>
      </c>
      <c r="H12" s="110">
        <f t="shared" si="3"/>
        <v>0</v>
      </c>
      <c r="I12" s="111">
        <f t="shared" si="1"/>
        <v>0</v>
      </c>
      <c r="K12" s="88">
        <v>2014</v>
      </c>
      <c r="L12" s="149">
        <f>[4]Results!O31</f>
        <v>0.31352132661343846</v>
      </c>
      <c r="M12" s="110">
        <f t="shared" si="4"/>
        <v>6.5839478588822073</v>
      </c>
      <c r="N12" s="111">
        <f t="shared" si="5"/>
        <v>6.5839478588822073</v>
      </c>
      <c r="P12" s="88">
        <v>2014</v>
      </c>
      <c r="Q12" s="149">
        <f>[5]Results!O31</f>
        <v>0</v>
      </c>
      <c r="R12" s="113">
        <f t="shared" si="6"/>
        <v>0</v>
      </c>
      <c r="S12" s="114">
        <f t="shared" si="7"/>
        <v>0</v>
      </c>
    </row>
    <row r="13" spans="1:24" x14ac:dyDescent="0.25">
      <c r="A13" s="88">
        <v>2015</v>
      </c>
      <c r="B13" s="150">
        <f>[2]Results!O32</f>
        <v>0.45241066226191395</v>
      </c>
      <c r="C13" s="110">
        <f t="shared" si="2"/>
        <v>9.5006239075001933</v>
      </c>
      <c r="D13" s="111">
        <f t="shared" si="0"/>
        <v>9.5006239075001933</v>
      </c>
      <c r="E13" s="112"/>
      <c r="F13" s="88">
        <v>2015</v>
      </c>
      <c r="G13" s="150">
        <f>[3]Results!O32</f>
        <v>0</v>
      </c>
      <c r="H13" s="110">
        <f t="shared" si="3"/>
        <v>0</v>
      </c>
      <c r="I13" s="111">
        <f t="shared" si="1"/>
        <v>0</v>
      </c>
      <c r="K13" s="88">
        <v>2015</v>
      </c>
      <c r="L13" s="149">
        <f>[4]Results!O32</f>
        <v>0.3208237078539406</v>
      </c>
      <c r="M13" s="110">
        <f t="shared" si="4"/>
        <v>6.7372978649327528</v>
      </c>
      <c r="N13" s="111">
        <f t="shared" si="5"/>
        <v>6.7372978649327528</v>
      </c>
      <c r="P13" s="88">
        <v>2015</v>
      </c>
      <c r="Q13" s="149">
        <f>[5]Results!O32</f>
        <v>0</v>
      </c>
      <c r="R13" s="113">
        <f t="shared" si="6"/>
        <v>0</v>
      </c>
      <c r="S13" s="114">
        <f t="shared" si="7"/>
        <v>0</v>
      </c>
    </row>
    <row r="14" spans="1:24" x14ac:dyDescent="0.25">
      <c r="A14" s="88">
        <v>2016</v>
      </c>
      <c r="B14" s="150">
        <f>[2]Results!O33</f>
        <v>0.46243521724237086</v>
      </c>
      <c r="C14" s="110">
        <f t="shared" si="2"/>
        <v>9.7111395620897873</v>
      </c>
      <c r="D14" s="111">
        <f t="shared" si="0"/>
        <v>9.7111395620897873</v>
      </c>
      <c r="E14" s="112"/>
      <c r="F14" s="88">
        <v>2016</v>
      </c>
      <c r="G14" s="150">
        <f>[3]Results!O33</f>
        <v>0</v>
      </c>
      <c r="H14" s="110">
        <f t="shared" si="3"/>
        <v>0</v>
      </c>
      <c r="I14" s="111">
        <f t="shared" si="1"/>
        <v>0</v>
      </c>
      <c r="K14" s="88">
        <v>2016</v>
      </c>
      <c r="L14" s="149">
        <f>[4]Results!O33</f>
        <v>0.32793254760218243</v>
      </c>
      <c r="M14" s="110">
        <f t="shared" si="4"/>
        <v>6.8865834996458313</v>
      </c>
      <c r="N14" s="111">
        <f t="shared" si="5"/>
        <v>6.8865834996458313</v>
      </c>
      <c r="P14" s="88">
        <v>2016</v>
      </c>
      <c r="Q14" s="149">
        <f>[5]Results!O33</f>
        <v>0</v>
      </c>
      <c r="R14" s="113">
        <f t="shared" si="6"/>
        <v>0</v>
      </c>
      <c r="S14" s="114">
        <f t="shared" si="7"/>
        <v>0</v>
      </c>
    </row>
    <row r="15" spans="1:24" x14ac:dyDescent="0.25">
      <c r="A15" s="88">
        <v>2017</v>
      </c>
      <c r="B15" s="150">
        <f>[2]Results!O34</f>
        <v>0.4719119480601966</v>
      </c>
      <c r="C15" s="110">
        <f t="shared" ref="C15:C29" si="8">B15*21</f>
        <v>9.9101509092641287</v>
      </c>
      <c r="D15" s="111">
        <f t="shared" ref="D15:D29" si="9">E15+C15</f>
        <v>9.9101509092641287</v>
      </c>
      <c r="E15" s="112"/>
      <c r="F15" s="88">
        <v>2017</v>
      </c>
      <c r="G15" s="150">
        <f>[3]Results!O34</f>
        <v>0</v>
      </c>
      <c r="H15" s="110">
        <f t="shared" ref="H15:H29" si="10">G15*21</f>
        <v>0</v>
      </c>
      <c r="I15" s="111">
        <f t="shared" ref="I15:I29" si="11">J15+H15</f>
        <v>0</v>
      </c>
      <c r="K15" s="88">
        <v>2017</v>
      </c>
      <c r="L15" s="149">
        <f>[4]Results!O34</f>
        <v>0.33465290185755681</v>
      </c>
      <c r="M15" s="110">
        <f t="shared" ref="M15:M29" si="12">L15*21</f>
        <v>7.0277109390086929</v>
      </c>
      <c r="N15" s="111">
        <f t="shared" ref="N15:N29" si="13">O15+M15</f>
        <v>7.0277109390086929</v>
      </c>
      <c r="P15" s="88">
        <v>2017</v>
      </c>
      <c r="Q15" s="149">
        <f>[5]Results!O34</f>
        <v>0</v>
      </c>
      <c r="R15" s="113">
        <f t="shared" ref="R15:R29" si="14">Q15*21</f>
        <v>0</v>
      </c>
      <c r="S15" s="114">
        <f t="shared" ref="S15:S29" si="15">T15+R15</f>
        <v>0</v>
      </c>
    </row>
    <row r="16" spans="1:24" x14ac:dyDescent="0.25">
      <c r="A16" s="88">
        <v>2018</v>
      </c>
      <c r="B16" s="150">
        <f>[2]Results!O35</f>
        <v>0.48457755542990727</v>
      </c>
      <c r="C16" s="110">
        <f t="shared" si="8"/>
        <v>10.176128664028052</v>
      </c>
      <c r="D16" s="111">
        <f t="shared" si="9"/>
        <v>10.176128664028052</v>
      </c>
      <c r="E16" s="112"/>
      <c r="F16" s="88">
        <v>2018</v>
      </c>
      <c r="G16" s="150">
        <f>[3]Results!O35</f>
        <v>0</v>
      </c>
      <c r="H16" s="110">
        <f t="shared" si="10"/>
        <v>0</v>
      </c>
      <c r="I16" s="111">
        <f t="shared" si="11"/>
        <v>0</v>
      </c>
      <c r="K16" s="88">
        <v>2018</v>
      </c>
      <c r="L16" s="149">
        <f>[4]Results!O35</f>
        <v>0.34363462456554267</v>
      </c>
      <c r="M16" s="110">
        <f t="shared" si="12"/>
        <v>7.2163271158763962</v>
      </c>
      <c r="N16" s="111">
        <f t="shared" si="13"/>
        <v>7.2163271158763962</v>
      </c>
      <c r="P16" s="88">
        <v>2018</v>
      </c>
      <c r="Q16" s="149">
        <f>[5]Results!O35</f>
        <v>0</v>
      </c>
      <c r="R16" s="113">
        <f t="shared" si="14"/>
        <v>0</v>
      </c>
      <c r="S16" s="114">
        <f t="shared" si="15"/>
        <v>0</v>
      </c>
    </row>
    <row r="17" spans="1:19" x14ac:dyDescent="0.25">
      <c r="A17" s="88">
        <v>2019</v>
      </c>
      <c r="B17" s="150">
        <f>[2]Results!O36</f>
        <v>0.49721800184259468</v>
      </c>
      <c r="C17" s="110">
        <f t="shared" si="8"/>
        <v>10.441578038694487</v>
      </c>
      <c r="D17" s="111">
        <f t="shared" si="9"/>
        <v>10.441578038694487</v>
      </c>
      <c r="E17" s="112"/>
      <c r="F17" s="88">
        <v>2019</v>
      </c>
      <c r="G17" s="150">
        <f>[3]Results!O36</f>
        <v>0</v>
      </c>
      <c r="H17" s="110">
        <f t="shared" si="10"/>
        <v>0</v>
      </c>
      <c r="I17" s="111">
        <f t="shared" si="11"/>
        <v>0</v>
      </c>
      <c r="K17" s="88">
        <v>2019</v>
      </c>
      <c r="L17" s="149">
        <f>[4]Results!O36</f>
        <v>0.35259850456512504</v>
      </c>
      <c r="M17" s="110">
        <f t="shared" si="12"/>
        <v>7.4045685958676257</v>
      </c>
      <c r="N17" s="111">
        <f t="shared" si="13"/>
        <v>7.4045685958676257</v>
      </c>
      <c r="P17" s="88">
        <v>2019</v>
      </c>
      <c r="Q17" s="149">
        <f>[5]Results!O36</f>
        <v>0</v>
      </c>
      <c r="R17" s="113">
        <f t="shared" si="14"/>
        <v>0</v>
      </c>
      <c r="S17" s="114">
        <f t="shared" si="15"/>
        <v>0</v>
      </c>
    </row>
    <row r="18" spans="1:19" x14ac:dyDescent="0.25">
      <c r="A18" s="88">
        <v>2020</v>
      </c>
      <c r="B18" s="150">
        <f>[2]Results!O37</f>
        <v>0.50981808662726813</v>
      </c>
      <c r="C18" s="110">
        <f t="shared" si="8"/>
        <v>10.706179819172631</v>
      </c>
      <c r="D18" s="111">
        <f t="shared" si="9"/>
        <v>10.706179819172631</v>
      </c>
      <c r="E18" s="112"/>
      <c r="F18" s="88">
        <v>2020</v>
      </c>
      <c r="G18" s="150">
        <f>[3]Results!O37</f>
        <v>0</v>
      </c>
      <c r="H18" s="110">
        <f t="shared" si="10"/>
        <v>0</v>
      </c>
      <c r="I18" s="111">
        <f t="shared" si="11"/>
        <v>0</v>
      </c>
      <c r="K18" s="88">
        <v>2020</v>
      </c>
      <c r="L18" s="149">
        <f>[4]Results!O37</f>
        <v>0.36153376241179508</v>
      </c>
      <c r="M18" s="110">
        <f t="shared" si="12"/>
        <v>7.5922090106476965</v>
      </c>
      <c r="N18" s="111">
        <f t="shared" si="13"/>
        <v>7.5922090106476965</v>
      </c>
      <c r="P18" s="88">
        <v>2020</v>
      </c>
      <c r="Q18" s="149">
        <f>[5]Results!O37</f>
        <v>0</v>
      </c>
      <c r="R18" s="113">
        <f t="shared" si="14"/>
        <v>0</v>
      </c>
      <c r="S18" s="114">
        <f t="shared" si="15"/>
        <v>0</v>
      </c>
    </row>
    <row r="19" spans="1:19" x14ac:dyDescent="0.25">
      <c r="A19" s="88">
        <v>2021</v>
      </c>
      <c r="B19" s="150">
        <f>[2]Results!O38</f>
        <v>0.5223701191255552</v>
      </c>
      <c r="C19" s="110">
        <f t="shared" si="8"/>
        <v>10.969772501636658</v>
      </c>
      <c r="D19" s="111">
        <f t="shared" si="9"/>
        <v>10.969772501636658</v>
      </c>
      <c r="E19" s="112"/>
      <c r="F19" s="88">
        <v>2021</v>
      </c>
      <c r="G19" s="150">
        <f>[3]Results!O38</f>
        <v>0</v>
      </c>
      <c r="H19" s="110">
        <f t="shared" si="10"/>
        <v>0</v>
      </c>
      <c r="I19" s="111">
        <f t="shared" si="11"/>
        <v>0</v>
      </c>
      <c r="K19" s="88">
        <v>2021</v>
      </c>
      <c r="L19" s="149">
        <f>[4]Results!O38</f>
        <v>0.37043494433149149</v>
      </c>
      <c r="M19" s="110">
        <f t="shared" si="12"/>
        <v>7.7791338309613209</v>
      </c>
      <c r="N19" s="111">
        <f t="shared" si="13"/>
        <v>7.7791338309613209</v>
      </c>
      <c r="P19" s="88">
        <v>2021</v>
      </c>
      <c r="Q19" s="149">
        <f>[5]Results!O38</f>
        <v>0</v>
      </c>
      <c r="R19" s="113">
        <f t="shared" si="14"/>
        <v>0</v>
      </c>
      <c r="S19" s="114">
        <f t="shared" si="15"/>
        <v>0</v>
      </c>
    </row>
    <row r="20" spans="1:19" x14ac:dyDescent="0.25">
      <c r="A20" s="88">
        <v>2022</v>
      </c>
      <c r="B20" s="150">
        <f>[2]Results!O39</f>
        <v>0.53487113157032262</v>
      </c>
      <c r="C20" s="110">
        <f t="shared" si="8"/>
        <v>11.232293762976775</v>
      </c>
      <c r="D20" s="111">
        <f t="shared" si="9"/>
        <v>11.232293762976775</v>
      </c>
      <c r="E20" s="112"/>
      <c r="F20" s="88">
        <v>2022</v>
      </c>
      <c r="G20" s="150">
        <f>[3]Results!O39</f>
        <v>0</v>
      </c>
      <c r="H20" s="110">
        <f t="shared" si="10"/>
        <v>0</v>
      </c>
      <c r="I20" s="111">
        <f t="shared" si="11"/>
        <v>0</v>
      </c>
      <c r="K20" s="88">
        <v>2022</v>
      </c>
      <c r="L20" s="149">
        <f>[4]Results!O39</f>
        <v>0.37929994575388648</v>
      </c>
      <c r="M20" s="110">
        <f t="shared" si="12"/>
        <v>7.9652988608316164</v>
      </c>
      <c r="N20" s="111">
        <f t="shared" si="13"/>
        <v>7.9652988608316164</v>
      </c>
      <c r="P20" s="88">
        <v>2022</v>
      </c>
      <c r="Q20" s="149">
        <f>[5]Results!O39</f>
        <v>0</v>
      </c>
      <c r="R20" s="113">
        <f t="shared" si="14"/>
        <v>0</v>
      </c>
      <c r="S20" s="114">
        <f t="shared" si="15"/>
        <v>0</v>
      </c>
    </row>
    <row r="21" spans="1:19" x14ac:dyDescent="0.25">
      <c r="A21" s="88">
        <v>2023</v>
      </c>
      <c r="B21" s="150">
        <f>[2]Results!O40</f>
        <v>0.5473210541086897</v>
      </c>
      <c r="C21" s="110">
        <f t="shared" si="8"/>
        <v>11.493742136282483</v>
      </c>
      <c r="D21" s="111">
        <f t="shared" si="9"/>
        <v>11.493742136282483</v>
      </c>
      <c r="E21" s="112"/>
      <c r="F21" s="88">
        <v>2023</v>
      </c>
      <c r="G21" s="150">
        <f>[3]Results!O40</f>
        <v>0</v>
      </c>
      <c r="H21" s="110">
        <f t="shared" si="10"/>
        <v>0</v>
      </c>
      <c r="I21" s="111">
        <f t="shared" si="11"/>
        <v>0</v>
      </c>
      <c r="K21" s="88">
        <v>2023</v>
      </c>
      <c r="L21" s="149">
        <f>[4]Results!O40</f>
        <v>0.38812871714332137</v>
      </c>
      <c r="M21" s="110">
        <f t="shared" si="12"/>
        <v>8.1507030600097483</v>
      </c>
      <c r="N21" s="111">
        <f t="shared" si="13"/>
        <v>8.1507030600097483</v>
      </c>
      <c r="P21" s="88">
        <v>2023</v>
      </c>
      <c r="Q21" s="149">
        <f>[5]Results!O40</f>
        <v>0</v>
      </c>
      <c r="R21" s="113">
        <f t="shared" si="14"/>
        <v>0</v>
      </c>
      <c r="S21" s="114">
        <f t="shared" si="15"/>
        <v>0</v>
      </c>
    </row>
    <row r="22" spans="1:19" x14ac:dyDescent="0.25">
      <c r="A22" s="88">
        <v>2024</v>
      </c>
      <c r="B22" s="150">
        <f>[2]Results!O41</f>
        <v>0.55972152836547584</v>
      </c>
      <c r="C22" s="110">
        <f t="shared" si="8"/>
        <v>11.754152095674993</v>
      </c>
      <c r="D22" s="111">
        <f t="shared" si="9"/>
        <v>11.754152095674993</v>
      </c>
      <c r="E22" s="112"/>
      <c r="F22" s="88">
        <v>2024</v>
      </c>
      <c r="G22" s="150">
        <f>[3]Results!O41</f>
        <v>0</v>
      </c>
      <c r="H22" s="110">
        <f t="shared" si="10"/>
        <v>0</v>
      </c>
      <c r="I22" s="111">
        <f t="shared" si="11"/>
        <v>0</v>
      </c>
      <c r="K22" s="88">
        <v>2024</v>
      </c>
      <c r="L22" s="149">
        <f>[4]Results!O41</f>
        <v>0.39692242264601424</v>
      </c>
      <c r="M22" s="110">
        <f t="shared" si="12"/>
        <v>8.3353708755662996</v>
      </c>
      <c r="N22" s="111">
        <f t="shared" si="13"/>
        <v>8.3353708755662996</v>
      </c>
      <c r="P22" s="88">
        <v>2024</v>
      </c>
      <c r="Q22" s="149">
        <f>[5]Results!O41</f>
        <v>0</v>
      </c>
      <c r="R22" s="113">
        <f t="shared" si="14"/>
        <v>0</v>
      </c>
      <c r="S22" s="114">
        <f t="shared" si="15"/>
        <v>0</v>
      </c>
    </row>
    <row r="23" spans="1:19" x14ac:dyDescent="0.25">
      <c r="A23" s="88">
        <v>2025</v>
      </c>
      <c r="B23" s="150">
        <f>[2]Results!O42</f>
        <v>0.57207514360552936</v>
      </c>
      <c r="C23" s="110">
        <f t="shared" si="8"/>
        <v>12.013578015716117</v>
      </c>
      <c r="D23" s="111">
        <f t="shared" si="9"/>
        <v>12.013578015716117</v>
      </c>
      <c r="E23" s="112"/>
      <c r="F23" s="88">
        <v>2025</v>
      </c>
      <c r="G23" s="150">
        <f>[3]Results!O42</f>
        <v>0</v>
      </c>
      <c r="H23" s="110">
        <f t="shared" si="10"/>
        <v>0</v>
      </c>
      <c r="I23" s="111">
        <f t="shared" si="11"/>
        <v>0</v>
      </c>
      <c r="K23" s="88">
        <v>2025</v>
      </c>
      <c r="L23" s="149">
        <f>[4]Results!O42</f>
        <v>0.40568289842016919</v>
      </c>
      <c r="M23" s="110">
        <f t="shared" si="12"/>
        <v>8.5193408668235531</v>
      </c>
      <c r="N23" s="111">
        <f t="shared" si="13"/>
        <v>8.5193408668235531</v>
      </c>
      <c r="P23" s="88">
        <v>2025</v>
      </c>
      <c r="Q23" s="149">
        <f>[5]Results!O42</f>
        <v>0</v>
      </c>
      <c r="R23" s="113">
        <f t="shared" si="14"/>
        <v>0</v>
      </c>
      <c r="S23" s="114">
        <f t="shared" si="15"/>
        <v>0</v>
      </c>
    </row>
    <row r="24" spans="1:19" x14ac:dyDescent="0.25">
      <c r="A24" s="88">
        <v>2026</v>
      </c>
      <c r="B24" s="150">
        <f>[2]Results!O43</f>
        <v>0.58438495157063119</v>
      </c>
      <c r="C24" s="110">
        <f t="shared" si="8"/>
        <v>12.272083982983254</v>
      </c>
      <c r="D24" s="111">
        <f t="shared" si="9"/>
        <v>12.272083982983254</v>
      </c>
      <c r="E24" s="112"/>
      <c r="F24" s="88">
        <v>2026</v>
      </c>
      <c r="G24" s="150">
        <f>[3]Results!O43</f>
        <v>0</v>
      </c>
      <c r="H24" s="110">
        <f t="shared" si="10"/>
        <v>0</v>
      </c>
      <c r="I24" s="111">
        <f t="shared" si="11"/>
        <v>0</v>
      </c>
      <c r="K24" s="88">
        <v>2026</v>
      </c>
      <c r="L24" s="149">
        <f>[4]Results!O43</f>
        <v>0.41441230858612044</v>
      </c>
      <c r="M24" s="110">
        <f t="shared" si="12"/>
        <v>8.7026584803085285</v>
      </c>
      <c r="N24" s="111">
        <f t="shared" si="13"/>
        <v>8.7026584803085285</v>
      </c>
      <c r="P24" s="88">
        <v>2026</v>
      </c>
      <c r="Q24" s="149">
        <f>[5]Results!O43</f>
        <v>0</v>
      </c>
      <c r="R24" s="113">
        <f t="shared" si="14"/>
        <v>0</v>
      </c>
      <c r="S24" s="114">
        <f t="shared" si="15"/>
        <v>0</v>
      </c>
    </row>
    <row r="25" spans="1:19" x14ac:dyDescent="0.25">
      <c r="A25" s="88">
        <v>2027</v>
      </c>
      <c r="B25" s="150">
        <f>[2]Results!O44</f>
        <v>0.59665416421373829</v>
      </c>
      <c r="C25" s="110">
        <f t="shared" si="8"/>
        <v>12.529737448488504</v>
      </c>
      <c r="D25" s="111">
        <f t="shared" si="9"/>
        <v>12.529737448488504</v>
      </c>
      <c r="E25" s="112"/>
      <c r="F25" s="88">
        <v>2027</v>
      </c>
      <c r="G25" s="150">
        <f>[3]Results!O44</f>
        <v>0</v>
      </c>
      <c r="H25" s="110">
        <f t="shared" si="10"/>
        <v>0</v>
      </c>
      <c r="I25" s="111">
        <f t="shared" si="11"/>
        <v>0</v>
      </c>
      <c r="K25" s="88">
        <v>2027</v>
      </c>
      <c r="L25" s="149">
        <f>[4]Results!O44</f>
        <v>0.42311293087678453</v>
      </c>
      <c r="M25" s="110">
        <f t="shared" si="12"/>
        <v>8.8853715484124756</v>
      </c>
      <c r="N25" s="111">
        <f t="shared" si="13"/>
        <v>8.8853715484124756</v>
      </c>
      <c r="P25" s="88">
        <v>2027</v>
      </c>
      <c r="Q25" s="149">
        <f>[5]Results!O44</f>
        <v>0</v>
      </c>
      <c r="R25" s="113">
        <f t="shared" si="14"/>
        <v>0</v>
      </c>
      <c r="S25" s="114">
        <f t="shared" si="15"/>
        <v>0</v>
      </c>
    </row>
    <row r="26" spans="1:19" x14ac:dyDescent="0.25">
      <c r="A26" s="88">
        <v>2028</v>
      </c>
      <c r="B26" s="150">
        <f>[2]Results!O45</f>
        <v>0.60888597071957729</v>
      </c>
      <c r="C26" s="110">
        <f t="shared" si="8"/>
        <v>12.786605385111123</v>
      </c>
      <c r="D26" s="111">
        <f t="shared" si="9"/>
        <v>12.786605385111123</v>
      </c>
      <c r="E26" s="112"/>
      <c r="F26" s="88">
        <v>2028</v>
      </c>
      <c r="G26" s="150">
        <f>[3]Results!O45</f>
        <v>0</v>
      </c>
      <c r="H26" s="110">
        <f t="shared" si="10"/>
        <v>0</v>
      </c>
      <c r="I26" s="111">
        <f t="shared" si="11"/>
        <v>0</v>
      </c>
      <c r="K26" s="88">
        <v>2028</v>
      </c>
      <c r="L26" s="149">
        <f>[4]Results!O45</f>
        <v>0.43178702687915377</v>
      </c>
      <c r="M26" s="110">
        <f t="shared" si="12"/>
        <v>9.06752756446223</v>
      </c>
      <c r="N26" s="111">
        <f t="shared" si="13"/>
        <v>9.06752756446223</v>
      </c>
      <c r="P26" s="88">
        <v>2028</v>
      </c>
      <c r="Q26" s="149">
        <f>[5]Results!O45</f>
        <v>0</v>
      </c>
      <c r="R26" s="113">
        <f t="shared" si="14"/>
        <v>0</v>
      </c>
      <c r="S26" s="114">
        <f t="shared" si="15"/>
        <v>0</v>
      </c>
    </row>
    <row r="27" spans="1:19" x14ac:dyDescent="0.25">
      <c r="A27" s="88">
        <v>2029</v>
      </c>
      <c r="B27" s="150">
        <f>[2]Results!O46</f>
        <v>0.62108343167132618</v>
      </c>
      <c r="C27" s="110">
        <f t="shared" si="8"/>
        <v>13.042752065097849</v>
      </c>
      <c r="D27" s="111">
        <f t="shared" si="9"/>
        <v>13.042752065097849</v>
      </c>
      <c r="E27" s="112"/>
      <c r="F27" s="88">
        <v>2029</v>
      </c>
      <c r="G27" s="150">
        <f>[3]Results!O46</f>
        <v>0</v>
      </c>
      <c r="H27" s="110">
        <f t="shared" si="10"/>
        <v>0</v>
      </c>
      <c r="I27" s="111">
        <f t="shared" si="11"/>
        <v>0</v>
      </c>
      <c r="K27" s="88">
        <v>2029</v>
      </c>
      <c r="L27" s="149">
        <f>[4]Results!O46</f>
        <v>0.44043676698337386</v>
      </c>
      <c r="M27" s="110">
        <f t="shared" si="12"/>
        <v>9.2491721066508514</v>
      </c>
      <c r="N27" s="111">
        <f t="shared" si="13"/>
        <v>9.2491721066508514</v>
      </c>
      <c r="P27" s="88">
        <v>2029</v>
      </c>
      <c r="Q27" s="149">
        <f>[5]Results!O46</f>
        <v>0</v>
      </c>
      <c r="R27" s="113">
        <f t="shared" si="14"/>
        <v>0</v>
      </c>
      <c r="S27" s="114">
        <f t="shared" si="15"/>
        <v>0</v>
      </c>
    </row>
    <row r="28" spans="1:19" x14ac:dyDescent="0.25">
      <c r="A28" s="88">
        <v>2030</v>
      </c>
      <c r="B28" s="150">
        <f>[2]Results!O47</f>
        <v>0.63324942253854777</v>
      </c>
      <c r="C28" s="110">
        <f t="shared" si="8"/>
        <v>13.298237873309503</v>
      </c>
      <c r="D28" s="111">
        <f t="shared" si="9"/>
        <v>13.298237873309503</v>
      </c>
      <c r="E28" s="112"/>
      <c r="F28" s="88">
        <v>2030</v>
      </c>
      <c r="G28" s="150">
        <f>[3]Results!O47</f>
        <v>0</v>
      </c>
      <c r="H28" s="110">
        <f t="shared" si="10"/>
        <v>0</v>
      </c>
      <c r="I28" s="111">
        <f t="shared" si="11"/>
        <v>0</v>
      </c>
      <c r="K28" s="88">
        <v>2030</v>
      </c>
      <c r="L28" s="149">
        <f>[4]Results!O47</f>
        <v>0.44906419030762701</v>
      </c>
      <c r="M28" s="110">
        <f t="shared" si="12"/>
        <v>9.4303479964601671</v>
      </c>
      <c r="N28" s="111">
        <f t="shared" si="13"/>
        <v>9.4303479964601671</v>
      </c>
      <c r="P28" s="88">
        <v>2030</v>
      </c>
      <c r="Q28" s="149">
        <f>[5]Results!O47</f>
        <v>0</v>
      </c>
      <c r="R28" s="113">
        <f t="shared" si="14"/>
        <v>0</v>
      </c>
      <c r="S28" s="114">
        <f t="shared" si="15"/>
        <v>0</v>
      </c>
    </row>
    <row r="29" spans="1:19" x14ac:dyDescent="0.25">
      <c r="A29" s="88">
        <v>2031</v>
      </c>
      <c r="B29" s="150"/>
      <c r="C29" s="110">
        <f t="shared" si="8"/>
        <v>0</v>
      </c>
      <c r="D29" s="111">
        <f t="shared" si="9"/>
        <v>0</v>
      </c>
      <c r="E29" s="112"/>
      <c r="F29" s="88">
        <v>2031</v>
      </c>
      <c r="G29" s="150"/>
      <c r="H29" s="110">
        <f t="shared" si="10"/>
        <v>0</v>
      </c>
      <c r="I29" s="111">
        <f t="shared" si="11"/>
        <v>0</v>
      </c>
      <c r="K29" s="88">
        <v>2031</v>
      </c>
      <c r="L29" s="149"/>
      <c r="M29" s="110">
        <f t="shared" si="12"/>
        <v>0</v>
      </c>
      <c r="N29" s="111">
        <f t="shared" si="13"/>
        <v>0</v>
      </c>
      <c r="P29" s="88">
        <v>2031</v>
      </c>
      <c r="Q29" s="149"/>
      <c r="R29" s="113">
        <f t="shared" si="14"/>
        <v>0</v>
      </c>
      <c r="S29" s="114">
        <f t="shared" si="15"/>
        <v>0</v>
      </c>
    </row>
    <row r="31" spans="1:19" ht="15.75" thickBot="1" x14ac:dyDescent="0.3">
      <c r="A31" s="115" t="s">
        <v>127</v>
      </c>
    </row>
    <row r="32" spans="1:19" ht="15.75" thickBot="1" x14ac:dyDescent="0.3">
      <c r="A32" s="197" t="s">
        <v>11</v>
      </c>
      <c r="B32" s="199" t="s">
        <v>81</v>
      </c>
      <c r="C32" s="200"/>
      <c r="D32" s="200"/>
      <c r="E32" s="200"/>
      <c r="F32" s="201"/>
    </row>
    <row r="33" spans="1:6" ht="18.75" thickBot="1" x14ac:dyDescent="0.3">
      <c r="A33" s="198"/>
      <c r="B33" s="199" t="s">
        <v>129</v>
      </c>
      <c r="C33" s="201"/>
      <c r="D33" s="199" t="s">
        <v>133</v>
      </c>
      <c r="E33" s="201"/>
      <c r="F33" s="202" t="s">
        <v>130</v>
      </c>
    </row>
    <row r="34" spans="1:6" ht="18" x14ac:dyDescent="0.25">
      <c r="A34" s="198"/>
      <c r="B34" s="116" t="s">
        <v>131</v>
      </c>
      <c r="C34" s="116" t="s">
        <v>132</v>
      </c>
      <c r="D34" s="116" t="s">
        <v>134</v>
      </c>
      <c r="E34" s="116" t="s">
        <v>132</v>
      </c>
      <c r="F34" s="203"/>
    </row>
    <row r="35" spans="1:6" x14ac:dyDescent="0.25">
      <c r="A35" s="88">
        <v>2011</v>
      </c>
      <c r="B35" s="110">
        <f>[6]REKAPITULASI!B6</f>
        <v>1.5765624E-3</v>
      </c>
      <c r="C35" s="110">
        <f>B35*21</f>
        <v>3.31078104E-2</v>
      </c>
      <c r="D35" s="110">
        <f>[6]REKAPITULASI!D6</f>
        <v>1.1824218E-4</v>
      </c>
      <c r="E35" s="110">
        <f>D35*310</f>
        <v>3.6655075799999999E-2</v>
      </c>
      <c r="F35" s="111">
        <f>E35+C35</f>
        <v>6.9762886199999999E-2</v>
      </c>
    </row>
    <row r="36" spans="1:6" x14ac:dyDescent="0.25">
      <c r="A36" s="88">
        <v>2012</v>
      </c>
      <c r="B36" s="110">
        <f>[6]REKAPITULASI!B7</f>
        <v>1.5987672000000001E-3</v>
      </c>
      <c r="C36" s="110">
        <f t="shared" ref="C36:C45" si="16">B36*21</f>
        <v>3.3574111200000006E-2</v>
      </c>
      <c r="D36" s="110">
        <f>[6]REKAPITULASI!D7</f>
        <v>1.1990754000000001E-4</v>
      </c>
      <c r="E36" s="110">
        <f t="shared" ref="E36:E45" si="17">D36*310</f>
        <v>3.7171337400000004E-2</v>
      </c>
      <c r="F36" s="111">
        <f t="shared" ref="F36:F45" si="18">E36+C36</f>
        <v>7.074544860000001E-2</v>
      </c>
    </row>
    <row r="37" spans="1:6" x14ac:dyDescent="0.25">
      <c r="A37" s="88">
        <v>2013</v>
      </c>
      <c r="B37" s="110">
        <f>[6]REKAPITULASI!B8</f>
        <v>1.6222140000000001E-3</v>
      </c>
      <c r="C37" s="110">
        <f t="shared" si="16"/>
        <v>3.4066494000000003E-2</v>
      </c>
      <c r="D37" s="110">
        <f>[6]REKAPITULASI!D8</f>
        <v>1.2166605E-4</v>
      </c>
      <c r="E37" s="110">
        <f t="shared" si="17"/>
        <v>3.7716475499999999E-2</v>
      </c>
      <c r="F37" s="111">
        <f t="shared" si="18"/>
        <v>7.1782969500000002E-2</v>
      </c>
    </row>
    <row r="38" spans="1:6" x14ac:dyDescent="0.25">
      <c r="A38" s="88">
        <v>2014</v>
      </c>
      <c r="B38" s="110">
        <f>[6]REKAPITULASI!B9</f>
        <v>1.6428852000000002E-3</v>
      </c>
      <c r="C38" s="110">
        <f t="shared" si="16"/>
        <v>3.4500589200000008E-2</v>
      </c>
      <c r="D38" s="110">
        <f>[6]REKAPITULASI!D9</f>
        <v>1.2321639000000001E-4</v>
      </c>
      <c r="E38" s="110">
        <f t="shared" si="17"/>
        <v>3.8197080899999999E-2</v>
      </c>
      <c r="F38" s="111">
        <f t="shared" si="18"/>
        <v>7.26976701E-2</v>
      </c>
    </row>
    <row r="39" spans="1:6" x14ac:dyDescent="0.25">
      <c r="A39" s="88">
        <v>2015</v>
      </c>
      <c r="B39" s="110">
        <f>[6]REKAPITULASI!B10</f>
        <v>1.6657379999999999E-3</v>
      </c>
      <c r="C39" s="110">
        <f t="shared" si="16"/>
        <v>3.4980497999999999E-2</v>
      </c>
      <c r="D39" s="110">
        <f>[6]REKAPITULASI!D10</f>
        <v>1.2493035E-4</v>
      </c>
      <c r="E39" s="110">
        <f t="shared" si="17"/>
        <v>3.8728408499999999E-2</v>
      </c>
      <c r="F39" s="111">
        <f t="shared" si="18"/>
        <v>7.3708906500000004E-2</v>
      </c>
    </row>
    <row r="40" spans="1:6" x14ac:dyDescent="0.25">
      <c r="A40" s="88">
        <v>2016</v>
      </c>
      <c r="B40" s="110">
        <f>[6]REKAPITULASI!B11</f>
        <v>1.6848108000000002E-3</v>
      </c>
      <c r="C40" s="110">
        <f t="shared" si="16"/>
        <v>3.5381026800000007E-2</v>
      </c>
      <c r="D40" s="110">
        <f>[6]REKAPITULASI!D11</f>
        <v>1.2636081000000002E-4</v>
      </c>
      <c r="E40" s="110">
        <f t="shared" si="17"/>
        <v>3.9171851100000009E-2</v>
      </c>
      <c r="F40" s="111">
        <f t="shared" si="18"/>
        <v>7.4552877900000009E-2</v>
      </c>
    </row>
    <row r="41" spans="1:6" x14ac:dyDescent="0.25">
      <c r="A41" s="88">
        <v>2017</v>
      </c>
      <c r="B41" s="110">
        <f>[6]REKAPITULASI!B12</f>
        <v>1.7509219200000001E-3</v>
      </c>
      <c r="C41" s="110">
        <f t="shared" si="16"/>
        <v>3.676936032E-2</v>
      </c>
      <c r="D41" s="110">
        <f>[6]REKAPITULASI!D12</f>
        <v>1.3131914399999999E-4</v>
      </c>
      <c r="E41" s="110">
        <f t="shared" si="17"/>
        <v>4.070893464E-2</v>
      </c>
      <c r="F41" s="111">
        <f t="shared" si="18"/>
        <v>7.7478294959999999E-2</v>
      </c>
    </row>
    <row r="42" spans="1:6" x14ac:dyDescent="0.25">
      <c r="A42" s="88">
        <v>2018</v>
      </c>
      <c r="B42" s="110">
        <f>[6]REKAPITULASI!B13</f>
        <v>1.7881322399999999E-3</v>
      </c>
      <c r="C42" s="110">
        <f t="shared" si="16"/>
        <v>3.7550777039999997E-2</v>
      </c>
      <c r="D42" s="110">
        <f>[6]REKAPITULASI!D13</f>
        <v>1.34109918E-4</v>
      </c>
      <c r="E42" s="110">
        <f t="shared" si="17"/>
        <v>4.1574074580000002E-2</v>
      </c>
      <c r="F42" s="111">
        <f t="shared" si="18"/>
        <v>7.9124851619999992E-2</v>
      </c>
    </row>
    <row r="43" spans="1:6" x14ac:dyDescent="0.25">
      <c r="A43" s="88">
        <v>2019</v>
      </c>
      <c r="B43" s="110">
        <f>[6]REKAPITULASI!B14</f>
        <v>1.8253425600000001E-3</v>
      </c>
      <c r="C43" s="110">
        <f t="shared" si="16"/>
        <v>3.8332193760000001E-2</v>
      </c>
      <c r="D43" s="110">
        <f>[6]REKAPITULASI!D14</f>
        <v>1.3690069200000002E-4</v>
      </c>
      <c r="E43" s="110">
        <f t="shared" si="17"/>
        <v>4.2439214520000004E-2</v>
      </c>
      <c r="F43" s="111">
        <f t="shared" si="18"/>
        <v>8.0771408280000012E-2</v>
      </c>
    </row>
    <row r="44" spans="1:6" x14ac:dyDescent="0.25">
      <c r="A44" s="88">
        <v>2020</v>
      </c>
      <c r="B44" s="110">
        <f>[6]REKAPITULASI!B15</f>
        <v>1.8625528799999999E-3</v>
      </c>
      <c r="C44" s="110">
        <f t="shared" si="16"/>
        <v>3.9113610479999998E-2</v>
      </c>
      <c r="D44" s="110">
        <f>[6]REKAPITULASI!D15</f>
        <v>1.3969146599999998E-4</v>
      </c>
      <c r="E44" s="110">
        <f t="shared" si="17"/>
        <v>4.3304354459999993E-2</v>
      </c>
      <c r="F44" s="111">
        <f t="shared" si="18"/>
        <v>8.2417964939999991E-2</v>
      </c>
    </row>
    <row r="45" spans="1:6" x14ac:dyDescent="0.25">
      <c r="A45" s="88">
        <v>2021</v>
      </c>
      <c r="B45" s="110">
        <f>[6]REKAPITULASI!B16</f>
        <v>1.8997632000000001E-3</v>
      </c>
      <c r="C45" s="110">
        <f t="shared" si="16"/>
        <v>3.9895027200000002E-2</v>
      </c>
      <c r="D45" s="110">
        <f>[6]REKAPITULASI!D16</f>
        <v>1.4248224E-4</v>
      </c>
      <c r="E45" s="110">
        <f t="shared" si="17"/>
        <v>4.4169494400000002E-2</v>
      </c>
      <c r="F45" s="111">
        <f t="shared" si="18"/>
        <v>8.4064521599999997E-2</v>
      </c>
    </row>
    <row r="46" spans="1:6" x14ac:dyDescent="0.25">
      <c r="A46" s="88">
        <v>2022</v>
      </c>
      <c r="B46" s="110">
        <f>[6]REKAPITULASI!B17</f>
        <v>1.9369735199999999E-3</v>
      </c>
      <c r="C46" s="110">
        <f t="shared" ref="C46:C55" si="19">B46*21</f>
        <v>4.0676443919999999E-2</v>
      </c>
      <c r="D46" s="110">
        <f>[6]REKAPITULASI!D17</f>
        <v>1.4527301400000001E-4</v>
      </c>
      <c r="E46" s="110">
        <f t="shared" ref="E46:E55" si="20">D46*310</f>
        <v>4.5034634340000004E-2</v>
      </c>
      <c r="F46" s="111">
        <f t="shared" ref="F46:F55" si="21">E46+C46</f>
        <v>8.5711078260000004E-2</v>
      </c>
    </row>
    <row r="47" spans="1:6" x14ac:dyDescent="0.25">
      <c r="A47" s="88">
        <v>2023</v>
      </c>
      <c r="B47" s="110">
        <f>[6]REKAPITULASI!B18</f>
        <v>1.9741838400000001E-3</v>
      </c>
      <c r="C47" s="110">
        <f t="shared" si="19"/>
        <v>4.1457860640000004E-2</v>
      </c>
      <c r="D47" s="110">
        <f>[6]REKAPITULASI!D18</f>
        <v>1.48063788E-4</v>
      </c>
      <c r="E47" s="110">
        <f t="shared" si="20"/>
        <v>4.589977428E-2</v>
      </c>
      <c r="F47" s="111">
        <f t="shared" si="21"/>
        <v>8.735763492000001E-2</v>
      </c>
    </row>
    <row r="48" spans="1:6" x14ac:dyDescent="0.25">
      <c r="A48" s="88">
        <v>2024</v>
      </c>
      <c r="B48" s="110">
        <f>[6]REKAPITULASI!B19</f>
        <v>2.0113941599999999E-3</v>
      </c>
      <c r="C48" s="110">
        <f t="shared" si="19"/>
        <v>4.2239277360000001E-2</v>
      </c>
      <c r="D48" s="110">
        <f>[6]REKAPITULASI!D19</f>
        <v>1.5085456199999999E-4</v>
      </c>
      <c r="E48" s="110">
        <f t="shared" si="20"/>
        <v>4.6764914219999995E-2</v>
      </c>
      <c r="F48" s="111">
        <f t="shared" si="21"/>
        <v>8.9004191580000003E-2</v>
      </c>
    </row>
    <row r="49" spans="1:10" x14ac:dyDescent="0.25">
      <c r="A49" s="88">
        <v>2025</v>
      </c>
      <c r="B49" s="110">
        <f>[6]REKAPITULASI!B20</f>
        <v>2.0486044799999997E-3</v>
      </c>
      <c r="C49" s="110">
        <f t="shared" si="19"/>
        <v>4.3020694079999991E-2</v>
      </c>
      <c r="D49" s="110">
        <f>[6]REKAPITULASI!D20</f>
        <v>1.5364533599999998E-4</v>
      </c>
      <c r="E49" s="110">
        <f t="shared" si="20"/>
        <v>4.7630054159999997E-2</v>
      </c>
      <c r="F49" s="111">
        <f t="shared" si="21"/>
        <v>9.0650748239999995E-2</v>
      </c>
    </row>
    <row r="50" spans="1:10" x14ac:dyDescent="0.25">
      <c r="A50" s="88">
        <v>2026</v>
      </c>
      <c r="B50" s="110">
        <f>[6]REKAPITULASI!B21</f>
        <v>2.0858147999999999E-3</v>
      </c>
      <c r="C50" s="110">
        <f t="shared" si="19"/>
        <v>4.3802110799999995E-2</v>
      </c>
      <c r="D50" s="110">
        <f>[6]REKAPITULASI!D21</f>
        <v>1.5643611E-4</v>
      </c>
      <c r="E50" s="110">
        <f t="shared" si="20"/>
        <v>4.84951941E-2</v>
      </c>
      <c r="F50" s="111">
        <f t="shared" si="21"/>
        <v>9.2297304899999988E-2</v>
      </c>
    </row>
    <row r="51" spans="1:10" x14ac:dyDescent="0.25">
      <c r="A51" s="88">
        <v>2027</v>
      </c>
      <c r="B51" s="110">
        <f>[6]REKAPITULASI!B22</f>
        <v>2.1230251200000001E-3</v>
      </c>
      <c r="C51" s="110">
        <f t="shared" si="19"/>
        <v>4.4583527519999999E-2</v>
      </c>
      <c r="D51" s="110">
        <f>[6]REKAPITULASI!D22</f>
        <v>1.5922688400000001E-4</v>
      </c>
      <c r="E51" s="110">
        <f t="shared" si="20"/>
        <v>4.9360334040000002E-2</v>
      </c>
      <c r="F51" s="111">
        <f t="shared" si="21"/>
        <v>9.3943861560000008E-2</v>
      </c>
    </row>
    <row r="52" spans="1:10" x14ac:dyDescent="0.25">
      <c r="A52" s="88">
        <v>2028</v>
      </c>
      <c r="B52" s="110">
        <f>[6]REKAPITULASI!B23</f>
        <v>2.1602354399999995E-3</v>
      </c>
      <c r="C52" s="110">
        <f t="shared" si="19"/>
        <v>4.5364944239999989E-2</v>
      </c>
      <c r="D52" s="110">
        <f>[6]REKAPITULASI!D23</f>
        <v>1.6201765799999998E-4</v>
      </c>
      <c r="E52" s="110">
        <f t="shared" si="20"/>
        <v>5.0225473979999991E-2</v>
      </c>
      <c r="F52" s="111">
        <f t="shared" si="21"/>
        <v>9.5590418219999973E-2</v>
      </c>
    </row>
    <row r="53" spans="1:10" x14ac:dyDescent="0.25">
      <c r="A53" s="88">
        <v>2029</v>
      </c>
      <c r="B53" s="110">
        <f>[6]REKAPITULASI!B24</f>
        <v>2.1974457600000001E-3</v>
      </c>
      <c r="C53" s="110">
        <f t="shared" si="19"/>
        <v>4.614636096E-2</v>
      </c>
      <c r="D53" s="110">
        <f>[6]REKAPITULASI!D24</f>
        <v>1.6480843199999997E-4</v>
      </c>
      <c r="E53" s="110">
        <f t="shared" si="20"/>
        <v>5.1090613919999993E-2</v>
      </c>
      <c r="F53" s="111">
        <f t="shared" si="21"/>
        <v>9.7236974879999993E-2</v>
      </c>
    </row>
    <row r="54" spans="1:10" x14ac:dyDescent="0.25">
      <c r="A54" s="88">
        <v>2030</v>
      </c>
      <c r="B54" s="110">
        <f>[6]REKAPITULASI!B25</f>
        <v>2.2346560800000003E-3</v>
      </c>
      <c r="C54" s="110">
        <f t="shared" si="19"/>
        <v>4.6927777680000005E-2</v>
      </c>
      <c r="D54" s="110">
        <f>[6]REKAPITULASI!D25</f>
        <v>1.6759920600000001E-4</v>
      </c>
      <c r="E54" s="110">
        <f t="shared" si="20"/>
        <v>5.1955753860000002E-2</v>
      </c>
      <c r="F54" s="111">
        <f t="shared" si="21"/>
        <v>9.8883531540000014E-2</v>
      </c>
    </row>
    <row r="55" spans="1:10" x14ac:dyDescent="0.25">
      <c r="A55" s="88">
        <v>2031</v>
      </c>
      <c r="B55" s="99"/>
      <c r="C55" s="110">
        <f t="shared" si="19"/>
        <v>0</v>
      </c>
      <c r="D55" s="110"/>
      <c r="E55" s="110">
        <f t="shared" si="20"/>
        <v>0</v>
      </c>
      <c r="F55" s="111">
        <f t="shared" si="21"/>
        <v>0</v>
      </c>
    </row>
    <row r="57" spans="1:10" ht="15.75" thickBot="1" x14ac:dyDescent="0.3">
      <c r="A57" s="104" t="s">
        <v>88</v>
      </c>
      <c r="J57" s="95">
        <v>1000</v>
      </c>
    </row>
    <row r="58" spans="1:10" ht="15.75" thickBot="1" x14ac:dyDescent="0.3">
      <c r="A58" s="191" t="s">
        <v>11</v>
      </c>
      <c r="B58" s="193" t="s">
        <v>89</v>
      </c>
      <c r="C58" s="194"/>
      <c r="D58" s="194"/>
      <c r="E58" s="194"/>
      <c r="F58" s="194"/>
    </row>
    <row r="59" spans="1:10" ht="18.75" thickBot="1" x14ac:dyDescent="0.3">
      <c r="A59" s="192"/>
      <c r="B59" s="193" t="s">
        <v>129</v>
      </c>
      <c r="C59" s="195"/>
      <c r="D59" s="193" t="s">
        <v>133</v>
      </c>
      <c r="E59" s="195"/>
      <c r="F59" s="117" t="s">
        <v>135</v>
      </c>
      <c r="H59" s="181" t="s">
        <v>11</v>
      </c>
      <c r="I59" s="181" t="s">
        <v>145</v>
      </c>
      <c r="J59" s="181"/>
    </row>
    <row r="60" spans="1:10" ht="18" x14ac:dyDescent="0.25">
      <c r="A60" s="192"/>
      <c r="B60" s="118" t="s">
        <v>131</v>
      </c>
      <c r="C60" s="118" t="s">
        <v>132</v>
      </c>
      <c r="D60" s="118" t="s">
        <v>134</v>
      </c>
      <c r="E60" s="118" t="s">
        <v>132</v>
      </c>
      <c r="F60" s="118" t="s">
        <v>136</v>
      </c>
      <c r="H60" s="181"/>
      <c r="I60" s="141" t="s">
        <v>146</v>
      </c>
      <c r="J60" s="141" t="s">
        <v>147</v>
      </c>
    </row>
    <row r="61" spans="1:10" x14ac:dyDescent="0.25">
      <c r="A61" s="88">
        <v>2011</v>
      </c>
      <c r="B61" s="136">
        <f>[6]REKAPITULASI!B32</f>
        <v>1.35139060511E-2</v>
      </c>
      <c r="C61" s="120">
        <f>B61*21</f>
        <v>0.28379202707310003</v>
      </c>
      <c r="D61" s="136">
        <f>[6]REKAPITULASI!D32</f>
        <v>3.1185937040999998E-4</v>
      </c>
      <c r="E61" s="120">
        <f>D61*310</f>
        <v>9.6676404827099993E-2</v>
      </c>
      <c r="F61" s="121">
        <f>SUM(C61+E61)</f>
        <v>0.38046843190020002</v>
      </c>
      <c r="H61" s="88">
        <v>2011</v>
      </c>
      <c r="I61" s="142">
        <f t="shared" ref="I61:I66" si="22">D9+I9+N9+S9+F35+F61</f>
        <v>15.113794090549563</v>
      </c>
      <c r="J61" s="143">
        <f>I61*$J$57</f>
        <v>15113.794090549563</v>
      </c>
    </row>
    <row r="62" spans="1:10" x14ac:dyDescent="0.25">
      <c r="A62" s="88">
        <v>2012</v>
      </c>
      <c r="B62" s="136">
        <f>[6]REKAPITULASI!B33</f>
        <v>1.3704240148299997E-2</v>
      </c>
      <c r="C62" s="120">
        <f t="shared" ref="C62:C81" si="23">B62*21</f>
        <v>0.28778904311429993</v>
      </c>
      <c r="D62" s="136">
        <f>[6]REKAPITULASI!D33</f>
        <v>3.1625169572999996E-4</v>
      </c>
      <c r="E62" s="120">
        <f t="shared" ref="E62:E81" si="24">D62*310</f>
        <v>9.8038025676299989E-2</v>
      </c>
      <c r="F62" s="121">
        <f t="shared" ref="F62:F81" si="25">SUM(C62+E62)</f>
        <v>0.38582706879059991</v>
      </c>
      <c r="H62" s="88">
        <v>2012</v>
      </c>
      <c r="I62" s="142">
        <f t="shared" si="22"/>
        <v>15.536534794536447</v>
      </c>
      <c r="J62" s="143">
        <f t="shared" ref="J62:J70" si="26">I62*$J$57</f>
        <v>15536.534794536446</v>
      </c>
    </row>
    <row r="63" spans="1:10" x14ac:dyDescent="0.25">
      <c r="A63" s="88">
        <v>2013</v>
      </c>
      <c r="B63" s="136">
        <f>[6]REKAPITULASI!B34</f>
        <v>1.3905220364750002E-2</v>
      </c>
      <c r="C63" s="120">
        <f t="shared" si="23"/>
        <v>0.29200962765975003</v>
      </c>
      <c r="D63" s="136">
        <f>[6]REKAPITULASI!D34</f>
        <v>3.2088970072500009E-4</v>
      </c>
      <c r="E63" s="120">
        <f t="shared" si="24"/>
        <v>9.9475807224750024E-2</v>
      </c>
      <c r="F63" s="121">
        <f t="shared" si="25"/>
        <v>0.39148543488450005</v>
      </c>
      <c r="H63" s="88">
        <v>2013</v>
      </c>
      <c r="I63" s="142">
        <f t="shared" si="22"/>
        <v>15.943192987306427</v>
      </c>
      <c r="J63" s="143">
        <f t="shared" si="26"/>
        <v>15943.192987306427</v>
      </c>
    </row>
    <row r="64" spans="1:10" x14ac:dyDescent="0.25">
      <c r="A64" s="88">
        <v>2014</v>
      </c>
      <c r="B64" s="136">
        <f>[6]REKAPITULASI!B35</f>
        <v>1.4082408819049999E-2</v>
      </c>
      <c r="C64" s="120">
        <f t="shared" si="23"/>
        <v>0.29573058520004997</v>
      </c>
      <c r="D64" s="136">
        <f>[6]REKAPITULASI!D35</f>
        <v>3.2497866505499997E-4</v>
      </c>
      <c r="E64" s="120">
        <f t="shared" si="24"/>
        <v>0.10074338616704999</v>
      </c>
      <c r="F64" s="121">
        <f t="shared" si="25"/>
        <v>0.39647397136709994</v>
      </c>
      <c r="H64" s="88">
        <v>2014</v>
      </c>
      <c r="I64" s="142">
        <f t="shared" si="22"/>
        <v>16.337496365948279</v>
      </c>
      <c r="J64" s="143">
        <f t="shared" si="26"/>
        <v>16337.49636594828</v>
      </c>
    </row>
    <row r="65" spans="1:10" x14ac:dyDescent="0.25">
      <c r="A65" s="88">
        <v>2015</v>
      </c>
      <c r="B65" s="136">
        <f>[6]REKAPITULASI!B36</f>
        <v>1.4278297413249999E-2</v>
      </c>
      <c r="C65" s="120">
        <f t="shared" si="23"/>
        <v>0.29984424567824997</v>
      </c>
      <c r="D65" s="136">
        <f>[6]REKAPITULASI!D36</f>
        <v>3.29499171075E-4</v>
      </c>
      <c r="E65" s="120">
        <f t="shared" si="24"/>
        <v>0.10214474303325</v>
      </c>
      <c r="F65" s="121">
        <f t="shared" si="25"/>
        <v>0.40198898871149996</v>
      </c>
      <c r="H65" s="88">
        <v>2015</v>
      </c>
      <c r="I65" s="142">
        <f t="shared" si="22"/>
        <v>16.713619667644448</v>
      </c>
      <c r="J65" s="143">
        <f t="shared" si="26"/>
        <v>16713.619667644449</v>
      </c>
    </row>
    <row r="66" spans="1:10" x14ac:dyDescent="0.25">
      <c r="A66" s="88">
        <v>2016</v>
      </c>
      <c r="B66" s="136">
        <f>[6]REKAPITULASI!B37</f>
        <v>1.4441784774949997E-2</v>
      </c>
      <c r="C66" s="120">
        <f t="shared" si="23"/>
        <v>0.30327748027394996</v>
      </c>
      <c r="D66" s="136">
        <f>[6]REKAPITULASI!D37</f>
        <v>3.3327195634499994E-4</v>
      </c>
      <c r="E66" s="120">
        <f t="shared" si="24"/>
        <v>0.10331430646694999</v>
      </c>
      <c r="F66" s="121">
        <f t="shared" si="25"/>
        <v>0.40659178674089996</v>
      </c>
      <c r="H66" s="88">
        <v>2016</v>
      </c>
      <c r="I66" s="142">
        <f t="shared" si="22"/>
        <v>17.078867726376519</v>
      </c>
      <c r="J66" s="143">
        <f t="shared" si="26"/>
        <v>17078.86772637652</v>
      </c>
    </row>
    <row r="67" spans="1:10" x14ac:dyDescent="0.25">
      <c r="A67" s="88">
        <v>2017</v>
      </c>
      <c r="B67" s="136">
        <f>[6]REKAPITULASI!B38</f>
        <v>1.5008473073879999E-2</v>
      </c>
      <c r="C67" s="120">
        <f t="shared" si="23"/>
        <v>0.31517793455147997</v>
      </c>
      <c r="D67" s="136">
        <f>[6]REKAPITULASI!D38</f>
        <v>3.4634937862799997E-4</v>
      </c>
      <c r="E67" s="120">
        <f t="shared" si="24"/>
        <v>0.10736830737467999</v>
      </c>
      <c r="F67" s="121">
        <f t="shared" si="25"/>
        <v>0.42254624192615997</v>
      </c>
      <c r="H67" s="88">
        <v>2017</v>
      </c>
      <c r="I67" s="142">
        <f t="shared" ref="I67:I81" si="27">D15+I15+N15+S15+F41+F67</f>
        <v>17.437886385158979</v>
      </c>
      <c r="J67" s="143">
        <f t="shared" si="26"/>
        <v>17437.886385158978</v>
      </c>
    </row>
    <row r="68" spans="1:10" x14ac:dyDescent="0.25">
      <c r="A68" s="88">
        <v>2018</v>
      </c>
      <c r="B68" s="136">
        <f>[6]REKAPITULASI!B39</f>
        <v>1.5327430806610001E-2</v>
      </c>
      <c r="C68" s="120">
        <f t="shared" si="23"/>
        <v>0.32187604693881</v>
      </c>
      <c r="D68" s="136">
        <f>[6]REKAPITULASI!D39</f>
        <v>3.5370994169099998E-4</v>
      </c>
      <c r="E68" s="120">
        <f t="shared" si="24"/>
        <v>0.10965008192421</v>
      </c>
      <c r="F68" s="121">
        <f t="shared" si="25"/>
        <v>0.43152612886302</v>
      </c>
      <c r="H68" s="88">
        <v>2018</v>
      </c>
      <c r="I68" s="142">
        <f t="shared" si="27"/>
        <v>17.90310676038747</v>
      </c>
      <c r="J68" s="143">
        <f t="shared" si="26"/>
        <v>17903.106760387469</v>
      </c>
    </row>
    <row r="69" spans="1:10" x14ac:dyDescent="0.25">
      <c r="A69" s="88">
        <v>2019</v>
      </c>
      <c r="B69" s="136">
        <f>[6]REKAPITULASI!B40</f>
        <v>1.564638853934E-2</v>
      </c>
      <c r="C69" s="120">
        <f t="shared" si="23"/>
        <v>0.32857415932613998</v>
      </c>
      <c r="D69" s="136">
        <f>[6]REKAPITULASI!D40</f>
        <v>3.61070504754E-4</v>
      </c>
      <c r="E69" s="120">
        <f t="shared" si="24"/>
        <v>0.11193185647374</v>
      </c>
      <c r="F69" s="121">
        <f t="shared" si="25"/>
        <v>0.44050601579987997</v>
      </c>
      <c r="H69" s="88">
        <v>2019</v>
      </c>
      <c r="I69" s="142">
        <f t="shared" si="27"/>
        <v>18.367424058641994</v>
      </c>
      <c r="J69" s="143">
        <f t="shared" si="26"/>
        <v>18367.424058641995</v>
      </c>
    </row>
    <row r="70" spans="1:10" x14ac:dyDescent="0.25">
      <c r="A70" s="88">
        <v>2020</v>
      </c>
      <c r="B70" s="136">
        <f>[6]REKAPITULASI!B41</f>
        <v>1.596534627207E-2</v>
      </c>
      <c r="C70" s="120">
        <f t="shared" si="23"/>
        <v>0.33527227171347002</v>
      </c>
      <c r="D70" s="136">
        <f>[6]REKAPITULASI!D41</f>
        <v>3.6843106781699996E-4</v>
      </c>
      <c r="E70" s="120">
        <f t="shared" si="24"/>
        <v>0.11421363102326999</v>
      </c>
      <c r="F70" s="121">
        <f t="shared" si="25"/>
        <v>0.44948590273674</v>
      </c>
      <c r="H70" s="88">
        <v>2020</v>
      </c>
      <c r="I70" s="142">
        <f t="shared" si="27"/>
        <v>18.830292697497065</v>
      </c>
      <c r="J70" s="143">
        <f t="shared" si="26"/>
        <v>18830.292697497065</v>
      </c>
    </row>
    <row r="71" spans="1:10" x14ac:dyDescent="0.25">
      <c r="A71" s="88">
        <v>2021</v>
      </c>
      <c r="B71" s="136">
        <f>[6]REKAPITULASI!B42</f>
        <v>1.62843040048E-2</v>
      </c>
      <c r="C71" s="120">
        <f t="shared" si="23"/>
        <v>0.3419703841008</v>
      </c>
      <c r="D71" s="136">
        <f>[6]REKAPITULASI!D42</f>
        <v>3.7579163087999998E-4</v>
      </c>
      <c r="E71" s="120">
        <f t="shared" si="24"/>
        <v>0.1164954055728</v>
      </c>
      <c r="F71" s="121">
        <f t="shared" si="25"/>
        <v>0.45846578967359997</v>
      </c>
      <c r="H71" s="88">
        <v>2021</v>
      </c>
      <c r="I71" s="142">
        <f>D19+I19+N19+S19+F45+F71</f>
        <v>19.291436643871577</v>
      </c>
      <c r="J71" s="143">
        <f>I71*$J$57</f>
        <v>19291.436643871577</v>
      </c>
    </row>
    <row r="72" spans="1:10" x14ac:dyDescent="0.25">
      <c r="A72" s="88">
        <v>2022</v>
      </c>
      <c r="B72" s="136">
        <f>[6]REKAPITULASI!B43</f>
        <v>1.6603261737530003E-2</v>
      </c>
      <c r="C72" s="120">
        <f t="shared" si="23"/>
        <v>0.34866849648813009</v>
      </c>
      <c r="D72" s="136">
        <f>[6]REKAPITULASI!D43</f>
        <v>3.8315219394300005E-4</v>
      </c>
      <c r="E72" s="120">
        <f t="shared" si="24"/>
        <v>0.11877718012233002</v>
      </c>
      <c r="F72" s="121">
        <f t="shared" si="25"/>
        <v>0.4674456766104601</v>
      </c>
      <c r="H72" s="88">
        <v>2022</v>
      </c>
      <c r="I72" s="142">
        <f t="shared" si="27"/>
        <v>19.750749378678851</v>
      </c>
      <c r="J72" s="143">
        <f t="shared" ref="J72:J81" si="28">I72*$J$57</f>
        <v>19750.749378678851</v>
      </c>
    </row>
    <row r="73" spans="1:10" x14ac:dyDescent="0.25">
      <c r="A73" s="88">
        <v>2023</v>
      </c>
      <c r="B73" s="136">
        <f>[6]REKAPITULASI!B44</f>
        <v>1.692221947026E-2</v>
      </c>
      <c r="C73" s="120">
        <f t="shared" si="23"/>
        <v>0.35536660887546001</v>
      </c>
      <c r="D73" s="136">
        <f>[6]REKAPITULASI!D44</f>
        <v>3.9051275700600002E-4</v>
      </c>
      <c r="E73" s="120">
        <f t="shared" si="24"/>
        <v>0.12105895467186001</v>
      </c>
      <c r="F73" s="121">
        <f t="shared" si="25"/>
        <v>0.47642556354732002</v>
      </c>
      <c r="H73" s="88">
        <v>2023</v>
      </c>
      <c r="I73" s="142">
        <f t="shared" si="27"/>
        <v>20.208228394759551</v>
      </c>
      <c r="J73" s="143">
        <f t="shared" si="28"/>
        <v>20208.22839475955</v>
      </c>
    </row>
    <row r="74" spans="1:10" x14ac:dyDescent="0.25">
      <c r="A74" s="88">
        <v>2024</v>
      </c>
      <c r="B74" s="136">
        <f>[6]REKAPITULASI!B45</f>
        <v>1.7241177202990003E-2</v>
      </c>
      <c r="C74" s="120">
        <f t="shared" si="23"/>
        <v>0.36206472126279005</v>
      </c>
      <c r="D74" s="136">
        <f>[6]REKAPITULASI!D45</f>
        <v>3.9787332006900003E-4</v>
      </c>
      <c r="E74" s="120">
        <f t="shared" si="24"/>
        <v>0.12334072922139001</v>
      </c>
      <c r="F74" s="121">
        <f t="shared" si="25"/>
        <v>0.48540545048418005</v>
      </c>
      <c r="H74" s="88">
        <v>2024</v>
      </c>
      <c r="I74" s="142">
        <f t="shared" si="27"/>
        <v>20.663932613305473</v>
      </c>
      <c r="J74" s="143">
        <f t="shared" si="28"/>
        <v>20663.932613305475</v>
      </c>
    </row>
    <row r="75" spans="1:10" x14ac:dyDescent="0.25">
      <c r="A75" s="88">
        <v>2025</v>
      </c>
      <c r="B75" s="136">
        <f>[6]REKAPITULASI!B46</f>
        <v>1.7560134935720006E-2</v>
      </c>
      <c r="C75" s="120">
        <f t="shared" si="23"/>
        <v>0.36876283365012014</v>
      </c>
      <c r="D75" s="136">
        <f>[6]REKAPITULASI!D46</f>
        <v>4.0523388313200005E-4</v>
      </c>
      <c r="E75" s="120">
        <f t="shared" si="24"/>
        <v>0.12562250377092002</v>
      </c>
      <c r="F75" s="121">
        <f t="shared" si="25"/>
        <v>0.49438533742104018</v>
      </c>
      <c r="H75" s="88">
        <v>2025</v>
      </c>
      <c r="I75" s="142">
        <f t="shared" si="27"/>
        <v>21.11795496820071</v>
      </c>
      <c r="J75" s="143">
        <f t="shared" si="28"/>
        <v>21117.954968200709</v>
      </c>
    </row>
    <row r="76" spans="1:10" x14ac:dyDescent="0.25">
      <c r="A76" s="88">
        <v>2026</v>
      </c>
      <c r="B76" s="136">
        <f>[6]REKAPITULASI!B47</f>
        <v>1.7879092668449999E-2</v>
      </c>
      <c r="C76" s="120">
        <f t="shared" si="23"/>
        <v>0.37546094603745001</v>
      </c>
      <c r="D76" s="136">
        <f>[6]REKAPITULASI!D47</f>
        <v>4.1259444619500007E-4</v>
      </c>
      <c r="E76" s="120">
        <f t="shared" si="24"/>
        <v>0.12790427832045001</v>
      </c>
      <c r="F76" s="121">
        <f t="shared" si="25"/>
        <v>0.50336522435789999</v>
      </c>
      <c r="H76" s="88">
        <v>2026</v>
      </c>
      <c r="I76" s="142">
        <f t="shared" si="27"/>
        <v>21.570404992549683</v>
      </c>
      <c r="J76" s="143">
        <f t="shared" si="28"/>
        <v>21570.404992549684</v>
      </c>
    </row>
    <row r="77" spans="1:10" x14ac:dyDescent="0.25">
      <c r="A77" s="88">
        <v>2027</v>
      </c>
      <c r="B77" s="136">
        <f>[6]REKAPITULASI!B48</f>
        <v>1.8198050401180003E-2</v>
      </c>
      <c r="C77" s="120">
        <f t="shared" si="23"/>
        <v>0.38215905842478004</v>
      </c>
      <c r="D77" s="136">
        <f>[6]REKAPITULASI!D48</f>
        <v>4.1995500925800014E-4</v>
      </c>
      <c r="E77" s="120">
        <f t="shared" si="24"/>
        <v>0.13018605286998006</v>
      </c>
      <c r="F77" s="121">
        <f t="shared" si="25"/>
        <v>0.51234511129476012</v>
      </c>
      <c r="H77" s="88">
        <v>2027</v>
      </c>
      <c r="I77" s="142">
        <f t="shared" si="27"/>
        <v>22.021397969755739</v>
      </c>
      <c r="J77" s="143">
        <f t="shared" si="28"/>
        <v>22021.397969755741</v>
      </c>
    </row>
    <row r="78" spans="1:10" x14ac:dyDescent="0.25">
      <c r="A78" s="88">
        <v>2028</v>
      </c>
      <c r="B78" s="136">
        <f>[6]REKAPITULASI!B49</f>
        <v>1.8517008133909999E-2</v>
      </c>
      <c r="C78" s="120">
        <f t="shared" si="23"/>
        <v>0.38885717081210996</v>
      </c>
      <c r="D78" s="136">
        <f>[6]REKAPITULASI!D49</f>
        <v>4.27315572321E-4</v>
      </c>
      <c r="E78" s="120">
        <f t="shared" si="24"/>
        <v>0.13246782741950999</v>
      </c>
      <c r="F78" s="121">
        <f t="shared" si="25"/>
        <v>0.52132499823161993</v>
      </c>
      <c r="H78" s="88">
        <v>2028</v>
      </c>
      <c r="I78" s="142">
        <f t="shared" si="27"/>
        <v>22.471048366024974</v>
      </c>
      <c r="J78" s="143">
        <f t="shared" si="28"/>
        <v>22471.048366024974</v>
      </c>
    </row>
    <row r="79" spans="1:10" x14ac:dyDescent="0.25">
      <c r="A79" s="88">
        <v>2029</v>
      </c>
      <c r="B79" s="136">
        <f>[6]REKAPITULASI!B50</f>
        <v>1.8835965866640002E-2</v>
      </c>
      <c r="C79" s="120">
        <f t="shared" si="23"/>
        <v>0.39555528319944006</v>
      </c>
      <c r="D79" s="136">
        <f>[6]REKAPITULASI!D50</f>
        <v>4.3467613538400007E-4</v>
      </c>
      <c r="E79" s="120">
        <f t="shared" si="24"/>
        <v>0.13474960196904001</v>
      </c>
      <c r="F79" s="121">
        <f t="shared" si="25"/>
        <v>0.53030488516848007</v>
      </c>
      <c r="H79" s="88">
        <v>2029</v>
      </c>
      <c r="I79" s="142">
        <f t="shared" si="27"/>
        <v>22.919466031797182</v>
      </c>
      <c r="J79" s="143">
        <f t="shared" si="28"/>
        <v>22919.466031797183</v>
      </c>
    </row>
    <row r="80" spans="1:10" x14ac:dyDescent="0.25">
      <c r="A80" s="88">
        <v>2030</v>
      </c>
      <c r="B80" s="136">
        <f>[6]REKAPITULASI!B51</f>
        <v>1.9154923599370002E-2</v>
      </c>
      <c r="C80" s="120">
        <f t="shared" si="23"/>
        <v>0.40225339558677004</v>
      </c>
      <c r="D80" s="136">
        <f>[6]REKAPITULASI!D51</f>
        <v>4.4203669844700003E-4</v>
      </c>
      <c r="E80" s="120">
        <f t="shared" si="24"/>
        <v>0.13703137651857</v>
      </c>
      <c r="F80" s="121">
        <f t="shared" si="25"/>
        <v>0.53928477210533998</v>
      </c>
      <c r="H80" s="88">
        <v>2030</v>
      </c>
      <c r="I80" s="142">
        <f t="shared" si="27"/>
        <v>23.366754173415011</v>
      </c>
      <c r="J80" s="143">
        <f t="shared" si="28"/>
        <v>23366.754173415011</v>
      </c>
    </row>
    <row r="81" spans="1:10" x14ac:dyDescent="0.25">
      <c r="A81" s="88">
        <v>2031</v>
      </c>
      <c r="B81" s="119"/>
      <c r="C81" s="120">
        <f t="shared" si="23"/>
        <v>0</v>
      </c>
      <c r="D81" s="119"/>
      <c r="E81" s="120">
        <f t="shared" si="24"/>
        <v>0</v>
      </c>
      <c r="F81" s="121">
        <f t="shared" si="25"/>
        <v>0</v>
      </c>
      <c r="H81" s="88">
        <v>2031</v>
      </c>
      <c r="I81" s="142">
        <f t="shared" si="27"/>
        <v>0</v>
      </c>
      <c r="J81" s="143">
        <f t="shared" si="28"/>
        <v>0</v>
      </c>
    </row>
    <row r="84" spans="1:10" x14ac:dyDescent="0.25">
      <c r="A84" s="122"/>
      <c r="B84" s="100"/>
      <c r="C84" s="101"/>
      <c r="D84" s="100"/>
      <c r="E84" s="101"/>
      <c r="F84" s="101"/>
    </row>
    <row r="85" spans="1:10" ht="15.75" thickBot="1" x14ac:dyDescent="0.3">
      <c r="A85" s="123" t="s">
        <v>144</v>
      </c>
      <c r="B85" s="101"/>
      <c r="C85" s="100"/>
      <c r="D85" s="101"/>
      <c r="G85" s="95">
        <v>1000</v>
      </c>
    </row>
    <row r="86" spans="1:10" ht="18.75" thickBot="1" x14ac:dyDescent="0.3">
      <c r="A86" s="184" t="s">
        <v>11</v>
      </c>
      <c r="B86" s="186" t="s">
        <v>137</v>
      </c>
      <c r="C86" s="187"/>
      <c r="D86" s="179" t="s">
        <v>138</v>
      </c>
      <c r="E86" s="180"/>
      <c r="F86" s="182" t="s">
        <v>95</v>
      </c>
      <c r="G86" s="183"/>
    </row>
    <row r="87" spans="1:10" ht="81.75" thickBot="1" x14ac:dyDescent="0.3">
      <c r="A87" s="185"/>
      <c r="B87" s="124" t="s">
        <v>139</v>
      </c>
      <c r="C87" s="124" t="s">
        <v>140</v>
      </c>
      <c r="D87" s="125" t="s">
        <v>141</v>
      </c>
      <c r="E87" s="125" t="s">
        <v>142</v>
      </c>
      <c r="F87" s="126" t="s">
        <v>143</v>
      </c>
      <c r="G87" s="126" t="s">
        <v>148</v>
      </c>
    </row>
    <row r="88" spans="1:10" ht="15.75" thickBot="1" x14ac:dyDescent="0.3">
      <c r="A88" s="185"/>
      <c r="B88" s="188" t="s">
        <v>101</v>
      </c>
      <c r="C88" s="127" t="s">
        <v>102</v>
      </c>
      <c r="D88" s="128" t="s">
        <v>103</v>
      </c>
      <c r="E88" s="129" t="s">
        <v>104</v>
      </c>
      <c r="F88" s="130" t="s">
        <v>105</v>
      </c>
      <c r="G88" s="130" t="s">
        <v>105</v>
      </c>
    </row>
    <row r="89" spans="1:10" x14ac:dyDescent="0.25">
      <c r="A89" s="185"/>
      <c r="B89" s="189"/>
      <c r="C89" s="131" t="s">
        <v>106</v>
      </c>
      <c r="D89" s="132"/>
      <c r="E89" s="133" t="s">
        <v>107</v>
      </c>
      <c r="F89" s="134" t="s">
        <v>108</v>
      </c>
      <c r="G89" s="134" t="s">
        <v>108</v>
      </c>
    </row>
    <row r="90" spans="1:10" x14ac:dyDescent="0.25">
      <c r="A90" s="88">
        <v>2011</v>
      </c>
      <c r="B90" s="137">
        <f>[6]REKAPITULASI!B59</f>
        <v>0.1525057858128</v>
      </c>
      <c r="C90" s="140">
        <f>B90*21</f>
        <v>3.2026215020688</v>
      </c>
      <c r="D90" s="139">
        <f>[6]REKAPITULASI!D59</f>
        <v>5.1829280360000006E-3</v>
      </c>
      <c r="E90" s="135">
        <f>D90*310</f>
        <v>1.6067076911600002</v>
      </c>
      <c r="F90" s="138">
        <f>C90+E90</f>
        <v>4.8093291932288</v>
      </c>
      <c r="G90" s="144">
        <f>F90*$G$85</f>
        <v>4809.3291932288002</v>
      </c>
    </row>
    <row r="91" spans="1:10" x14ac:dyDescent="0.25">
      <c r="A91" s="88">
        <v>2012</v>
      </c>
      <c r="B91" s="137">
        <f>[6]REKAPITULASI!B60</f>
        <v>0.15465372519840001</v>
      </c>
      <c r="C91" s="140">
        <f t="shared" ref="C91:C110" si="29">B91*21</f>
        <v>3.2477282291664</v>
      </c>
      <c r="D91" s="139">
        <f>[6]REKAPITULASI!D60</f>
        <v>5.0665693885714302E-3</v>
      </c>
      <c r="E91" s="135">
        <f t="shared" ref="E91:E110" si="30">D91*310</f>
        <v>1.5706365104571434</v>
      </c>
      <c r="F91" s="138">
        <f t="shared" ref="F91:F110" si="31">C91+E91</f>
        <v>4.8183647396235436</v>
      </c>
      <c r="G91" s="144">
        <f t="shared" ref="G91:G109" si="32">F91*$G$85</f>
        <v>4818.3647396235438</v>
      </c>
    </row>
    <row r="92" spans="1:10" x14ac:dyDescent="0.25">
      <c r="A92" s="88">
        <v>2013</v>
      </c>
      <c r="B92" s="137">
        <f>[6]REKAPITULASI!B61</f>
        <v>0.15692180710799999</v>
      </c>
      <c r="C92" s="140">
        <f t="shared" si="29"/>
        <v>3.2953579492679999</v>
      </c>
      <c r="D92" s="139">
        <f>[6]REKAPITULASI!D61</f>
        <v>5.0681741942857151E-3</v>
      </c>
      <c r="E92" s="135">
        <f t="shared" si="30"/>
        <v>1.5711340002285716</v>
      </c>
      <c r="F92" s="138">
        <f t="shared" si="31"/>
        <v>4.8664919494965719</v>
      </c>
      <c r="G92" s="144">
        <f t="shared" si="32"/>
        <v>4866.4919494965716</v>
      </c>
    </row>
    <row r="93" spans="1:10" x14ac:dyDescent="0.25">
      <c r="A93" s="88">
        <v>2014</v>
      </c>
      <c r="B93" s="137">
        <f>[6]REKAPITULASI!B62</f>
        <v>0.15892139659439997</v>
      </c>
      <c r="C93" s="140">
        <f t="shared" si="29"/>
        <v>3.3373493284823992</v>
      </c>
      <c r="D93" s="139">
        <f>[6]REKAPITULASI!D62</f>
        <v>5.2467002101904761E-3</v>
      </c>
      <c r="E93" s="135">
        <f t="shared" si="30"/>
        <v>1.6264770651590477</v>
      </c>
      <c r="F93" s="138">
        <f t="shared" si="31"/>
        <v>4.9638263936414466</v>
      </c>
      <c r="G93" s="144">
        <f t="shared" si="32"/>
        <v>4963.8263936414469</v>
      </c>
    </row>
    <row r="94" spans="1:10" x14ac:dyDescent="0.25">
      <c r="A94" s="88">
        <v>2015</v>
      </c>
      <c r="B94" s="137">
        <f>[6]REKAPITULASI!B63</f>
        <v>0.16113201903600002</v>
      </c>
      <c r="C94" s="140">
        <f t="shared" si="29"/>
        <v>3.3837723997560003</v>
      </c>
      <c r="D94" s="139">
        <f>[6]REKAPITULASI!D63</f>
        <v>5.3196826623809522E-3</v>
      </c>
      <c r="E94" s="135">
        <f t="shared" si="30"/>
        <v>1.6491016253380952</v>
      </c>
      <c r="F94" s="138">
        <f t="shared" si="31"/>
        <v>5.0328740250940953</v>
      </c>
      <c r="G94" s="144">
        <f t="shared" si="32"/>
        <v>5032.8740250940955</v>
      </c>
    </row>
    <row r="95" spans="1:10" x14ac:dyDescent="0.25">
      <c r="A95" s="88">
        <v>2016</v>
      </c>
      <c r="B95" s="137">
        <f>[6]REKAPITULASI!B64</f>
        <v>0.16297699031760002</v>
      </c>
      <c r="C95" s="140">
        <f t="shared" si="29"/>
        <v>3.4225167966696004</v>
      </c>
      <c r="D95" s="139">
        <f>[6]REKAPITULASI!D64</f>
        <v>5.3805933479047618E-3</v>
      </c>
      <c r="E95" s="135">
        <f t="shared" si="30"/>
        <v>1.6679839378504762</v>
      </c>
      <c r="F95" s="138">
        <f t="shared" si="31"/>
        <v>5.0905007345200763</v>
      </c>
      <c r="G95" s="144">
        <f t="shared" si="32"/>
        <v>5090.5007345200765</v>
      </c>
    </row>
    <row r="96" spans="1:10" x14ac:dyDescent="0.25">
      <c r="A96" s="88">
        <v>2017</v>
      </c>
      <c r="B96" s="137">
        <f>[6]REKAPITULASI!B65</f>
        <v>0.16937212463423998</v>
      </c>
      <c r="C96" s="140">
        <f t="shared" si="29"/>
        <v>3.5568146173190396</v>
      </c>
      <c r="D96" s="139">
        <f>[6]REKAPITULASI!D65</f>
        <v>5.5917250978285721E-3</v>
      </c>
      <c r="E96" s="135">
        <f t="shared" si="30"/>
        <v>1.7334347803268573</v>
      </c>
      <c r="F96" s="138">
        <f t="shared" si="31"/>
        <v>5.2902493976458969</v>
      </c>
      <c r="G96" s="144">
        <f t="shared" si="32"/>
        <v>5290.2493976458973</v>
      </c>
    </row>
    <row r="97" spans="1:7" x14ac:dyDescent="0.25">
      <c r="A97" s="88">
        <v>2018</v>
      </c>
      <c r="B97" s="137">
        <f>[6]REKAPITULASI!B66</f>
        <v>0.17297159465327999</v>
      </c>
      <c r="C97" s="140">
        <f t="shared" si="29"/>
        <v>3.63240348771888</v>
      </c>
      <c r="D97" s="139">
        <f>[6]REKAPITULASI!D66</f>
        <v>5.7105595688952369E-3</v>
      </c>
      <c r="E97" s="135">
        <f t="shared" si="30"/>
        <v>1.7702734663575235</v>
      </c>
      <c r="F97" s="138">
        <f t="shared" si="31"/>
        <v>5.4026769540764032</v>
      </c>
      <c r="G97" s="144">
        <f t="shared" si="32"/>
        <v>5402.6769540764035</v>
      </c>
    </row>
    <row r="98" spans="1:7" x14ac:dyDescent="0.25">
      <c r="A98" s="88">
        <v>2019</v>
      </c>
      <c r="B98" s="137">
        <f>[6]REKAPITULASI!B67</f>
        <v>0.17657106467232003</v>
      </c>
      <c r="C98" s="140">
        <f t="shared" si="29"/>
        <v>3.7079923581187209</v>
      </c>
      <c r="D98" s="139">
        <f>[6]REKAPITULASI!D67</f>
        <v>5.8293940399619052E-3</v>
      </c>
      <c r="E98" s="135">
        <f t="shared" si="30"/>
        <v>1.8071121523881906</v>
      </c>
      <c r="F98" s="138">
        <f t="shared" si="31"/>
        <v>5.5151045105069114</v>
      </c>
      <c r="G98" s="144">
        <f t="shared" si="32"/>
        <v>5515.1045105069115</v>
      </c>
    </row>
    <row r="99" spans="1:7" x14ac:dyDescent="0.25">
      <c r="A99" s="88">
        <v>2020</v>
      </c>
      <c r="B99" s="137">
        <f>[6]REKAPITULASI!B68</f>
        <v>0.18017053469136005</v>
      </c>
      <c r="C99" s="140">
        <f t="shared" si="29"/>
        <v>3.7835812285185608</v>
      </c>
      <c r="D99" s="139">
        <f>[6]REKAPITULASI!D68</f>
        <v>5.9482285110285717E-3</v>
      </c>
      <c r="E99" s="135">
        <f t="shared" si="30"/>
        <v>1.8439508384188572</v>
      </c>
      <c r="F99" s="138">
        <f t="shared" si="31"/>
        <v>5.6275320669374178</v>
      </c>
      <c r="G99" s="144">
        <f t="shared" si="32"/>
        <v>5627.5320669374178</v>
      </c>
    </row>
    <row r="100" spans="1:7" x14ac:dyDescent="0.25">
      <c r="A100" s="88">
        <v>2021</v>
      </c>
      <c r="B100" s="137">
        <f>[6]REKAPITULASI!B69</f>
        <v>0.18377000471039998</v>
      </c>
      <c r="C100" s="140">
        <f t="shared" si="29"/>
        <v>3.8591700989183995</v>
      </c>
      <c r="D100" s="139">
        <f>[6]REKAPITULASI!D69</f>
        <v>6.0670629820952391E-3</v>
      </c>
      <c r="E100" s="135">
        <f t="shared" si="30"/>
        <v>1.8807895244495241</v>
      </c>
      <c r="F100" s="138">
        <f t="shared" si="31"/>
        <v>5.7399596233679233</v>
      </c>
      <c r="G100" s="144">
        <f t="shared" si="32"/>
        <v>5739.9596233679231</v>
      </c>
    </row>
    <row r="101" spans="1:7" x14ac:dyDescent="0.25">
      <c r="A101" s="88">
        <v>2022</v>
      </c>
      <c r="B101" s="137">
        <f>[6]REKAPITULASI!B70</f>
        <v>0.18736947472944004</v>
      </c>
      <c r="C101" s="140">
        <f t="shared" si="29"/>
        <v>3.9347589693182408</v>
      </c>
      <c r="D101" s="139">
        <f>[6]REKAPITULASI!D70</f>
        <v>6.1858974531619065E-3</v>
      </c>
      <c r="E101" s="135">
        <f t="shared" si="30"/>
        <v>1.9176282104801909</v>
      </c>
      <c r="F101" s="138">
        <f t="shared" si="31"/>
        <v>5.8523871797984315</v>
      </c>
      <c r="G101" s="144">
        <f t="shared" si="32"/>
        <v>5852.3871797984311</v>
      </c>
    </row>
    <row r="102" spans="1:7" x14ac:dyDescent="0.25">
      <c r="A102" s="88">
        <v>2023</v>
      </c>
      <c r="B102" s="137">
        <f>[6]REKAPITULASI!B71</f>
        <v>0.19096894474847997</v>
      </c>
      <c r="C102" s="140">
        <f t="shared" si="29"/>
        <v>4.0103478397180794</v>
      </c>
      <c r="D102" s="139">
        <f>[6]REKAPITULASI!D71</f>
        <v>6.3047319242285731E-3</v>
      </c>
      <c r="E102" s="135">
        <f t="shared" si="30"/>
        <v>1.9544668965108576</v>
      </c>
      <c r="F102" s="138">
        <f t="shared" si="31"/>
        <v>5.964814736228937</v>
      </c>
      <c r="G102" s="144">
        <f t="shared" si="32"/>
        <v>5964.8147362289374</v>
      </c>
    </row>
    <row r="103" spans="1:7" x14ac:dyDescent="0.25">
      <c r="A103" s="88">
        <v>2024</v>
      </c>
      <c r="B103" s="137">
        <f>[6]REKAPITULASI!B72</f>
        <v>0.19456841476752001</v>
      </c>
      <c r="C103" s="140">
        <f t="shared" si="29"/>
        <v>4.0859367101179203</v>
      </c>
      <c r="D103" s="139">
        <f>[6]REKAPITULASI!D72</f>
        <v>6.4235663952952396E-3</v>
      </c>
      <c r="E103" s="135">
        <f t="shared" si="30"/>
        <v>1.9913055825415242</v>
      </c>
      <c r="F103" s="138">
        <f t="shared" si="31"/>
        <v>6.0772422926594443</v>
      </c>
      <c r="G103" s="144">
        <f t="shared" si="32"/>
        <v>6077.2422926594445</v>
      </c>
    </row>
    <row r="104" spans="1:7" x14ac:dyDescent="0.25">
      <c r="A104" s="88">
        <v>2025</v>
      </c>
      <c r="B104" s="137">
        <f>[6]REKAPITULASI!B73</f>
        <v>0.19816788478656006</v>
      </c>
      <c r="C104" s="140">
        <f t="shared" si="29"/>
        <v>4.1615255805177611</v>
      </c>
      <c r="D104" s="139">
        <f>[6]REKAPITULASI!D73</f>
        <v>6.5424008663619053E-3</v>
      </c>
      <c r="E104" s="135">
        <f t="shared" si="30"/>
        <v>2.0281442685721904</v>
      </c>
      <c r="F104" s="138">
        <f t="shared" si="31"/>
        <v>6.1896698490899515</v>
      </c>
      <c r="G104" s="144">
        <f t="shared" si="32"/>
        <v>6189.6698490899516</v>
      </c>
    </row>
    <row r="105" spans="1:7" x14ac:dyDescent="0.25">
      <c r="A105" s="88">
        <v>2026</v>
      </c>
      <c r="B105" s="137">
        <f>[6]REKAPITULASI!B74</f>
        <v>0.20176735480560001</v>
      </c>
      <c r="C105" s="140">
        <f t="shared" si="29"/>
        <v>4.2371144509176002</v>
      </c>
      <c r="D105" s="139">
        <f>[6]REKAPITULASI!D74</f>
        <v>6.6612353374285709E-3</v>
      </c>
      <c r="E105" s="135">
        <f t="shared" si="30"/>
        <v>2.0649829546028569</v>
      </c>
      <c r="F105" s="138">
        <f t="shared" si="31"/>
        <v>6.3020974055204571</v>
      </c>
      <c r="G105" s="144">
        <f t="shared" si="32"/>
        <v>6302.097405520457</v>
      </c>
    </row>
    <row r="106" spans="1:7" x14ac:dyDescent="0.25">
      <c r="A106" s="88">
        <v>2027</v>
      </c>
      <c r="B106" s="137">
        <f>[6]REKAPITULASI!B75</f>
        <v>0.20536682482464003</v>
      </c>
      <c r="C106" s="140">
        <f t="shared" si="29"/>
        <v>4.3127033213174402</v>
      </c>
      <c r="D106" s="139">
        <f>[6]REKAPITULASI!D75</f>
        <v>6.7800698084952401E-3</v>
      </c>
      <c r="E106" s="135">
        <f t="shared" si="30"/>
        <v>2.1018216406335246</v>
      </c>
      <c r="F106" s="138">
        <f t="shared" si="31"/>
        <v>6.4145249619509652</v>
      </c>
      <c r="G106" s="144">
        <f t="shared" si="32"/>
        <v>6414.524961950965</v>
      </c>
    </row>
    <row r="107" spans="1:7" x14ac:dyDescent="0.25">
      <c r="A107" s="88">
        <v>2028</v>
      </c>
      <c r="B107" s="137">
        <f>[6]REKAPITULASI!B76</f>
        <v>0.20896629484368001</v>
      </c>
      <c r="C107" s="140">
        <f t="shared" si="29"/>
        <v>4.3882921917172801</v>
      </c>
      <c r="D107" s="139">
        <f>[6]REKAPITULASI!D76</f>
        <v>6.8989042795619048E-3</v>
      </c>
      <c r="E107" s="135">
        <f t="shared" si="30"/>
        <v>2.1386603266641906</v>
      </c>
      <c r="F107" s="138">
        <f t="shared" si="31"/>
        <v>6.5269525183814707</v>
      </c>
      <c r="G107" s="144">
        <f t="shared" si="32"/>
        <v>6526.9525183814703</v>
      </c>
    </row>
    <row r="108" spans="1:7" x14ac:dyDescent="0.25">
      <c r="A108" s="88">
        <v>2029</v>
      </c>
      <c r="B108" s="137">
        <f>[6]REKAPITULASI!B77</f>
        <v>0.21256576486272</v>
      </c>
      <c r="C108" s="140">
        <f t="shared" si="29"/>
        <v>4.4638810621171201</v>
      </c>
      <c r="D108" s="139">
        <f>[6]REKAPITULASI!D77</f>
        <v>7.0177387506285731E-3</v>
      </c>
      <c r="E108" s="135">
        <f t="shared" si="30"/>
        <v>2.1754990126948575</v>
      </c>
      <c r="F108" s="138">
        <f t="shared" si="31"/>
        <v>6.639380074811978</v>
      </c>
      <c r="G108" s="144">
        <f t="shared" si="32"/>
        <v>6639.3800748119784</v>
      </c>
    </row>
    <row r="109" spans="1:7" x14ac:dyDescent="0.25">
      <c r="A109" s="88">
        <v>2030</v>
      </c>
      <c r="B109" s="137">
        <f>[6]REKAPITULASI!B78</f>
        <v>0.21616523488176004</v>
      </c>
      <c r="C109" s="140">
        <f t="shared" si="29"/>
        <v>4.539469932516961</v>
      </c>
      <c r="D109" s="139">
        <f>[6]REKAPITULASI!D78</f>
        <v>7.1365732216952379E-3</v>
      </c>
      <c r="E109" s="135">
        <f t="shared" si="30"/>
        <v>2.2123376987255239</v>
      </c>
      <c r="F109" s="138">
        <f t="shared" si="31"/>
        <v>6.7518076312424853</v>
      </c>
      <c r="G109" s="144">
        <f t="shared" si="32"/>
        <v>6751.8076312424855</v>
      </c>
    </row>
    <row r="110" spans="1:7" x14ac:dyDescent="0.25">
      <c r="A110" s="88">
        <v>2031</v>
      </c>
      <c r="B110" s="137"/>
      <c r="C110" s="140">
        <f t="shared" si="29"/>
        <v>0</v>
      </c>
      <c r="D110" s="139"/>
      <c r="E110" s="135">
        <f t="shared" si="30"/>
        <v>0</v>
      </c>
      <c r="F110" s="138">
        <f t="shared" si="31"/>
        <v>0</v>
      </c>
      <c r="G110" s="98"/>
    </row>
  </sheetData>
  <mergeCells count="32">
    <mergeCell ref="P6:P8"/>
    <mergeCell ref="Q6:S6"/>
    <mergeCell ref="Q7:R7"/>
    <mergeCell ref="S7:S8"/>
    <mergeCell ref="F6:F8"/>
    <mergeCell ref="G6:I6"/>
    <mergeCell ref="G7:H7"/>
    <mergeCell ref="I7:I8"/>
    <mergeCell ref="K6:K8"/>
    <mergeCell ref="L6:N6"/>
    <mergeCell ref="L7:M7"/>
    <mergeCell ref="N7:N8"/>
    <mergeCell ref="A6:A8"/>
    <mergeCell ref="B7:C7"/>
    <mergeCell ref="A58:A60"/>
    <mergeCell ref="B58:F58"/>
    <mergeCell ref="B59:C59"/>
    <mergeCell ref="D59:E59"/>
    <mergeCell ref="D7:D8"/>
    <mergeCell ref="B6:D6"/>
    <mergeCell ref="A32:A34"/>
    <mergeCell ref="B32:F32"/>
    <mergeCell ref="B33:C33"/>
    <mergeCell ref="D33:E33"/>
    <mergeCell ref="F33:F34"/>
    <mergeCell ref="D86:E86"/>
    <mergeCell ref="H59:H60"/>
    <mergeCell ref="I59:J59"/>
    <mergeCell ref="F86:G86"/>
    <mergeCell ref="A86:A89"/>
    <mergeCell ref="B86:C86"/>
    <mergeCell ref="B88:B8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5"/>
  <sheetViews>
    <sheetView tabSelected="1" topLeftCell="A10" workbookViewId="0">
      <selection activeCell="L12" sqref="L12"/>
    </sheetView>
  </sheetViews>
  <sheetFormatPr defaultRowHeight="12.75" x14ac:dyDescent="0.25"/>
  <cols>
    <col min="1" max="2" width="9.140625" style="146"/>
    <col min="3" max="3" width="14.5703125" style="146" customWidth="1"/>
    <col min="4" max="4" width="19.140625" style="146" customWidth="1"/>
    <col min="5" max="16384" width="9.140625" style="146"/>
  </cols>
  <sheetData>
    <row r="3" spans="2:4" x14ac:dyDescent="0.25">
      <c r="B3" s="204" t="s">
        <v>11</v>
      </c>
      <c r="C3" s="204" t="s">
        <v>152</v>
      </c>
      <c r="D3" s="204"/>
    </row>
    <row r="4" spans="2:4" x14ac:dyDescent="0.25">
      <c r="B4" s="204"/>
      <c r="C4" s="147" t="s">
        <v>151</v>
      </c>
      <c r="D4" s="147" t="s">
        <v>147</v>
      </c>
    </row>
    <row r="5" spans="2:4" ht="15" x14ac:dyDescent="0.25">
      <c r="B5" s="88">
        <v>2011</v>
      </c>
      <c r="C5" s="166">
        <f>'[7]4D2_CH4_Industrial_Wastewater'!$G12</f>
        <v>3081840</v>
      </c>
      <c r="D5" s="166">
        <f>(C5*21)/1000</f>
        <v>64718.64</v>
      </c>
    </row>
    <row r="6" spans="2:4" ht="15" x14ac:dyDescent="0.25">
      <c r="B6" s="88">
        <v>2012</v>
      </c>
      <c r="C6" s="166">
        <f>'[7]4D2_CH4_Industrial_Wastewater'!$G13</f>
        <v>2831292</v>
      </c>
      <c r="D6" s="166">
        <f t="shared" ref="D6:D15" si="0">(C6*21)/1000</f>
        <v>59457.131999999998</v>
      </c>
    </row>
    <row r="7" spans="2:4" ht="15" x14ac:dyDescent="0.25">
      <c r="B7" s="88">
        <v>2013</v>
      </c>
      <c r="C7" s="166">
        <f>'[7]4D2_CH4_Industrial_Wastewater'!$G14</f>
        <v>2203596</v>
      </c>
      <c r="D7" s="166">
        <f t="shared" si="0"/>
        <v>46275.516000000003</v>
      </c>
    </row>
    <row r="8" spans="2:4" ht="15" x14ac:dyDescent="0.25">
      <c r="B8" s="88">
        <v>2014</v>
      </c>
      <c r="C8" s="166">
        <f>'[7]4D2_CH4_Industrial_Wastewater'!$G15</f>
        <v>2667972</v>
      </c>
      <c r="D8" s="166">
        <f t="shared" si="0"/>
        <v>56027.411999999997</v>
      </c>
    </row>
    <row r="9" spans="2:4" ht="15" x14ac:dyDescent="0.25">
      <c r="B9" s="88">
        <v>2015</v>
      </c>
      <c r="C9" s="166">
        <f>'[7]4D2_CH4_Industrial_Wastewater'!$G16</f>
        <v>2775696</v>
      </c>
      <c r="D9" s="166">
        <f t="shared" si="0"/>
        <v>58289.616000000002</v>
      </c>
    </row>
    <row r="10" spans="2:4" ht="15" x14ac:dyDescent="0.25">
      <c r="B10" s="88">
        <v>2016</v>
      </c>
      <c r="C10" s="166">
        <f>'[7]4D2_CH4_Industrial_Wastewater'!$G17</f>
        <v>2719554</v>
      </c>
      <c r="D10" s="166">
        <f t="shared" si="0"/>
        <v>57110.633999999998</v>
      </c>
    </row>
    <row r="11" spans="2:4" ht="15" x14ac:dyDescent="0.25">
      <c r="B11" s="88">
        <v>2017</v>
      </c>
      <c r="C11" s="166">
        <f>'[7]4D2_CH4_Industrial_Wastewater'!$G18</f>
        <v>4665707.34</v>
      </c>
      <c r="D11" s="166">
        <f t="shared" si="0"/>
        <v>97979.854139999996</v>
      </c>
    </row>
    <row r="12" spans="2:4" ht="15" x14ac:dyDescent="0.25">
      <c r="B12" s="88">
        <v>2018</v>
      </c>
      <c r="C12" s="166">
        <f>'[7]4D2_CH4_Industrial_Wastewater'!$G19</f>
        <v>4973672.4479999989</v>
      </c>
      <c r="D12" s="166">
        <f t="shared" si="0"/>
        <v>104447.12140799998</v>
      </c>
    </row>
    <row r="13" spans="2:4" ht="15" x14ac:dyDescent="0.25">
      <c r="B13" s="88">
        <v>2019</v>
      </c>
      <c r="C13" s="166">
        <f>'[7]4D2_CH4_Industrial_Wastewater'!$G20</f>
        <v>5290202.1239999998</v>
      </c>
      <c r="D13" s="166">
        <f t="shared" si="0"/>
        <v>111094.24460400001</v>
      </c>
    </row>
    <row r="14" spans="2:4" ht="15" x14ac:dyDescent="0.25">
      <c r="B14" s="88">
        <v>2020</v>
      </c>
      <c r="C14" s="166">
        <f>'[7]4D2_CH4_Industrial_Wastewater'!$G21</f>
        <v>5615296.3679999989</v>
      </c>
      <c r="D14" s="166">
        <f t="shared" si="0"/>
        <v>117921.22372799997</v>
      </c>
    </row>
    <row r="15" spans="2:4" ht="15" x14ac:dyDescent="0.25">
      <c r="B15" s="88">
        <v>2021</v>
      </c>
      <c r="C15" s="166">
        <f>'[7]4D2_CH4_Industrial_Wastewater'!$G22</f>
        <v>5594525.5799999982</v>
      </c>
      <c r="D15" s="166">
        <f t="shared" si="0"/>
        <v>117485.03717999996</v>
      </c>
    </row>
    <row r="16" spans="2:4" ht="15" x14ac:dyDescent="0.25">
      <c r="B16" s="88">
        <v>2022</v>
      </c>
      <c r="C16" s="166">
        <f>'[7]4D2_CH4_Industrial_Wastewater'!$G23</f>
        <v>5568793.919999999</v>
      </c>
      <c r="D16" s="166">
        <f t="shared" ref="D16:D25" si="1">(C16*21)/1000</f>
        <v>116944.67231999998</v>
      </c>
    </row>
    <row r="17" spans="2:4" ht="15" x14ac:dyDescent="0.25">
      <c r="B17" s="88">
        <v>2023</v>
      </c>
      <c r="C17" s="166">
        <f>'[7]4D2_CH4_Industrial_Wastewater'!$G24</f>
        <v>5538101.3879999984</v>
      </c>
      <c r="D17" s="166">
        <f t="shared" si="1"/>
        <v>116300.12914799998</v>
      </c>
    </row>
    <row r="18" spans="2:4" ht="15" x14ac:dyDescent="0.25">
      <c r="B18" s="88">
        <v>2024</v>
      </c>
      <c r="C18" s="166">
        <f>'[7]4D2_CH4_Industrial_Wastewater'!$G25</f>
        <v>5502447.9839999992</v>
      </c>
      <c r="D18" s="166">
        <f t="shared" si="1"/>
        <v>115551.40766399998</v>
      </c>
    </row>
    <row r="19" spans="2:4" ht="15" x14ac:dyDescent="0.25">
      <c r="B19" s="88">
        <v>2025</v>
      </c>
      <c r="C19" s="166">
        <f>'[7]4D2_CH4_Industrial_Wastewater'!$G26</f>
        <v>5461833.7079999987</v>
      </c>
      <c r="D19" s="166">
        <f t="shared" si="1"/>
        <v>114698.50786799997</v>
      </c>
    </row>
    <row r="20" spans="2:4" ht="15" x14ac:dyDescent="0.25">
      <c r="B20" s="88">
        <v>2026</v>
      </c>
      <c r="C20" s="166">
        <f>'[7]4D2_CH4_Industrial_Wastewater'!$G27</f>
        <v>5416258.5599999987</v>
      </c>
      <c r="D20" s="166">
        <f t="shared" si="1"/>
        <v>113741.42975999997</v>
      </c>
    </row>
    <row r="21" spans="2:4" ht="15" x14ac:dyDescent="0.25">
      <c r="B21" s="88">
        <v>2027</v>
      </c>
      <c r="C21" s="166">
        <f>'[7]4D2_CH4_Industrial_Wastewater'!$G28</f>
        <v>5365722.5399999991</v>
      </c>
      <c r="D21" s="166">
        <f t="shared" si="1"/>
        <v>112680.17333999998</v>
      </c>
    </row>
    <row r="22" spans="2:4" ht="15" x14ac:dyDescent="0.25">
      <c r="B22" s="88">
        <v>2028</v>
      </c>
      <c r="C22" s="166">
        <f>'[7]4D2_CH4_Industrial_Wastewater'!$G29</f>
        <v>5310225.6479999982</v>
      </c>
      <c r="D22" s="166">
        <f t="shared" si="1"/>
        <v>111514.73860799997</v>
      </c>
    </row>
    <row r="23" spans="2:4" ht="15" x14ac:dyDescent="0.25">
      <c r="B23" s="88">
        <v>2029</v>
      </c>
      <c r="C23" s="166">
        <f>'[7]4D2_CH4_Industrial_Wastewater'!$G30</f>
        <v>5249767.8839999977</v>
      </c>
      <c r="D23" s="166">
        <f t="shared" si="1"/>
        <v>110245.12556399996</v>
      </c>
    </row>
    <row r="24" spans="2:4" ht="15" x14ac:dyDescent="0.25">
      <c r="B24" s="88">
        <v>2030</v>
      </c>
      <c r="C24" s="166">
        <f>'[7]4D2_CH4_Industrial_Wastewater'!$G31</f>
        <v>5336671.1519999979</v>
      </c>
      <c r="D24" s="166">
        <f t="shared" si="1"/>
        <v>112070.09419199996</v>
      </c>
    </row>
    <row r="25" spans="2:4" ht="15" x14ac:dyDescent="0.25">
      <c r="B25" s="88">
        <v>2031</v>
      </c>
      <c r="C25" s="148"/>
      <c r="D25" s="166">
        <f t="shared" si="1"/>
        <v>0</v>
      </c>
    </row>
  </sheetData>
  <mergeCells count="2">
    <mergeCell ref="C3:D3"/>
    <mergeCell ref="B3:B4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76"/>
  <sheetViews>
    <sheetView zoomScale="85" zoomScaleNormal="85" workbookViewId="0">
      <selection activeCell="E24" sqref="E24:H33"/>
    </sheetView>
  </sheetViews>
  <sheetFormatPr defaultRowHeight="15" x14ac:dyDescent="0.25"/>
  <cols>
    <col min="1" max="1" width="18" customWidth="1"/>
    <col min="2" max="2" width="29.5703125" customWidth="1"/>
    <col min="3" max="3" width="16.42578125" customWidth="1"/>
    <col min="4" max="4" width="11.7109375" customWidth="1"/>
    <col min="5" max="8" width="11.5703125" customWidth="1"/>
    <col min="9" max="9" width="19.7109375" customWidth="1"/>
    <col min="11" max="11" width="23.42578125" customWidth="1"/>
    <col min="12" max="12" width="6.42578125" customWidth="1"/>
    <col min="13" max="13" width="2.42578125" customWidth="1"/>
    <col min="14" max="14" width="7.140625" customWidth="1"/>
    <col min="16" max="17" width="4" customWidth="1"/>
    <col min="19" max="19" width="1.42578125" customWidth="1"/>
    <col min="20" max="20" width="7.140625" customWidth="1"/>
    <col min="21" max="21" width="49.85546875" customWidth="1"/>
  </cols>
  <sheetData>
    <row r="3" spans="1:9" ht="18.75" x14ac:dyDescent="0.3">
      <c r="A3" s="12" t="s">
        <v>65</v>
      </c>
    </row>
    <row r="5" spans="1:9" s="20" customFormat="1" ht="47.25" customHeight="1" x14ac:dyDescent="0.25">
      <c r="A5" s="25" t="s">
        <v>46</v>
      </c>
      <c r="B5" s="26" t="s">
        <v>47</v>
      </c>
      <c r="C5" s="21" t="s">
        <v>55</v>
      </c>
      <c r="D5" s="235" t="s">
        <v>54</v>
      </c>
      <c r="E5" s="235"/>
      <c r="F5" s="236" t="s">
        <v>64</v>
      </c>
      <c r="G5" s="236"/>
      <c r="H5" s="236"/>
      <c r="I5" s="236"/>
    </row>
    <row r="6" spans="1:9" s="20" customFormat="1" ht="16.5" customHeight="1" x14ac:dyDescent="0.25">
      <c r="A6" s="232" t="s">
        <v>48</v>
      </c>
      <c r="B6" s="232" t="s">
        <v>50</v>
      </c>
      <c r="C6" s="233"/>
      <c r="D6" s="221" t="s">
        <v>70</v>
      </c>
      <c r="E6" s="221"/>
      <c r="F6" s="222" t="s">
        <v>56</v>
      </c>
      <c r="G6" s="222"/>
      <c r="H6" s="222"/>
      <c r="I6" s="222"/>
    </row>
    <row r="7" spans="1:9" s="20" customFormat="1" ht="29.25" customHeight="1" x14ac:dyDescent="0.25">
      <c r="A7" s="232"/>
      <c r="B7" s="232"/>
      <c r="C7" s="233"/>
      <c r="D7" s="221"/>
      <c r="E7" s="221"/>
      <c r="F7" s="222" t="s">
        <v>57</v>
      </c>
      <c r="G7" s="222"/>
      <c r="H7" s="222"/>
      <c r="I7" s="222"/>
    </row>
    <row r="8" spans="1:9" s="20" customFormat="1" ht="51" customHeight="1" x14ac:dyDescent="0.25">
      <c r="A8" s="232"/>
      <c r="B8" s="29" t="s">
        <v>59</v>
      </c>
      <c r="C8" s="22"/>
      <c r="D8" s="221" t="s">
        <v>58</v>
      </c>
      <c r="E8" s="221"/>
      <c r="F8" s="222" t="s">
        <v>61</v>
      </c>
      <c r="G8" s="222"/>
      <c r="H8" s="222"/>
      <c r="I8" s="222"/>
    </row>
    <row r="9" spans="1:9" s="20" customFormat="1" ht="31.5" customHeight="1" x14ac:dyDescent="0.25">
      <c r="A9" s="232"/>
      <c r="B9" s="220" t="s">
        <v>51</v>
      </c>
      <c r="C9" s="22"/>
      <c r="D9" s="221" t="s">
        <v>60</v>
      </c>
      <c r="E9" s="221"/>
      <c r="F9" s="229" t="s">
        <v>66</v>
      </c>
      <c r="G9" s="230"/>
      <c r="H9" s="230"/>
      <c r="I9" s="231"/>
    </row>
    <row r="10" spans="1:9" s="20" customFormat="1" ht="20.25" customHeight="1" x14ac:dyDescent="0.25">
      <c r="A10" s="232"/>
      <c r="B10" s="220"/>
      <c r="C10" s="22"/>
      <c r="D10" s="221"/>
      <c r="E10" s="221"/>
      <c r="F10" s="222" t="s">
        <v>62</v>
      </c>
      <c r="G10" s="222"/>
      <c r="H10" s="222"/>
      <c r="I10" s="222"/>
    </row>
    <row r="11" spans="1:9" s="20" customFormat="1" ht="17.25" customHeight="1" x14ac:dyDescent="0.25">
      <c r="A11" s="232"/>
      <c r="B11" s="220"/>
      <c r="C11" s="22"/>
      <c r="D11" s="221"/>
      <c r="E11" s="221"/>
      <c r="F11" s="222" t="s">
        <v>63</v>
      </c>
      <c r="G11" s="222"/>
      <c r="H11" s="222"/>
      <c r="I11" s="222"/>
    </row>
    <row r="12" spans="1:9" s="20" customFormat="1" ht="60" customHeight="1" x14ac:dyDescent="0.25">
      <c r="A12" s="232" t="s">
        <v>49</v>
      </c>
      <c r="B12" s="27" t="s">
        <v>52</v>
      </c>
      <c r="C12" s="23"/>
      <c r="D12" s="24"/>
      <c r="E12" s="22"/>
      <c r="F12" s="223" t="s">
        <v>67</v>
      </c>
      <c r="G12" s="224"/>
      <c r="H12" s="224"/>
      <c r="I12" s="225"/>
    </row>
    <row r="13" spans="1:9" s="20" customFormat="1" ht="30" x14ac:dyDescent="0.25">
      <c r="A13" s="232"/>
      <c r="B13" s="28" t="s">
        <v>53</v>
      </c>
      <c r="C13" s="23"/>
      <c r="D13" s="24"/>
      <c r="E13" s="22"/>
      <c r="F13" s="226"/>
      <c r="G13" s="227"/>
      <c r="H13" s="227"/>
      <c r="I13" s="228"/>
    </row>
    <row r="18" spans="1:22" ht="21" x14ac:dyDescent="0.35">
      <c r="A18" s="234" t="s">
        <v>74</v>
      </c>
      <c r="B18" s="234"/>
      <c r="C18" s="234"/>
      <c r="D18" s="234"/>
      <c r="E18" s="234"/>
      <c r="F18" s="234"/>
      <c r="G18" s="234"/>
      <c r="H18" s="234"/>
      <c r="I18" s="234"/>
    </row>
    <row r="19" spans="1:22" ht="21" x14ac:dyDescent="0.35">
      <c r="A19" s="30"/>
      <c r="B19" s="30"/>
      <c r="C19" s="30"/>
      <c r="D19" s="30"/>
      <c r="E19" s="30"/>
      <c r="F19" s="30"/>
      <c r="G19" s="30"/>
      <c r="H19" s="30"/>
      <c r="I19" s="30"/>
    </row>
    <row r="20" spans="1:22" s="4" customFormat="1" ht="21" x14ac:dyDescent="0.35">
      <c r="A20" s="33" t="s">
        <v>69</v>
      </c>
      <c r="B20" s="31"/>
      <c r="C20" s="31"/>
      <c r="D20" s="31"/>
      <c r="E20" s="31"/>
      <c r="F20" s="31"/>
      <c r="G20" s="31"/>
      <c r="H20" s="31"/>
      <c r="I20" s="31"/>
    </row>
    <row r="21" spans="1:22" x14ac:dyDescent="0.25">
      <c r="A21" s="205" t="s">
        <v>8</v>
      </c>
      <c r="B21" s="218" t="s">
        <v>40</v>
      </c>
      <c r="C21" s="218"/>
      <c r="D21" s="218"/>
      <c r="E21" s="218"/>
      <c r="F21" s="218"/>
      <c r="G21" s="218"/>
      <c r="H21" s="218"/>
      <c r="I21" s="219"/>
      <c r="K21" t="s">
        <v>22</v>
      </c>
      <c r="L21" t="s">
        <v>25</v>
      </c>
    </row>
    <row r="22" spans="1:22" ht="38.25" x14ac:dyDescent="0.25">
      <c r="A22" s="205"/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  <c r="H22" s="1" t="s">
        <v>7</v>
      </c>
      <c r="I22" s="219"/>
      <c r="O22" s="8" t="s">
        <v>19</v>
      </c>
    </row>
    <row r="23" spans="1:22" ht="38.25" x14ac:dyDescent="0.25">
      <c r="A23" s="2">
        <v>2010</v>
      </c>
      <c r="B23" s="13">
        <v>0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34"/>
      <c r="J23" s="9" t="s">
        <v>41</v>
      </c>
      <c r="K23" s="10" t="s">
        <v>43</v>
      </c>
    </row>
    <row r="24" spans="1:22" ht="15" customHeight="1" x14ac:dyDescent="0.25">
      <c r="A24" s="2">
        <v>2011</v>
      </c>
      <c r="B24" s="211" t="s">
        <v>71</v>
      </c>
      <c r="C24" s="35">
        <v>0</v>
      </c>
      <c r="D24" s="211" t="s">
        <v>73</v>
      </c>
      <c r="E24" s="211" t="s">
        <v>79</v>
      </c>
      <c r="F24" s="211"/>
      <c r="G24" s="211"/>
      <c r="H24" s="211"/>
      <c r="I24" s="34"/>
      <c r="K24" t="s">
        <v>26</v>
      </c>
      <c r="L24" s="15">
        <v>4000</v>
      </c>
      <c r="M24" s="16" t="s">
        <v>33</v>
      </c>
      <c r="N24" s="15">
        <v>6000</v>
      </c>
      <c r="O24" s="8" t="s">
        <v>28</v>
      </c>
      <c r="R24" s="18">
        <f>L24*1000/365</f>
        <v>10958.904109589041</v>
      </c>
      <c r="S24" s="19" t="s">
        <v>33</v>
      </c>
      <c r="T24" s="18">
        <f>N24*1000/365</f>
        <v>16438.35616438356</v>
      </c>
      <c r="U24" s="11" t="s">
        <v>31</v>
      </c>
      <c r="V24" t="s">
        <v>72</v>
      </c>
    </row>
    <row r="25" spans="1:22" ht="60" customHeight="1" x14ac:dyDescent="0.25">
      <c r="A25" s="2">
        <v>2012</v>
      </c>
      <c r="B25" s="211"/>
      <c r="C25" s="35">
        <v>0</v>
      </c>
      <c r="D25" s="211"/>
      <c r="E25" s="211"/>
      <c r="F25" s="211"/>
      <c r="G25" s="211"/>
      <c r="H25" s="211"/>
      <c r="I25" s="34"/>
      <c r="K25" t="s">
        <v>27</v>
      </c>
      <c r="L25" s="209">
        <v>1000</v>
      </c>
      <c r="M25" s="209"/>
      <c r="N25" s="209"/>
      <c r="O25" s="8" t="s">
        <v>28</v>
      </c>
      <c r="R25" s="210">
        <f>L25*1000/365</f>
        <v>2739.7260273972602</v>
      </c>
      <c r="S25" s="210"/>
      <c r="T25" s="210"/>
      <c r="U25" s="11" t="s">
        <v>45</v>
      </c>
    </row>
    <row r="26" spans="1:22" x14ac:dyDescent="0.25">
      <c r="A26" s="2">
        <v>2013</v>
      </c>
      <c r="B26" s="211"/>
      <c r="C26" s="35">
        <v>0</v>
      </c>
      <c r="D26" s="211"/>
      <c r="E26" s="211"/>
      <c r="F26" s="211"/>
      <c r="G26" s="211"/>
      <c r="H26" s="211"/>
      <c r="I26" s="34"/>
      <c r="K26" t="s">
        <v>29</v>
      </c>
      <c r="L26" s="209">
        <v>3000</v>
      </c>
      <c r="M26" s="209"/>
      <c r="N26" s="209"/>
      <c r="O26" s="8" t="s">
        <v>28</v>
      </c>
    </row>
    <row r="27" spans="1:22" x14ac:dyDescent="0.25">
      <c r="A27" s="2">
        <v>2014</v>
      </c>
      <c r="B27" s="211"/>
      <c r="C27" s="35">
        <v>0</v>
      </c>
      <c r="D27" s="211"/>
      <c r="E27" s="211"/>
      <c r="F27" s="211"/>
      <c r="G27" s="211"/>
      <c r="H27" s="211"/>
      <c r="I27" s="34"/>
      <c r="K27" s="9" t="s">
        <v>30</v>
      </c>
      <c r="L27" s="15">
        <v>8000</v>
      </c>
      <c r="M27" s="16" t="s">
        <v>33</v>
      </c>
      <c r="N27" s="15">
        <v>10000</v>
      </c>
      <c r="O27" s="8" t="s">
        <v>19</v>
      </c>
    </row>
    <row r="28" spans="1:22" x14ac:dyDescent="0.25">
      <c r="A28" s="2">
        <v>2015</v>
      </c>
      <c r="B28" s="211"/>
      <c r="C28" s="35">
        <v>0</v>
      </c>
      <c r="D28" s="211"/>
      <c r="E28" s="211"/>
      <c r="F28" s="211"/>
      <c r="G28" s="211"/>
      <c r="H28" s="211"/>
      <c r="I28" s="34"/>
    </row>
    <row r="29" spans="1:22" x14ac:dyDescent="0.25">
      <c r="A29" s="2">
        <v>2016</v>
      </c>
      <c r="B29" s="211"/>
      <c r="C29" s="35">
        <v>0</v>
      </c>
      <c r="D29" s="211"/>
      <c r="E29" s="211"/>
      <c r="F29" s="211"/>
      <c r="G29" s="211"/>
      <c r="H29" s="211"/>
      <c r="I29" s="34"/>
    </row>
    <row r="30" spans="1:22" x14ac:dyDescent="0.25">
      <c r="A30" s="2">
        <v>2017</v>
      </c>
      <c r="B30" s="211"/>
      <c r="C30" s="35">
        <v>0</v>
      </c>
      <c r="D30" s="211"/>
      <c r="E30" s="211"/>
      <c r="F30" s="211"/>
      <c r="G30" s="211"/>
      <c r="H30" s="211"/>
      <c r="I30" s="34"/>
    </row>
    <row r="31" spans="1:22" ht="25.5" x14ac:dyDescent="0.25">
      <c r="A31" s="2">
        <v>2018</v>
      </c>
      <c r="B31" s="211"/>
      <c r="C31" s="35">
        <v>0</v>
      </c>
      <c r="D31" s="211"/>
      <c r="E31" s="211"/>
      <c r="F31" s="211"/>
      <c r="G31" s="211"/>
      <c r="H31" s="211"/>
      <c r="I31" s="34"/>
      <c r="J31" s="9" t="s">
        <v>42</v>
      </c>
      <c r="K31" s="10" t="s">
        <v>44</v>
      </c>
    </row>
    <row r="32" spans="1:22" x14ac:dyDescent="0.25">
      <c r="A32" s="2">
        <v>2019</v>
      </c>
      <c r="B32" s="211"/>
      <c r="C32" s="35">
        <v>0</v>
      </c>
      <c r="D32" s="211"/>
      <c r="E32" s="211"/>
      <c r="F32" s="211"/>
      <c r="G32" s="211"/>
      <c r="H32" s="211"/>
      <c r="I32" s="34"/>
      <c r="K32" t="s">
        <v>26</v>
      </c>
      <c r="L32" s="17">
        <f>0.6*L35</f>
        <v>360</v>
      </c>
      <c r="M32" s="8" t="s">
        <v>28</v>
      </c>
      <c r="R32" s="18">
        <f>L32*1000/365</f>
        <v>986.30136986301375</v>
      </c>
      <c r="S32" s="11" t="s">
        <v>31</v>
      </c>
      <c r="T32" s="11"/>
    </row>
    <row r="33" spans="1:20" x14ac:dyDescent="0.25">
      <c r="A33" s="2">
        <v>2020</v>
      </c>
      <c r="B33" s="211"/>
      <c r="C33" s="35">
        <v>0</v>
      </c>
      <c r="D33" s="211"/>
      <c r="E33" s="211"/>
      <c r="F33" s="211"/>
      <c r="G33" s="211"/>
      <c r="H33" s="211"/>
      <c r="I33" s="34"/>
      <c r="K33" t="s">
        <v>27</v>
      </c>
      <c r="L33" s="17">
        <f>0.1*L35</f>
        <v>60</v>
      </c>
      <c r="M33" s="8" t="s">
        <v>28</v>
      </c>
      <c r="R33" s="18">
        <f>L33*1000/365</f>
        <v>164.38356164383561</v>
      </c>
      <c r="S33" s="11" t="s">
        <v>32</v>
      </c>
      <c r="T33" s="11"/>
    </row>
    <row r="34" spans="1:20" s="4" customFormat="1" ht="21" x14ac:dyDescent="0.35">
      <c r="A34" s="31"/>
      <c r="B34" s="31"/>
      <c r="C34" s="31"/>
      <c r="D34" s="31"/>
      <c r="E34" s="31"/>
      <c r="F34" s="31"/>
      <c r="G34" s="31"/>
      <c r="H34" s="31"/>
      <c r="I34" s="31"/>
      <c r="J34"/>
      <c r="K34" t="s">
        <v>29</v>
      </c>
      <c r="L34" s="17">
        <f>0.3*L35</f>
        <v>180</v>
      </c>
      <c r="M34" s="8" t="s">
        <v>28</v>
      </c>
      <c r="N34"/>
      <c r="O34"/>
      <c r="P34"/>
      <c r="Q34"/>
      <c r="R34"/>
      <c r="S34"/>
      <c r="T34"/>
    </row>
    <row r="35" spans="1:20" s="4" customFormat="1" ht="21" x14ac:dyDescent="0.35">
      <c r="A35" s="31"/>
      <c r="B35" s="31"/>
      <c r="C35" s="31"/>
      <c r="D35" s="31"/>
      <c r="E35" s="31"/>
      <c r="F35" s="31"/>
      <c r="G35" s="31"/>
      <c r="H35" s="31"/>
      <c r="I35" s="31"/>
      <c r="J35"/>
      <c r="K35" s="9" t="s">
        <v>30</v>
      </c>
      <c r="L35" s="17">
        <v>600</v>
      </c>
      <c r="M35" s="8" t="s">
        <v>19</v>
      </c>
      <c r="N35"/>
      <c r="O35"/>
      <c r="P35"/>
      <c r="Q35"/>
      <c r="R35"/>
      <c r="S35"/>
      <c r="T35"/>
    </row>
    <row r="36" spans="1:20" s="4" customFormat="1" ht="21" x14ac:dyDescent="0.35">
      <c r="A36" s="32" t="s">
        <v>68</v>
      </c>
      <c r="B36" s="31"/>
      <c r="C36" s="31"/>
      <c r="D36" s="31"/>
      <c r="E36" s="31"/>
      <c r="F36" s="31"/>
      <c r="G36" s="31"/>
      <c r="H36" s="31"/>
      <c r="I36" s="31"/>
      <c r="J36"/>
      <c r="K36"/>
      <c r="L36"/>
      <c r="M36"/>
      <c r="N36"/>
      <c r="O36"/>
      <c r="P36"/>
      <c r="Q36"/>
      <c r="R36"/>
      <c r="S36"/>
      <c r="T36"/>
    </row>
    <row r="37" spans="1:20" x14ac:dyDescent="0.25">
      <c r="A37" s="205" t="s">
        <v>8</v>
      </c>
      <c r="B37" s="212" t="s">
        <v>78</v>
      </c>
      <c r="C37" s="213"/>
      <c r="D37" s="213"/>
      <c r="E37" s="213"/>
      <c r="F37" s="213"/>
      <c r="G37" s="213"/>
      <c r="H37" s="214"/>
      <c r="I37" s="207" t="s">
        <v>40</v>
      </c>
    </row>
    <row r="38" spans="1:20" ht="38.25" x14ac:dyDescent="0.25">
      <c r="A38" s="205"/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208"/>
    </row>
    <row r="39" spans="1:20" x14ac:dyDescent="0.25">
      <c r="A39" s="2">
        <v>2010</v>
      </c>
      <c r="B39" s="215" t="s">
        <v>75</v>
      </c>
      <c r="C39" s="215" t="s">
        <v>76</v>
      </c>
      <c r="D39" s="215" t="s">
        <v>75</v>
      </c>
      <c r="E39" s="215" t="s">
        <v>76</v>
      </c>
      <c r="F39" s="215" t="s">
        <v>76</v>
      </c>
      <c r="G39" s="215" t="s">
        <v>76</v>
      </c>
      <c r="H39" s="215" t="s">
        <v>76</v>
      </c>
      <c r="I39" s="14">
        <f>'timbulan sampah'!E5</f>
        <v>29.195600000000002</v>
      </c>
    </row>
    <row r="40" spans="1:20" x14ac:dyDescent="0.25">
      <c r="A40" s="2">
        <v>2011</v>
      </c>
      <c r="B40" s="216"/>
      <c r="C40" s="216"/>
      <c r="D40" s="216"/>
      <c r="E40" s="216"/>
      <c r="F40" s="216"/>
      <c r="G40" s="216"/>
      <c r="H40" s="216"/>
      <c r="I40" s="14">
        <f>'timbulan sampah'!E6</f>
        <v>29.606800000000003</v>
      </c>
      <c r="K40" t="s">
        <v>20</v>
      </c>
      <c r="O40" s="8" t="s">
        <v>21</v>
      </c>
    </row>
    <row r="41" spans="1:20" x14ac:dyDescent="0.25">
      <c r="A41" s="2">
        <v>2012</v>
      </c>
      <c r="B41" s="216"/>
      <c r="C41" s="216"/>
      <c r="D41" s="216"/>
      <c r="E41" s="216"/>
      <c r="F41" s="216"/>
      <c r="G41" s="216"/>
      <c r="H41" s="216"/>
      <c r="I41" s="14">
        <f>'timbulan sampah'!E7</f>
        <v>30.041</v>
      </c>
      <c r="K41" t="s">
        <v>23</v>
      </c>
      <c r="O41" s="8" t="s">
        <v>24</v>
      </c>
    </row>
    <row r="42" spans="1:20" x14ac:dyDescent="0.25">
      <c r="A42" s="2">
        <v>2013</v>
      </c>
      <c r="B42" s="216"/>
      <c r="C42" s="216"/>
      <c r="D42" s="216"/>
      <c r="E42" s="216"/>
      <c r="F42" s="216"/>
      <c r="G42" s="216"/>
      <c r="H42" s="216"/>
      <c r="I42" s="14">
        <f>'timbulan sampah'!E8</f>
        <v>30.423800000000004</v>
      </c>
    </row>
    <row r="43" spans="1:20" x14ac:dyDescent="0.25">
      <c r="A43" s="2">
        <v>2014</v>
      </c>
      <c r="B43" s="216"/>
      <c r="C43" s="216"/>
      <c r="D43" s="216"/>
      <c r="E43" s="216"/>
      <c r="F43" s="216"/>
      <c r="G43" s="216"/>
      <c r="H43" s="216"/>
      <c r="I43" s="14">
        <f>'timbulan sampah'!E9</f>
        <v>30.847000000000001</v>
      </c>
    </row>
    <row r="44" spans="1:20" x14ac:dyDescent="0.25">
      <c r="A44" s="2">
        <v>2015</v>
      </c>
      <c r="B44" s="216"/>
      <c r="C44" s="216"/>
      <c r="D44" s="216"/>
      <c r="E44" s="216"/>
      <c r="F44" s="216"/>
      <c r="G44" s="216"/>
      <c r="H44" s="216"/>
      <c r="I44" s="14">
        <f>'timbulan sampah'!E10</f>
        <v>31.200200000000002</v>
      </c>
    </row>
    <row r="45" spans="1:20" x14ac:dyDescent="0.25">
      <c r="A45" s="2">
        <v>2016</v>
      </c>
      <c r="B45" s="216"/>
      <c r="C45" s="216"/>
      <c r="D45" s="216"/>
      <c r="E45" s="216"/>
      <c r="F45" s="216"/>
      <c r="G45" s="216"/>
      <c r="H45" s="216"/>
      <c r="I45" s="14">
        <f>'timbulan sampah'!E11</f>
        <v>32.424480000000003</v>
      </c>
    </row>
    <row r="46" spans="1:20" x14ac:dyDescent="0.25">
      <c r="A46" s="2">
        <v>2017</v>
      </c>
      <c r="B46" s="216"/>
      <c r="C46" s="216"/>
      <c r="D46" s="216"/>
      <c r="E46" s="216"/>
      <c r="F46" s="216"/>
      <c r="G46" s="216"/>
      <c r="H46" s="216"/>
      <c r="I46" s="14">
        <f>'timbulan sampah'!E12</f>
        <v>33.11356</v>
      </c>
    </row>
    <row r="47" spans="1:20" x14ac:dyDescent="0.25">
      <c r="A47" s="2">
        <v>2018</v>
      </c>
      <c r="B47" s="216"/>
      <c r="C47" s="216"/>
      <c r="D47" s="216"/>
      <c r="E47" s="216"/>
      <c r="F47" s="216"/>
      <c r="G47" s="216"/>
      <c r="H47" s="216"/>
      <c r="I47" s="14">
        <f>'timbulan sampah'!E13</f>
        <v>33.802640000000004</v>
      </c>
    </row>
    <row r="48" spans="1:20" x14ac:dyDescent="0.25">
      <c r="A48" s="2">
        <v>2019</v>
      </c>
      <c r="B48" s="216"/>
      <c r="C48" s="216"/>
      <c r="D48" s="216"/>
      <c r="E48" s="216"/>
      <c r="F48" s="216"/>
      <c r="G48" s="216"/>
      <c r="H48" s="216"/>
      <c r="I48" s="14">
        <f>'timbulan sampah'!E14</f>
        <v>34.491720000000001</v>
      </c>
    </row>
    <row r="49" spans="1:21" x14ac:dyDescent="0.25">
      <c r="A49" s="2">
        <v>2020</v>
      </c>
      <c r="B49" s="217"/>
      <c r="C49" s="217"/>
      <c r="D49" s="217"/>
      <c r="E49" s="217"/>
      <c r="F49" s="217"/>
      <c r="G49" s="217"/>
      <c r="H49" s="217"/>
      <c r="I49" s="14">
        <f>'timbulan sampah'!E15</f>
        <v>35.180800000000005</v>
      </c>
    </row>
    <row r="52" spans="1:21" x14ac:dyDescent="0.25">
      <c r="A52" s="205" t="s">
        <v>8</v>
      </c>
      <c r="B52" s="206" t="s">
        <v>0</v>
      </c>
      <c r="C52" s="206"/>
      <c r="D52" s="206"/>
      <c r="E52" s="206"/>
      <c r="F52" s="206"/>
      <c r="G52" s="206"/>
      <c r="H52" s="206"/>
      <c r="I52" s="207" t="s">
        <v>10</v>
      </c>
    </row>
    <row r="53" spans="1:21" ht="42.75" customHeight="1" x14ac:dyDescent="0.25">
      <c r="A53" s="205"/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s="1" t="s">
        <v>6</v>
      </c>
      <c r="H53" s="1" t="s">
        <v>7</v>
      </c>
      <c r="I53" s="208"/>
    </row>
    <row r="54" spans="1:21" ht="17.25" customHeight="1" x14ac:dyDescent="0.25">
      <c r="A54" s="2">
        <v>2010</v>
      </c>
      <c r="B54" s="237" t="s">
        <v>77</v>
      </c>
      <c r="C54" s="237" t="s">
        <v>77</v>
      </c>
      <c r="D54" s="237" t="s">
        <v>77</v>
      </c>
      <c r="E54" s="237" t="s">
        <v>77</v>
      </c>
      <c r="F54" s="237" t="s">
        <v>77</v>
      </c>
      <c r="G54" s="237" t="s">
        <v>77</v>
      </c>
      <c r="H54" s="237" t="s">
        <v>77</v>
      </c>
      <c r="I54" s="3">
        <v>1</v>
      </c>
    </row>
    <row r="55" spans="1:21" x14ac:dyDescent="0.25">
      <c r="A55" s="2">
        <v>2011</v>
      </c>
      <c r="B55" s="238"/>
      <c r="C55" s="238"/>
      <c r="D55" s="238"/>
      <c r="E55" s="238"/>
      <c r="F55" s="238"/>
      <c r="G55" s="238"/>
      <c r="H55" s="238"/>
      <c r="I55" s="3">
        <v>1</v>
      </c>
    </row>
    <row r="56" spans="1:21" x14ac:dyDescent="0.25">
      <c r="A56" s="2">
        <v>2012</v>
      </c>
      <c r="B56" s="238"/>
      <c r="C56" s="238"/>
      <c r="D56" s="238"/>
      <c r="E56" s="238"/>
      <c r="F56" s="238"/>
      <c r="G56" s="238"/>
      <c r="H56" s="238"/>
      <c r="I56" s="3">
        <v>1</v>
      </c>
    </row>
    <row r="57" spans="1:21" x14ac:dyDescent="0.25">
      <c r="A57" s="2">
        <v>2013</v>
      </c>
      <c r="B57" s="238"/>
      <c r="C57" s="238"/>
      <c r="D57" s="238"/>
      <c r="E57" s="238"/>
      <c r="F57" s="238"/>
      <c r="G57" s="238"/>
      <c r="H57" s="238"/>
      <c r="I57" s="3">
        <v>1</v>
      </c>
    </row>
    <row r="58" spans="1:21" x14ac:dyDescent="0.25">
      <c r="A58" s="2">
        <v>2014</v>
      </c>
      <c r="B58" s="238"/>
      <c r="C58" s="238"/>
      <c r="D58" s="238"/>
      <c r="E58" s="238"/>
      <c r="F58" s="238"/>
      <c r="G58" s="238"/>
      <c r="H58" s="238"/>
      <c r="I58" s="3">
        <v>1</v>
      </c>
    </row>
    <row r="59" spans="1:21" x14ac:dyDescent="0.25">
      <c r="A59" s="2">
        <v>2015</v>
      </c>
      <c r="B59" s="238"/>
      <c r="C59" s="238"/>
      <c r="D59" s="238"/>
      <c r="E59" s="238"/>
      <c r="F59" s="238"/>
      <c r="G59" s="238"/>
      <c r="H59" s="238"/>
      <c r="I59" s="3">
        <v>1</v>
      </c>
    </row>
    <row r="60" spans="1:21" x14ac:dyDescent="0.25">
      <c r="A60" s="2">
        <v>2016</v>
      </c>
      <c r="B60" s="238"/>
      <c r="C60" s="238"/>
      <c r="D60" s="238"/>
      <c r="E60" s="238"/>
      <c r="F60" s="238"/>
      <c r="G60" s="238"/>
      <c r="H60" s="238"/>
      <c r="I60" s="3">
        <v>1</v>
      </c>
    </row>
    <row r="61" spans="1:21" x14ac:dyDescent="0.25">
      <c r="A61" s="2">
        <v>2017</v>
      </c>
      <c r="B61" s="238"/>
      <c r="C61" s="238"/>
      <c r="D61" s="238"/>
      <c r="E61" s="238"/>
      <c r="F61" s="238"/>
      <c r="G61" s="238"/>
      <c r="H61" s="238"/>
      <c r="I61" s="3">
        <v>1</v>
      </c>
    </row>
    <row r="62" spans="1:21" x14ac:dyDescent="0.25">
      <c r="A62" s="2">
        <v>2018</v>
      </c>
      <c r="B62" s="238"/>
      <c r="C62" s="238"/>
      <c r="D62" s="238"/>
      <c r="E62" s="238"/>
      <c r="F62" s="238"/>
      <c r="G62" s="238"/>
      <c r="H62" s="238"/>
      <c r="I62" s="3">
        <v>1</v>
      </c>
    </row>
    <row r="63" spans="1:21" x14ac:dyDescent="0.25">
      <c r="A63" s="2">
        <v>2019</v>
      </c>
      <c r="B63" s="238"/>
      <c r="C63" s="238"/>
      <c r="D63" s="238"/>
      <c r="E63" s="238"/>
      <c r="F63" s="238"/>
      <c r="G63" s="238"/>
      <c r="H63" s="238"/>
      <c r="I63" s="3">
        <v>1</v>
      </c>
      <c r="U63" s="4"/>
    </row>
    <row r="64" spans="1:21" x14ac:dyDescent="0.25">
      <c r="A64" s="2">
        <v>2020</v>
      </c>
      <c r="B64" s="239"/>
      <c r="C64" s="239"/>
      <c r="D64" s="239"/>
      <c r="E64" s="239"/>
      <c r="F64" s="239"/>
      <c r="G64" s="239"/>
      <c r="H64" s="239"/>
      <c r="I64" s="3">
        <v>1</v>
      </c>
      <c r="U64" s="4"/>
    </row>
    <row r="67" spans="1:3" x14ac:dyDescent="0.25">
      <c r="A67" s="7"/>
      <c r="B67" s="7"/>
      <c r="C67" s="7"/>
    </row>
    <row r="68" spans="1:3" x14ac:dyDescent="0.25">
      <c r="A68" s="7"/>
      <c r="B68" s="7"/>
      <c r="C68" s="7"/>
    </row>
    <row r="69" spans="1:3" x14ac:dyDescent="0.25">
      <c r="A69" s="7"/>
      <c r="B69" s="7"/>
      <c r="C69" s="7"/>
    </row>
    <row r="70" spans="1:3" x14ac:dyDescent="0.25">
      <c r="A70" s="7"/>
      <c r="B70" s="7"/>
      <c r="C70" s="7"/>
    </row>
    <row r="71" spans="1:3" x14ac:dyDescent="0.25">
      <c r="A71" s="7"/>
      <c r="B71" s="7"/>
      <c r="C71" s="7"/>
    </row>
    <row r="72" spans="1:3" x14ac:dyDescent="0.25">
      <c r="A72" s="7"/>
      <c r="B72" s="7"/>
      <c r="C72" s="7"/>
    </row>
    <row r="73" spans="1:3" x14ac:dyDescent="0.25">
      <c r="A73" s="7"/>
      <c r="B73" s="7"/>
      <c r="C73" s="7"/>
    </row>
    <row r="74" spans="1:3" x14ac:dyDescent="0.25">
      <c r="A74" s="7"/>
      <c r="B74" s="7"/>
      <c r="C74" s="7"/>
    </row>
    <row r="75" spans="1:3" x14ac:dyDescent="0.25">
      <c r="A75" s="7"/>
      <c r="B75" s="7"/>
      <c r="C75" s="7"/>
    </row>
    <row r="76" spans="1:3" x14ac:dyDescent="0.25">
      <c r="A76" s="5"/>
      <c r="B76" s="5"/>
      <c r="C76" s="5"/>
    </row>
  </sheetData>
  <mergeCells count="47">
    <mergeCell ref="F39:F49"/>
    <mergeCell ref="G39:G49"/>
    <mergeCell ref="H39:H49"/>
    <mergeCell ref="B54:B64"/>
    <mergeCell ref="C54:C64"/>
    <mergeCell ref="D54:D64"/>
    <mergeCell ref="E54:E64"/>
    <mergeCell ref="F54:F64"/>
    <mergeCell ref="G54:G64"/>
    <mergeCell ref="H54:H64"/>
    <mergeCell ref="D5:E5"/>
    <mergeCell ref="F5:I5"/>
    <mergeCell ref="F6:I6"/>
    <mergeCell ref="F7:I7"/>
    <mergeCell ref="F8:I8"/>
    <mergeCell ref="A21:A22"/>
    <mergeCell ref="B21:H21"/>
    <mergeCell ref="I21:I22"/>
    <mergeCell ref="B9:B11"/>
    <mergeCell ref="D8:E8"/>
    <mergeCell ref="D9:E11"/>
    <mergeCell ref="F10:I10"/>
    <mergeCell ref="F11:I11"/>
    <mergeCell ref="F12:I13"/>
    <mergeCell ref="F9:I9"/>
    <mergeCell ref="A6:A11"/>
    <mergeCell ref="A12:A13"/>
    <mergeCell ref="B6:B7"/>
    <mergeCell ref="C6:C7"/>
    <mergeCell ref="A18:I18"/>
    <mergeCell ref="D6:E7"/>
    <mergeCell ref="A52:A53"/>
    <mergeCell ref="B52:H52"/>
    <mergeCell ref="I52:I53"/>
    <mergeCell ref="L25:N25"/>
    <mergeCell ref="R25:T25"/>
    <mergeCell ref="B24:B33"/>
    <mergeCell ref="A37:A38"/>
    <mergeCell ref="B37:H37"/>
    <mergeCell ref="I37:I38"/>
    <mergeCell ref="L26:N26"/>
    <mergeCell ref="D24:D33"/>
    <mergeCell ref="E24:H33"/>
    <mergeCell ref="B39:B49"/>
    <mergeCell ref="C39:C49"/>
    <mergeCell ref="D39:D49"/>
    <mergeCell ref="E39:E4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72"/>
  <sheetViews>
    <sheetView zoomScale="85" zoomScaleNormal="85" workbookViewId="0">
      <selection activeCell="F26" sqref="F26"/>
    </sheetView>
  </sheetViews>
  <sheetFormatPr defaultRowHeight="15" x14ac:dyDescent="0.25"/>
  <sheetData>
    <row r="2" spans="1:19" ht="23.25" x14ac:dyDescent="0.35">
      <c r="A2" s="76" t="s">
        <v>116</v>
      </c>
      <c r="B2" s="76"/>
      <c r="C2" s="76"/>
      <c r="D2" s="77"/>
      <c r="E2" s="77"/>
      <c r="F2" s="77"/>
      <c r="G2" s="77"/>
      <c r="H2" s="77"/>
      <c r="I2" s="77"/>
    </row>
    <row r="3" spans="1:19" x14ac:dyDescent="0.25">
      <c r="A3" s="41"/>
    </row>
    <row r="4" spans="1:19" x14ac:dyDescent="0.25">
      <c r="A4" s="75" t="s">
        <v>109</v>
      </c>
    </row>
    <row r="6" spans="1:19" ht="54" customHeight="1" x14ac:dyDescent="0.25">
      <c r="A6" s="240" t="s">
        <v>11</v>
      </c>
      <c r="B6" s="241" t="s">
        <v>110</v>
      </c>
      <c r="C6" s="241"/>
      <c r="D6" s="241"/>
      <c r="E6" s="71" t="s">
        <v>114</v>
      </c>
      <c r="F6" s="240" t="s">
        <v>11</v>
      </c>
      <c r="G6" s="241" t="s">
        <v>111</v>
      </c>
      <c r="H6" s="241"/>
      <c r="I6" s="241"/>
      <c r="J6" s="72" t="s">
        <v>115</v>
      </c>
      <c r="K6" s="240" t="s">
        <v>11</v>
      </c>
      <c r="L6" s="241" t="s">
        <v>112</v>
      </c>
      <c r="M6" s="241"/>
      <c r="N6" s="241"/>
      <c r="O6" s="72" t="s">
        <v>115</v>
      </c>
      <c r="P6" s="240" t="s">
        <v>11</v>
      </c>
      <c r="Q6" s="241" t="s">
        <v>113</v>
      </c>
      <c r="R6" s="241"/>
      <c r="S6" s="241"/>
    </row>
    <row r="7" spans="1:19" x14ac:dyDescent="0.25">
      <c r="A7" s="240"/>
      <c r="B7" s="240" t="s">
        <v>82</v>
      </c>
      <c r="C7" s="240"/>
      <c r="D7" s="241" t="s">
        <v>84</v>
      </c>
      <c r="E7" s="69"/>
      <c r="F7" s="240"/>
      <c r="G7" s="240" t="s">
        <v>82</v>
      </c>
      <c r="H7" s="240"/>
      <c r="I7" s="241" t="s">
        <v>84</v>
      </c>
      <c r="K7" s="240"/>
      <c r="L7" s="240" t="s">
        <v>82</v>
      </c>
      <c r="M7" s="240"/>
      <c r="N7" s="241" t="s">
        <v>84</v>
      </c>
      <c r="P7" s="240"/>
      <c r="Q7" s="240" t="s">
        <v>82</v>
      </c>
      <c r="R7" s="240"/>
      <c r="S7" s="241" t="s">
        <v>84</v>
      </c>
    </row>
    <row r="8" spans="1:19" x14ac:dyDescent="0.25">
      <c r="A8" s="240"/>
      <c r="B8" s="74" t="s">
        <v>85</v>
      </c>
      <c r="C8" s="74" t="s">
        <v>86</v>
      </c>
      <c r="D8" s="241"/>
      <c r="E8" s="6"/>
      <c r="F8" s="240"/>
      <c r="G8" s="74" t="s">
        <v>85</v>
      </c>
      <c r="H8" s="74" t="s">
        <v>86</v>
      </c>
      <c r="I8" s="241"/>
      <c r="K8" s="240"/>
      <c r="L8" s="74" t="s">
        <v>85</v>
      </c>
      <c r="M8" s="74" t="s">
        <v>86</v>
      </c>
      <c r="N8" s="241"/>
      <c r="P8" s="240"/>
      <c r="Q8" s="74" t="s">
        <v>85</v>
      </c>
      <c r="R8" s="74" t="s">
        <v>86</v>
      </c>
      <c r="S8" s="241"/>
    </row>
    <row r="9" spans="1:19" x14ac:dyDescent="0.25">
      <c r="A9" s="37">
        <v>2010</v>
      </c>
      <c r="B9" s="38"/>
      <c r="C9" s="39">
        <f>B9*21</f>
        <v>0</v>
      </c>
      <c r="D9" s="40">
        <f t="shared" ref="D9:D19" si="0">E9+C9</f>
        <v>0</v>
      </c>
      <c r="E9" s="70"/>
      <c r="F9" s="37">
        <v>2010</v>
      </c>
      <c r="G9" s="38"/>
      <c r="H9" s="39">
        <f>G9*21</f>
        <v>0</v>
      </c>
      <c r="I9" s="40">
        <f t="shared" ref="I9:I19" si="1">J9+H9</f>
        <v>0</v>
      </c>
      <c r="K9" s="37">
        <v>2010</v>
      </c>
      <c r="L9" s="38"/>
      <c r="M9" s="39">
        <f>L9*21</f>
        <v>0</v>
      </c>
      <c r="N9" s="40">
        <f t="shared" ref="N9:N19" si="2">O9+M9</f>
        <v>0</v>
      </c>
      <c r="P9" s="37">
        <v>2010</v>
      </c>
      <c r="Q9" s="38"/>
      <c r="R9" s="39">
        <f>Q9*21</f>
        <v>0</v>
      </c>
      <c r="S9" s="40">
        <f t="shared" ref="S9:S19" si="3">T9+R9</f>
        <v>0</v>
      </c>
    </row>
    <row r="10" spans="1:19" x14ac:dyDescent="0.25">
      <c r="A10" s="37">
        <v>2011</v>
      </c>
      <c r="B10" s="38"/>
      <c r="C10" s="39">
        <f t="shared" ref="C10:C19" si="4">B10*21</f>
        <v>0</v>
      </c>
      <c r="D10" s="40">
        <f t="shared" si="0"/>
        <v>0</v>
      </c>
      <c r="E10" s="70"/>
      <c r="F10" s="37">
        <v>2011</v>
      </c>
      <c r="G10" s="38"/>
      <c r="H10" s="39">
        <f t="shared" ref="H10:H19" si="5">G10*21</f>
        <v>0</v>
      </c>
      <c r="I10" s="40">
        <f t="shared" si="1"/>
        <v>0</v>
      </c>
      <c r="K10" s="37">
        <v>2011</v>
      </c>
      <c r="L10" s="38"/>
      <c r="M10" s="39">
        <f t="shared" ref="M10:M19" si="6">L10*21</f>
        <v>0</v>
      </c>
      <c r="N10" s="40">
        <f t="shared" si="2"/>
        <v>0</v>
      </c>
      <c r="P10" s="37">
        <v>2011</v>
      </c>
      <c r="Q10" s="38"/>
      <c r="R10" s="39">
        <f t="shared" ref="R10:R19" si="7">Q10*21</f>
        <v>0</v>
      </c>
      <c r="S10" s="40">
        <f t="shared" si="3"/>
        <v>0</v>
      </c>
    </row>
    <row r="11" spans="1:19" x14ac:dyDescent="0.25">
      <c r="A11" s="37">
        <v>2012</v>
      </c>
      <c r="B11" s="38"/>
      <c r="C11" s="39">
        <f t="shared" si="4"/>
        <v>0</v>
      </c>
      <c r="D11" s="40">
        <f t="shared" si="0"/>
        <v>0</v>
      </c>
      <c r="E11" s="70"/>
      <c r="F11" s="37">
        <v>2012</v>
      </c>
      <c r="G11" s="38"/>
      <c r="H11" s="39">
        <f t="shared" si="5"/>
        <v>0</v>
      </c>
      <c r="I11" s="40">
        <f t="shared" si="1"/>
        <v>0</v>
      </c>
      <c r="K11" s="37">
        <v>2012</v>
      </c>
      <c r="L11" s="38"/>
      <c r="M11" s="39">
        <f t="shared" si="6"/>
        <v>0</v>
      </c>
      <c r="N11" s="40">
        <f t="shared" si="2"/>
        <v>0</v>
      </c>
      <c r="P11" s="37">
        <v>2012</v>
      </c>
      <c r="Q11" s="38"/>
      <c r="R11" s="39">
        <f t="shared" si="7"/>
        <v>0</v>
      </c>
      <c r="S11" s="40">
        <f t="shared" si="3"/>
        <v>0</v>
      </c>
    </row>
    <row r="12" spans="1:19" x14ac:dyDescent="0.25">
      <c r="A12" s="37">
        <v>2013</v>
      </c>
      <c r="B12" s="38"/>
      <c r="C12" s="39">
        <f t="shared" si="4"/>
        <v>0</v>
      </c>
      <c r="D12" s="40">
        <f t="shared" si="0"/>
        <v>0</v>
      </c>
      <c r="E12" s="70"/>
      <c r="F12" s="37">
        <v>2013</v>
      </c>
      <c r="G12" s="38"/>
      <c r="H12" s="39">
        <f t="shared" si="5"/>
        <v>0</v>
      </c>
      <c r="I12" s="40">
        <f t="shared" si="1"/>
        <v>0</v>
      </c>
      <c r="K12" s="37">
        <v>2013</v>
      </c>
      <c r="L12" s="38"/>
      <c r="M12" s="39">
        <f t="shared" si="6"/>
        <v>0</v>
      </c>
      <c r="N12" s="40">
        <f t="shared" si="2"/>
        <v>0</v>
      </c>
      <c r="P12" s="37">
        <v>2013</v>
      </c>
      <c r="Q12" s="38"/>
      <c r="R12" s="39">
        <f t="shared" si="7"/>
        <v>0</v>
      </c>
      <c r="S12" s="40">
        <f t="shared" si="3"/>
        <v>0</v>
      </c>
    </row>
    <row r="13" spans="1:19" x14ac:dyDescent="0.25">
      <c r="A13" s="37">
        <v>2014</v>
      </c>
      <c r="B13" s="38"/>
      <c r="C13" s="39">
        <f t="shared" si="4"/>
        <v>0</v>
      </c>
      <c r="D13" s="40">
        <f t="shared" si="0"/>
        <v>0</v>
      </c>
      <c r="E13" s="70"/>
      <c r="F13" s="37">
        <v>2014</v>
      </c>
      <c r="G13" s="38"/>
      <c r="H13" s="39">
        <f t="shared" si="5"/>
        <v>0</v>
      </c>
      <c r="I13" s="40">
        <f t="shared" si="1"/>
        <v>0</v>
      </c>
      <c r="K13" s="37">
        <v>2014</v>
      </c>
      <c r="L13" s="38"/>
      <c r="M13" s="39">
        <f t="shared" si="6"/>
        <v>0</v>
      </c>
      <c r="N13" s="40">
        <f t="shared" si="2"/>
        <v>0</v>
      </c>
      <c r="P13" s="37">
        <v>2014</v>
      </c>
      <c r="Q13" s="38"/>
      <c r="R13" s="39">
        <f t="shared" si="7"/>
        <v>0</v>
      </c>
      <c r="S13" s="40">
        <f t="shared" si="3"/>
        <v>0</v>
      </c>
    </row>
    <row r="14" spans="1:19" x14ac:dyDescent="0.25">
      <c r="A14" s="37">
        <v>2015</v>
      </c>
      <c r="B14" s="38"/>
      <c r="C14" s="39">
        <f t="shared" si="4"/>
        <v>0</v>
      </c>
      <c r="D14" s="40">
        <f t="shared" si="0"/>
        <v>0</v>
      </c>
      <c r="E14" s="70"/>
      <c r="F14" s="37">
        <v>2015</v>
      </c>
      <c r="G14" s="38"/>
      <c r="H14" s="39">
        <f t="shared" si="5"/>
        <v>0</v>
      </c>
      <c r="I14" s="40">
        <f t="shared" si="1"/>
        <v>0</v>
      </c>
      <c r="K14" s="37">
        <v>2015</v>
      </c>
      <c r="L14" s="38"/>
      <c r="M14" s="39">
        <f t="shared" si="6"/>
        <v>0</v>
      </c>
      <c r="N14" s="40">
        <f t="shared" si="2"/>
        <v>0</v>
      </c>
      <c r="P14" s="37">
        <v>2015</v>
      </c>
      <c r="Q14" s="38"/>
      <c r="R14" s="39">
        <f t="shared" si="7"/>
        <v>0</v>
      </c>
      <c r="S14" s="40">
        <f t="shared" si="3"/>
        <v>0</v>
      </c>
    </row>
    <row r="15" spans="1:19" x14ac:dyDescent="0.25">
      <c r="A15" s="37">
        <v>2016</v>
      </c>
      <c r="B15" s="38"/>
      <c r="C15" s="39">
        <f t="shared" si="4"/>
        <v>0</v>
      </c>
      <c r="D15" s="40">
        <f t="shared" si="0"/>
        <v>0</v>
      </c>
      <c r="E15" s="70"/>
      <c r="F15" s="37">
        <v>2016</v>
      </c>
      <c r="G15" s="38"/>
      <c r="H15" s="39">
        <f t="shared" si="5"/>
        <v>0</v>
      </c>
      <c r="I15" s="40">
        <f t="shared" si="1"/>
        <v>0</v>
      </c>
      <c r="K15" s="37">
        <v>2016</v>
      </c>
      <c r="L15" s="38"/>
      <c r="M15" s="39">
        <f t="shared" si="6"/>
        <v>0</v>
      </c>
      <c r="N15" s="40">
        <f t="shared" si="2"/>
        <v>0</v>
      </c>
      <c r="P15" s="37">
        <v>2016</v>
      </c>
      <c r="Q15" s="38"/>
      <c r="R15" s="39">
        <f t="shared" si="7"/>
        <v>0</v>
      </c>
      <c r="S15" s="40">
        <f t="shared" si="3"/>
        <v>0</v>
      </c>
    </row>
    <row r="16" spans="1:19" x14ac:dyDescent="0.25">
      <c r="A16" s="37">
        <v>2017</v>
      </c>
      <c r="B16" s="38"/>
      <c r="C16" s="39">
        <f t="shared" si="4"/>
        <v>0</v>
      </c>
      <c r="D16" s="40">
        <f t="shared" si="0"/>
        <v>0</v>
      </c>
      <c r="E16" s="70"/>
      <c r="F16" s="37">
        <v>2017</v>
      </c>
      <c r="G16" s="38"/>
      <c r="H16" s="39">
        <f t="shared" si="5"/>
        <v>0</v>
      </c>
      <c r="I16" s="40">
        <f t="shared" si="1"/>
        <v>0</v>
      </c>
      <c r="K16" s="37">
        <v>2017</v>
      </c>
      <c r="L16" s="38"/>
      <c r="M16" s="39">
        <f t="shared" si="6"/>
        <v>0</v>
      </c>
      <c r="N16" s="40">
        <f t="shared" si="2"/>
        <v>0</v>
      </c>
      <c r="P16" s="37">
        <v>2017</v>
      </c>
      <c r="Q16" s="38"/>
      <c r="R16" s="39">
        <f t="shared" si="7"/>
        <v>0</v>
      </c>
      <c r="S16" s="40">
        <f t="shared" si="3"/>
        <v>0</v>
      </c>
    </row>
    <row r="17" spans="1:19" x14ac:dyDescent="0.25">
      <c r="A17" s="37">
        <v>2018</v>
      </c>
      <c r="B17" s="38"/>
      <c r="C17" s="39">
        <f t="shared" si="4"/>
        <v>0</v>
      </c>
      <c r="D17" s="40">
        <f t="shared" si="0"/>
        <v>0</v>
      </c>
      <c r="E17" s="70"/>
      <c r="F17" s="37">
        <v>2018</v>
      </c>
      <c r="G17" s="38"/>
      <c r="H17" s="39">
        <f t="shared" si="5"/>
        <v>0</v>
      </c>
      <c r="I17" s="40">
        <f t="shared" si="1"/>
        <v>0</v>
      </c>
      <c r="K17" s="37">
        <v>2018</v>
      </c>
      <c r="L17" s="38"/>
      <c r="M17" s="39">
        <f t="shared" si="6"/>
        <v>0</v>
      </c>
      <c r="N17" s="40">
        <f t="shared" si="2"/>
        <v>0</v>
      </c>
      <c r="P17" s="37">
        <v>2018</v>
      </c>
      <c r="Q17" s="38"/>
      <c r="R17" s="39">
        <f t="shared" si="7"/>
        <v>0</v>
      </c>
      <c r="S17" s="40">
        <f t="shared" si="3"/>
        <v>0</v>
      </c>
    </row>
    <row r="18" spans="1:19" x14ac:dyDescent="0.25">
      <c r="A18" s="37">
        <v>2019</v>
      </c>
      <c r="B18" s="38"/>
      <c r="C18" s="39">
        <f t="shared" si="4"/>
        <v>0</v>
      </c>
      <c r="D18" s="40">
        <f t="shared" si="0"/>
        <v>0</v>
      </c>
      <c r="E18" s="70"/>
      <c r="F18" s="37">
        <v>2019</v>
      </c>
      <c r="G18" s="38"/>
      <c r="H18" s="39">
        <f t="shared" si="5"/>
        <v>0</v>
      </c>
      <c r="I18" s="40">
        <f t="shared" si="1"/>
        <v>0</v>
      </c>
      <c r="K18" s="37">
        <v>2019</v>
      </c>
      <c r="L18" s="38"/>
      <c r="M18" s="39">
        <f t="shared" si="6"/>
        <v>0</v>
      </c>
      <c r="N18" s="40">
        <f t="shared" si="2"/>
        <v>0</v>
      </c>
      <c r="P18" s="37">
        <v>2019</v>
      </c>
      <c r="Q18" s="38"/>
      <c r="R18" s="39">
        <f t="shared" si="7"/>
        <v>0</v>
      </c>
      <c r="S18" s="40">
        <f t="shared" si="3"/>
        <v>0</v>
      </c>
    </row>
    <row r="19" spans="1:19" x14ac:dyDescent="0.25">
      <c r="A19" s="37">
        <v>2020</v>
      </c>
      <c r="B19" s="38"/>
      <c r="C19" s="39">
        <f t="shared" si="4"/>
        <v>0</v>
      </c>
      <c r="D19" s="40">
        <f t="shared" si="0"/>
        <v>0</v>
      </c>
      <c r="E19" s="70"/>
      <c r="F19" s="37">
        <v>2020</v>
      </c>
      <c r="G19" s="38"/>
      <c r="H19" s="39">
        <f t="shared" si="5"/>
        <v>0</v>
      </c>
      <c r="I19" s="40">
        <f t="shared" si="1"/>
        <v>0</v>
      </c>
      <c r="K19" s="37">
        <v>2020</v>
      </c>
      <c r="L19" s="38"/>
      <c r="M19" s="39">
        <f t="shared" si="6"/>
        <v>0</v>
      </c>
      <c r="N19" s="40">
        <f t="shared" si="2"/>
        <v>0</v>
      </c>
      <c r="P19" s="37">
        <v>2020</v>
      </c>
      <c r="Q19" s="38"/>
      <c r="R19" s="39">
        <f t="shared" si="7"/>
        <v>0</v>
      </c>
      <c r="S19" s="40">
        <f t="shared" si="3"/>
        <v>0</v>
      </c>
    </row>
    <row r="22" spans="1:19" ht="15.75" thickBot="1" x14ac:dyDescent="0.3">
      <c r="A22" s="73" t="s">
        <v>80</v>
      </c>
      <c r="K22" t="s">
        <v>120</v>
      </c>
      <c r="L22">
        <v>16000</v>
      </c>
    </row>
    <row r="23" spans="1:19" ht="15.75" thickBot="1" x14ac:dyDescent="0.3">
      <c r="A23" s="248" t="s">
        <v>11</v>
      </c>
      <c r="B23" s="250" t="s">
        <v>81</v>
      </c>
      <c r="C23" s="251"/>
      <c r="D23" s="251"/>
      <c r="E23" s="251"/>
      <c r="F23" s="252"/>
      <c r="K23" t="s">
        <v>121</v>
      </c>
      <c r="L23">
        <v>280</v>
      </c>
      <c r="M23" t="s">
        <v>123</v>
      </c>
    </row>
    <row r="24" spans="1:19" ht="15.75" thickBot="1" x14ac:dyDescent="0.3">
      <c r="A24" s="249"/>
      <c r="B24" s="250" t="s">
        <v>82</v>
      </c>
      <c r="C24" s="252"/>
      <c r="D24" s="250" t="s">
        <v>83</v>
      </c>
      <c r="E24" s="252"/>
      <c r="F24" s="253" t="s">
        <v>84</v>
      </c>
      <c r="K24" t="s">
        <v>122</v>
      </c>
      <c r="L24">
        <v>4800</v>
      </c>
      <c r="M24" t="s">
        <v>123</v>
      </c>
    </row>
    <row r="25" spans="1:19" x14ac:dyDescent="0.25">
      <c r="A25" s="249"/>
      <c r="B25" s="36" t="s">
        <v>85</v>
      </c>
      <c r="C25" s="36" t="s">
        <v>86</v>
      </c>
      <c r="D25" s="36" t="s">
        <v>87</v>
      </c>
      <c r="E25" s="36" t="s">
        <v>86</v>
      </c>
      <c r="F25" s="254"/>
    </row>
    <row r="26" spans="1:19" x14ac:dyDescent="0.25">
      <c r="A26" s="37">
        <v>2010</v>
      </c>
      <c r="B26" s="38"/>
      <c r="C26" s="39">
        <f>B26*21</f>
        <v>0</v>
      </c>
      <c r="D26" s="38"/>
      <c r="E26" s="39">
        <f>D26*310</f>
        <v>0</v>
      </c>
      <c r="F26" s="40">
        <f>E26+C26</f>
        <v>0</v>
      </c>
    </row>
    <row r="27" spans="1:19" x14ac:dyDescent="0.25">
      <c r="A27" s="37">
        <v>2011</v>
      </c>
      <c r="B27" s="38"/>
      <c r="C27" s="39">
        <f t="shared" ref="C27:C36" si="8">B27*21</f>
        <v>0</v>
      </c>
      <c r="D27" s="38"/>
      <c r="E27" s="39">
        <f t="shared" ref="E27:E36" si="9">D27*310</f>
        <v>0</v>
      </c>
      <c r="F27" s="40">
        <f t="shared" ref="F27:F36" si="10">E27+C27</f>
        <v>0</v>
      </c>
    </row>
    <row r="28" spans="1:19" x14ac:dyDescent="0.25">
      <c r="A28" s="37">
        <v>2012</v>
      </c>
      <c r="B28" s="38"/>
      <c r="C28" s="39">
        <f t="shared" si="8"/>
        <v>0</v>
      </c>
      <c r="D28" s="38"/>
      <c r="E28" s="39">
        <f t="shared" si="9"/>
        <v>0</v>
      </c>
      <c r="F28" s="40">
        <f t="shared" si="10"/>
        <v>0</v>
      </c>
    </row>
    <row r="29" spans="1:19" x14ac:dyDescent="0.25">
      <c r="A29" s="37">
        <v>2013</v>
      </c>
      <c r="B29" s="38"/>
      <c r="C29" s="39">
        <f t="shared" si="8"/>
        <v>0</v>
      </c>
      <c r="D29" s="38"/>
      <c r="E29" s="39">
        <f t="shared" si="9"/>
        <v>0</v>
      </c>
      <c r="F29" s="40">
        <f t="shared" si="10"/>
        <v>0</v>
      </c>
    </row>
    <row r="30" spans="1:19" x14ac:dyDescent="0.25">
      <c r="A30" s="37">
        <v>2014</v>
      </c>
      <c r="B30" s="38"/>
      <c r="C30" s="39">
        <f t="shared" si="8"/>
        <v>0</v>
      </c>
      <c r="D30" s="38"/>
      <c r="E30" s="39">
        <f t="shared" si="9"/>
        <v>0</v>
      </c>
      <c r="F30" s="40">
        <f t="shared" si="10"/>
        <v>0</v>
      </c>
    </row>
    <row r="31" spans="1:19" x14ac:dyDescent="0.25">
      <c r="A31" s="37">
        <v>2015</v>
      </c>
      <c r="B31" s="38"/>
      <c r="C31" s="39">
        <f t="shared" si="8"/>
        <v>0</v>
      </c>
      <c r="D31" s="38"/>
      <c r="E31" s="39">
        <f t="shared" si="9"/>
        <v>0</v>
      </c>
      <c r="F31" s="40">
        <f t="shared" si="10"/>
        <v>0</v>
      </c>
    </row>
    <row r="32" spans="1:19" x14ac:dyDescent="0.25">
      <c r="A32" s="37">
        <v>2016</v>
      </c>
      <c r="B32" s="38"/>
      <c r="C32" s="39">
        <f t="shared" si="8"/>
        <v>0</v>
      </c>
      <c r="D32" s="38"/>
      <c r="E32" s="39">
        <f t="shared" si="9"/>
        <v>0</v>
      </c>
      <c r="F32" s="40">
        <f t="shared" si="10"/>
        <v>0</v>
      </c>
    </row>
    <row r="33" spans="1:6" x14ac:dyDescent="0.25">
      <c r="A33" s="37">
        <v>2017</v>
      </c>
      <c r="B33" s="38"/>
      <c r="C33" s="39">
        <f t="shared" si="8"/>
        <v>0</v>
      </c>
      <c r="D33" s="38"/>
      <c r="E33" s="39">
        <f t="shared" si="9"/>
        <v>0</v>
      </c>
      <c r="F33" s="40">
        <f t="shared" si="10"/>
        <v>0</v>
      </c>
    </row>
    <row r="34" spans="1:6" x14ac:dyDescent="0.25">
      <c r="A34" s="37">
        <v>2018</v>
      </c>
      <c r="B34" s="38"/>
      <c r="C34" s="39">
        <f t="shared" si="8"/>
        <v>0</v>
      </c>
      <c r="D34" s="38"/>
      <c r="E34" s="39">
        <f t="shared" si="9"/>
        <v>0</v>
      </c>
      <c r="F34" s="40">
        <f t="shared" si="10"/>
        <v>0</v>
      </c>
    </row>
    <row r="35" spans="1:6" x14ac:dyDescent="0.25">
      <c r="A35" s="37">
        <v>2019</v>
      </c>
      <c r="B35" s="38"/>
      <c r="C35" s="39">
        <f t="shared" si="8"/>
        <v>0</v>
      </c>
      <c r="D35" s="38"/>
      <c r="E35" s="39">
        <f t="shared" si="9"/>
        <v>0</v>
      </c>
      <c r="F35" s="40">
        <f t="shared" si="10"/>
        <v>0</v>
      </c>
    </row>
    <row r="36" spans="1:6" x14ac:dyDescent="0.25">
      <c r="A36" s="37">
        <v>2020</v>
      </c>
      <c r="B36" s="38"/>
      <c r="C36" s="39">
        <f t="shared" si="8"/>
        <v>0</v>
      </c>
      <c r="D36" s="38"/>
      <c r="E36" s="39">
        <f t="shared" si="9"/>
        <v>0</v>
      </c>
      <c r="F36" s="40">
        <f t="shared" si="10"/>
        <v>0</v>
      </c>
    </row>
    <row r="39" spans="1:6" ht="15.75" thickBot="1" x14ac:dyDescent="0.3">
      <c r="A39" s="41" t="s">
        <v>88</v>
      </c>
    </row>
    <row r="40" spans="1:6" ht="15.75" thickBot="1" x14ac:dyDescent="0.3">
      <c r="A40" s="255" t="s">
        <v>11</v>
      </c>
      <c r="B40" s="42" t="s">
        <v>89</v>
      </c>
      <c r="C40" s="43"/>
      <c r="D40" s="43"/>
      <c r="E40" s="43"/>
      <c r="F40" s="43"/>
    </row>
    <row r="41" spans="1:6" ht="15.75" thickBot="1" x14ac:dyDescent="0.3">
      <c r="A41" s="256"/>
      <c r="B41" s="42" t="s">
        <v>82</v>
      </c>
      <c r="C41" s="44"/>
      <c r="D41" s="42" t="s">
        <v>83</v>
      </c>
      <c r="E41" s="44"/>
      <c r="F41" s="45" t="s">
        <v>90</v>
      </c>
    </row>
    <row r="42" spans="1:6" x14ac:dyDescent="0.25">
      <c r="A42" s="256"/>
      <c r="B42" s="46" t="s">
        <v>85</v>
      </c>
      <c r="C42" s="46" t="s">
        <v>86</v>
      </c>
      <c r="D42" s="46" t="s">
        <v>87</v>
      </c>
      <c r="E42" s="46" t="s">
        <v>86</v>
      </c>
      <c r="F42" s="46" t="s">
        <v>91</v>
      </c>
    </row>
    <row r="43" spans="1:6" x14ac:dyDescent="0.25">
      <c r="A43" s="37">
        <v>2010</v>
      </c>
      <c r="B43" s="47"/>
      <c r="C43" s="39">
        <f>B43*21</f>
        <v>0</v>
      </c>
      <c r="D43" s="47"/>
      <c r="E43" s="39">
        <f>D43*310</f>
        <v>0</v>
      </c>
      <c r="F43" s="48">
        <f>'[6]4C2_CO2_OpenBurning'!M14</f>
        <v>0.36544769440214148</v>
      </c>
    </row>
    <row r="44" spans="1:6" x14ac:dyDescent="0.25">
      <c r="A44" s="37">
        <v>2011</v>
      </c>
      <c r="B44" s="47"/>
      <c r="C44" s="39">
        <f t="shared" ref="C44:C53" si="11">B44*21</f>
        <v>0</v>
      </c>
      <c r="D44" s="47"/>
      <c r="E44" s="39">
        <f t="shared" ref="E44:E53" si="12">D44*310</f>
        <v>0</v>
      </c>
      <c r="F44" s="48">
        <f>'[6]4C2_CO2_OpenBurning'!M15</f>
        <v>0.37080718576593003</v>
      </c>
    </row>
    <row r="45" spans="1:6" x14ac:dyDescent="0.25">
      <c r="A45" s="37">
        <v>2012</v>
      </c>
      <c r="B45" s="47"/>
      <c r="C45" s="39">
        <f t="shared" si="11"/>
        <v>0</v>
      </c>
      <c r="D45" s="47"/>
      <c r="E45" s="39">
        <f t="shared" si="12"/>
        <v>0</v>
      </c>
      <c r="F45" s="48">
        <f>'[6]4C2_CO2_OpenBurning'!M16</f>
        <v>0.3755322278987217</v>
      </c>
    </row>
    <row r="46" spans="1:6" x14ac:dyDescent="0.25">
      <c r="A46" s="37">
        <v>2013</v>
      </c>
      <c r="B46" s="47"/>
      <c r="C46" s="39">
        <f t="shared" si="11"/>
        <v>0</v>
      </c>
      <c r="D46" s="47"/>
      <c r="E46" s="39">
        <f t="shared" si="12"/>
        <v>0</v>
      </c>
      <c r="F46" s="48">
        <f>'[6]4C2_CO2_OpenBurning'!M17</f>
        <v>0.38075594218972864</v>
      </c>
    </row>
    <row r="47" spans="1:6" x14ac:dyDescent="0.25">
      <c r="A47" s="37">
        <v>2014</v>
      </c>
      <c r="B47" s="47"/>
      <c r="C47" s="39">
        <f t="shared" si="11"/>
        <v>0</v>
      </c>
      <c r="D47" s="47"/>
      <c r="E47" s="39">
        <f t="shared" si="12"/>
        <v>0</v>
      </c>
      <c r="F47" s="48">
        <f>'[6]4C2_CO2_OpenBurning'!M18</f>
        <v>0.385115620563036</v>
      </c>
    </row>
    <row r="48" spans="1:6" x14ac:dyDescent="0.25">
      <c r="A48" s="37">
        <v>2015</v>
      </c>
      <c r="B48" s="47"/>
      <c r="C48" s="39">
        <f t="shared" si="11"/>
        <v>0</v>
      </c>
      <c r="D48" s="47"/>
      <c r="E48" s="39">
        <f t="shared" si="12"/>
        <v>0</v>
      </c>
      <c r="F48" s="48">
        <f>'[6]4C2_CO2_OpenBurning'!M19</f>
        <v>0.40022736189619784</v>
      </c>
    </row>
    <row r="49" spans="1:6" x14ac:dyDescent="0.25">
      <c r="A49" s="37">
        <v>2016</v>
      </c>
      <c r="B49" s="47"/>
      <c r="C49" s="39">
        <f t="shared" si="11"/>
        <v>0</v>
      </c>
      <c r="D49" s="47"/>
      <c r="E49" s="39">
        <f t="shared" si="12"/>
        <v>0</v>
      </c>
      <c r="F49" s="48">
        <f>'[6]4C2_CO2_OpenBurning'!M20</f>
        <v>0.4087329314700332</v>
      </c>
    </row>
    <row r="50" spans="1:6" x14ac:dyDescent="0.25">
      <c r="A50" s="37">
        <v>2017</v>
      </c>
      <c r="B50" s="47"/>
      <c r="C50" s="39">
        <f t="shared" si="11"/>
        <v>0</v>
      </c>
      <c r="D50" s="47"/>
      <c r="E50" s="39">
        <f t="shared" si="12"/>
        <v>0</v>
      </c>
      <c r="F50" s="48">
        <f>'[6]4C2_CO2_OpenBurning'!M21</f>
        <v>0.4172385010438685</v>
      </c>
    </row>
    <row r="51" spans="1:6" x14ac:dyDescent="0.25">
      <c r="A51" s="37">
        <v>2018</v>
      </c>
      <c r="B51" s="47"/>
      <c r="C51" s="39">
        <f t="shared" si="11"/>
        <v>0</v>
      </c>
      <c r="D51" s="47"/>
      <c r="E51" s="39">
        <f t="shared" si="12"/>
        <v>0</v>
      </c>
      <c r="F51" s="48">
        <f>'[6]4C2_CO2_OpenBurning'!M22</f>
        <v>0.42574407061770381</v>
      </c>
    </row>
    <row r="52" spans="1:6" x14ac:dyDescent="0.25">
      <c r="A52" s="37">
        <v>2019</v>
      </c>
      <c r="B52" s="47"/>
      <c r="C52" s="39">
        <f t="shared" si="11"/>
        <v>0</v>
      </c>
      <c r="D52" s="47"/>
      <c r="E52" s="39">
        <f t="shared" si="12"/>
        <v>0</v>
      </c>
      <c r="F52" s="48">
        <f>'[6]4C2_CO2_OpenBurning'!M23</f>
        <v>0.43424964019153911</v>
      </c>
    </row>
    <row r="53" spans="1:6" x14ac:dyDescent="0.25">
      <c r="A53" s="37">
        <v>2020</v>
      </c>
      <c r="B53" s="47"/>
      <c r="C53" s="39">
        <f t="shared" si="11"/>
        <v>0</v>
      </c>
      <c r="D53" s="47"/>
      <c r="E53" s="39">
        <f t="shared" si="12"/>
        <v>0</v>
      </c>
      <c r="F53" s="48">
        <f>'[6]4C2_CO2_OpenBurning'!M24</f>
        <v>0.44275520976537452</v>
      </c>
    </row>
    <row r="56" spans="1:6" x14ac:dyDescent="0.25">
      <c r="A56" s="49"/>
      <c r="B56" s="50"/>
      <c r="C56" s="51"/>
      <c r="D56" s="50"/>
      <c r="E56" s="51"/>
      <c r="F56" s="51"/>
    </row>
    <row r="57" spans="1:6" ht="15.75" thickBot="1" x14ac:dyDescent="0.3">
      <c r="A57" s="52" t="s">
        <v>92</v>
      </c>
      <c r="B57" s="51"/>
      <c r="C57" s="50"/>
      <c r="D57" s="51"/>
    </row>
    <row r="58" spans="1:6" ht="15.75" thickBot="1" x14ac:dyDescent="0.3">
      <c r="A58" s="242" t="s">
        <v>11</v>
      </c>
      <c r="B58" s="244" t="s">
        <v>93</v>
      </c>
      <c r="C58" s="245"/>
      <c r="D58" s="53" t="s">
        <v>94</v>
      </c>
      <c r="E58" s="54"/>
      <c r="F58" s="55" t="s">
        <v>95</v>
      </c>
    </row>
    <row r="59" spans="1:6" ht="63.75" thickBot="1" x14ac:dyDescent="0.3">
      <c r="A59" s="243"/>
      <c r="B59" s="56" t="s">
        <v>96</v>
      </c>
      <c r="C59" s="56" t="s">
        <v>97</v>
      </c>
      <c r="D59" s="57" t="s">
        <v>98</v>
      </c>
      <c r="E59" s="57" t="s">
        <v>99</v>
      </c>
      <c r="F59" s="58" t="s">
        <v>100</v>
      </c>
    </row>
    <row r="60" spans="1:6" ht="15.75" thickBot="1" x14ac:dyDescent="0.3">
      <c r="A60" s="243"/>
      <c r="B60" s="246" t="s">
        <v>101</v>
      </c>
      <c r="C60" s="59" t="s">
        <v>102</v>
      </c>
      <c r="D60" s="60" t="s">
        <v>103</v>
      </c>
      <c r="E60" s="61" t="s">
        <v>104</v>
      </c>
      <c r="F60" s="62" t="s">
        <v>105</v>
      </c>
    </row>
    <row r="61" spans="1:6" ht="26.25" x14ac:dyDescent="0.25">
      <c r="A61" s="243"/>
      <c r="B61" s="247"/>
      <c r="C61" s="63" t="s">
        <v>106</v>
      </c>
      <c r="D61" s="64"/>
      <c r="E61" s="65" t="s">
        <v>107</v>
      </c>
      <c r="F61" s="66" t="s">
        <v>108</v>
      </c>
    </row>
    <row r="62" spans="1:6" x14ac:dyDescent="0.25">
      <c r="A62" s="37">
        <v>2010</v>
      </c>
      <c r="B62" s="48"/>
      <c r="C62" s="39">
        <f>B62*21</f>
        <v>0</v>
      </c>
      <c r="D62" s="67"/>
      <c r="E62" s="39">
        <f>D62*310</f>
        <v>0</v>
      </c>
      <c r="F62" s="68">
        <f>C62+E62</f>
        <v>0</v>
      </c>
    </row>
    <row r="63" spans="1:6" x14ac:dyDescent="0.25">
      <c r="A63" s="37">
        <v>2011</v>
      </c>
      <c r="B63" s="48"/>
      <c r="C63" s="39">
        <f t="shared" ref="C63:C72" si="13">B63*21</f>
        <v>0</v>
      </c>
      <c r="D63" s="67"/>
      <c r="E63" s="39">
        <f t="shared" ref="E63:E72" si="14">D63*310</f>
        <v>0</v>
      </c>
      <c r="F63" s="68">
        <f t="shared" ref="F63:F72" si="15">C63+E63</f>
        <v>0</v>
      </c>
    </row>
    <row r="64" spans="1:6" x14ac:dyDescent="0.25">
      <c r="A64" s="37">
        <v>2012</v>
      </c>
      <c r="B64" s="48"/>
      <c r="C64" s="39">
        <f t="shared" si="13"/>
        <v>0</v>
      </c>
      <c r="D64" s="67"/>
      <c r="E64" s="39">
        <f t="shared" si="14"/>
        <v>0</v>
      </c>
      <c r="F64" s="68">
        <f t="shared" si="15"/>
        <v>0</v>
      </c>
    </row>
    <row r="65" spans="1:6" x14ac:dyDescent="0.25">
      <c r="A65" s="37">
        <v>2013</v>
      </c>
      <c r="B65" s="48"/>
      <c r="C65" s="39">
        <f t="shared" si="13"/>
        <v>0</v>
      </c>
      <c r="D65" s="67"/>
      <c r="E65" s="39">
        <f t="shared" si="14"/>
        <v>0</v>
      </c>
      <c r="F65" s="68">
        <f t="shared" si="15"/>
        <v>0</v>
      </c>
    </row>
    <row r="66" spans="1:6" x14ac:dyDescent="0.25">
      <c r="A66" s="37">
        <v>2014</v>
      </c>
      <c r="B66" s="48"/>
      <c r="C66" s="39">
        <f t="shared" si="13"/>
        <v>0</v>
      </c>
      <c r="D66" s="67"/>
      <c r="E66" s="39">
        <f t="shared" si="14"/>
        <v>0</v>
      </c>
      <c r="F66" s="68">
        <f t="shared" si="15"/>
        <v>0</v>
      </c>
    </row>
    <row r="67" spans="1:6" x14ac:dyDescent="0.25">
      <c r="A67" s="37">
        <v>2015</v>
      </c>
      <c r="B67" s="48"/>
      <c r="C67" s="39">
        <f t="shared" si="13"/>
        <v>0</v>
      </c>
      <c r="D67" s="67"/>
      <c r="E67" s="39">
        <f t="shared" si="14"/>
        <v>0</v>
      </c>
      <c r="F67" s="68">
        <f t="shared" si="15"/>
        <v>0</v>
      </c>
    </row>
    <row r="68" spans="1:6" x14ac:dyDescent="0.25">
      <c r="A68" s="37">
        <v>2016</v>
      </c>
      <c r="B68" s="48"/>
      <c r="C68" s="39">
        <f t="shared" si="13"/>
        <v>0</v>
      </c>
      <c r="D68" s="67"/>
      <c r="E68" s="39">
        <f t="shared" si="14"/>
        <v>0</v>
      </c>
      <c r="F68" s="68">
        <f t="shared" si="15"/>
        <v>0</v>
      </c>
    </row>
    <row r="69" spans="1:6" x14ac:dyDescent="0.25">
      <c r="A69" s="37">
        <v>2017</v>
      </c>
      <c r="B69" s="48"/>
      <c r="C69" s="39">
        <f t="shared" si="13"/>
        <v>0</v>
      </c>
      <c r="D69" s="67"/>
      <c r="E69" s="39">
        <f t="shared" si="14"/>
        <v>0</v>
      </c>
      <c r="F69" s="68">
        <f t="shared" si="15"/>
        <v>0</v>
      </c>
    </row>
    <row r="70" spans="1:6" x14ac:dyDescent="0.25">
      <c r="A70" s="37">
        <v>2018</v>
      </c>
      <c r="B70" s="48"/>
      <c r="C70" s="39">
        <f t="shared" si="13"/>
        <v>0</v>
      </c>
      <c r="D70" s="67"/>
      <c r="E70" s="39">
        <f t="shared" si="14"/>
        <v>0</v>
      </c>
      <c r="F70" s="68">
        <f t="shared" si="15"/>
        <v>0</v>
      </c>
    </row>
    <row r="71" spans="1:6" x14ac:dyDescent="0.25">
      <c r="A71" s="37">
        <v>2019</v>
      </c>
      <c r="B71" s="48"/>
      <c r="C71" s="39">
        <f t="shared" si="13"/>
        <v>0</v>
      </c>
      <c r="D71" s="67"/>
      <c r="E71" s="39">
        <f t="shared" si="14"/>
        <v>0</v>
      </c>
      <c r="F71" s="68">
        <f t="shared" si="15"/>
        <v>0</v>
      </c>
    </row>
    <row r="72" spans="1:6" x14ac:dyDescent="0.25">
      <c r="A72" s="37">
        <v>2020</v>
      </c>
      <c r="B72" s="48"/>
      <c r="C72" s="39">
        <f t="shared" si="13"/>
        <v>0</v>
      </c>
      <c r="D72" s="67"/>
      <c r="E72" s="39">
        <f t="shared" si="14"/>
        <v>0</v>
      </c>
      <c r="F72" s="68">
        <f t="shared" si="15"/>
        <v>0</v>
      </c>
    </row>
  </sheetData>
  <mergeCells count="25">
    <mergeCell ref="A58:A61"/>
    <mergeCell ref="B58:C58"/>
    <mergeCell ref="B60:B61"/>
    <mergeCell ref="A23:A25"/>
    <mergeCell ref="B23:F23"/>
    <mergeCell ref="B24:C24"/>
    <mergeCell ref="D24:E24"/>
    <mergeCell ref="F24:F25"/>
    <mergeCell ref="A40:A42"/>
    <mergeCell ref="P6:P8"/>
    <mergeCell ref="Q6:S6"/>
    <mergeCell ref="B7:C7"/>
    <mergeCell ref="D7:D8"/>
    <mergeCell ref="G7:H7"/>
    <mergeCell ref="I7:I8"/>
    <mergeCell ref="L7:M7"/>
    <mergeCell ref="N7:N8"/>
    <mergeCell ref="Q7:R7"/>
    <mergeCell ref="S7:S8"/>
    <mergeCell ref="L6:N6"/>
    <mergeCell ref="A6:A8"/>
    <mergeCell ref="B6:D6"/>
    <mergeCell ref="F6:F8"/>
    <mergeCell ref="G6:I6"/>
    <mergeCell ref="K6:K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timbulan sampah</vt:lpstr>
      <vt:lpstr>Fraksi pengelolaan sampah BaU</vt:lpstr>
      <vt:lpstr>Rekapitulasi BaU Emisi GRK</vt:lpstr>
      <vt:lpstr>Rekap BAU Emisi Industri Sawitt</vt:lpstr>
      <vt:lpstr>Frksi pengelolaan smph Mitigasi</vt:lpstr>
      <vt:lpstr>Rekaptlasi Mitigasi Emisi GRK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GIGABYTE</dc:creator>
  <cp:lastModifiedBy>Iwied</cp:lastModifiedBy>
  <dcterms:created xsi:type="dcterms:W3CDTF">2015-08-21T01:15:24Z</dcterms:created>
  <dcterms:modified xsi:type="dcterms:W3CDTF">2017-09-27T07:20:04Z</dcterms:modified>
</cp:coreProperties>
</file>