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Samarinda\"/>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1" i="4" l="1"/>
  <c r="E20" i="4"/>
  <c r="E19" i="4"/>
  <c r="E18" i="4"/>
  <c r="E17" i="4"/>
  <c r="E16" i="4"/>
  <c r="E15" i="4"/>
  <c r="O8" i="6" l="1"/>
  <c r="N8" i="6"/>
  <c r="M8" i="6"/>
  <c r="L8" i="6"/>
  <c r="K8" i="6"/>
  <c r="J8" i="6"/>
  <c r="I8" i="6"/>
  <c r="F8" i="6"/>
  <c r="E8" i="6"/>
  <c r="C43" i="6" l="1"/>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G54" i="7" s="1"/>
  <c r="P59" i="34" s="1"/>
  <c r="I52" i="6"/>
  <c r="I51" i="6"/>
  <c r="I50" i="6"/>
  <c r="I49" i="6"/>
  <c r="I48" i="6"/>
  <c r="I47" i="6"/>
  <c r="I46" i="6"/>
  <c r="I45" i="6"/>
  <c r="I44" i="6"/>
  <c r="G45" i="7" s="1"/>
  <c r="P50" i="34" s="1"/>
  <c r="I43" i="6"/>
  <c r="I42" i="6"/>
  <c r="G43" i="7" s="1"/>
  <c r="P48" i="34" s="1"/>
  <c r="I41" i="6"/>
  <c r="I40" i="6"/>
  <c r="I39" i="6"/>
  <c r="I38" i="6"/>
  <c r="I37" i="6"/>
  <c r="I36" i="6"/>
  <c r="I35" i="6"/>
  <c r="I34" i="6"/>
  <c r="I33" i="6"/>
  <c r="I32" i="6"/>
  <c r="G33" i="7" s="1"/>
  <c r="P38" i="34" s="1"/>
  <c r="I31" i="6"/>
  <c r="I30" i="6"/>
  <c r="I29" i="6"/>
  <c r="G30" i="7" s="1"/>
  <c r="P35" i="34" s="1"/>
  <c r="I28" i="6"/>
  <c r="I27" i="6"/>
  <c r="G28" i="7" s="1"/>
  <c r="P33" i="34" s="1"/>
  <c r="I26" i="6"/>
  <c r="I25" i="6"/>
  <c r="G26" i="7" s="1"/>
  <c r="P31" i="34" s="1"/>
  <c r="I24" i="6"/>
  <c r="I23" i="6"/>
  <c r="I22" i="6"/>
  <c r="I21" i="6"/>
  <c r="I20" i="6"/>
  <c r="I19" i="6"/>
  <c r="I18" i="6"/>
  <c r="I17" i="6"/>
  <c r="I16" i="6"/>
  <c r="I15" i="6"/>
  <c r="G16" i="7" s="1"/>
  <c r="P21" i="34" s="1"/>
  <c r="I14" i="6"/>
  <c r="G93" i="6"/>
  <c r="G92" i="6"/>
  <c r="G91" i="6"/>
  <c r="E92" i="7" s="1"/>
  <c r="P97" i="35" s="1"/>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E46" i="7" s="1"/>
  <c r="P51" i="35" s="1"/>
  <c r="G44" i="6"/>
  <c r="G43" i="6"/>
  <c r="G42" i="6"/>
  <c r="G41" i="6"/>
  <c r="G40" i="6"/>
  <c r="G39" i="6"/>
  <c r="G38" i="6"/>
  <c r="G37" i="6"/>
  <c r="G36" i="6"/>
  <c r="G35" i="6"/>
  <c r="G34" i="6"/>
  <c r="G33" i="6"/>
  <c r="G32" i="6"/>
  <c r="G31" i="6"/>
  <c r="G30" i="6"/>
  <c r="G29" i="6"/>
  <c r="G28" i="6"/>
  <c r="G27" i="6"/>
  <c r="E28" i="7" s="1"/>
  <c r="P33" i="35" s="1"/>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E25" i="4" s="1"/>
  <c r="O25" i="4" s="1"/>
  <c r="D24" i="4"/>
  <c r="E24" i="4" s="1"/>
  <c r="O24" i="4" s="1"/>
  <c r="D23" i="4"/>
  <c r="E23" i="4" s="1"/>
  <c r="O23" i="4" s="1"/>
  <c r="D22" i="4"/>
  <c r="E22" i="4"/>
  <c r="O22" i="4" s="1"/>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L20" i="7" s="1"/>
  <c r="M20" i="6"/>
  <c r="N20" i="6"/>
  <c r="M21" i="6"/>
  <c r="N21" i="6"/>
  <c r="M22" i="6"/>
  <c r="N22" i="6"/>
  <c r="M23" i="6"/>
  <c r="K24" i="7" s="1"/>
  <c r="N23" i="6"/>
  <c r="M24" i="6"/>
  <c r="N24" i="6"/>
  <c r="M25" i="6"/>
  <c r="K26" i="7" s="1"/>
  <c r="N25" i="6"/>
  <c r="L26" i="7" s="1"/>
  <c r="M26" i="6"/>
  <c r="N26" i="6"/>
  <c r="M27" i="6"/>
  <c r="K28" i="7" s="1"/>
  <c r="N27" i="6"/>
  <c r="M28" i="6"/>
  <c r="N28" i="6"/>
  <c r="M29" i="6"/>
  <c r="N29" i="6"/>
  <c r="L30" i="7" s="1"/>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L43" i="7" s="1"/>
  <c r="M43" i="6"/>
  <c r="K44" i="7" s="1"/>
  <c r="N43" i="6"/>
  <c r="M44" i="6"/>
  <c r="N44" i="6"/>
  <c r="L45" i="7" s="1"/>
  <c r="M45" i="6"/>
  <c r="N45" i="6"/>
  <c r="M46" i="6"/>
  <c r="N46" i="6"/>
  <c r="M47" i="6"/>
  <c r="K48" i="7" s="1"/>
  <c r="N47" i="6"/>
  <c r="M48" i="6"/>
  <c r="N48" i="6"/>
  <c r="M49" i="6"/>
  <c r="N49" i="6"/>
  <c r="M50" i="6"/>
  <c r="N50" i="6"/>
  <c r="M51" i="6"/>
  <c r="N51" i="6"/>
  <c r="M52" i="6"/>
  <c r="N52" i="6"/>
  <c r="M53" i="6"/>
  <c r="N53" i="6"/>
  <c r="M54" i="6"/>
  <c r="N54" i="6"/>
  <c r="M55" i="6"/>
  <c r="K56" i="7" s="1"/>
  <c r="N55" i="6"/>
  <c r="M56" i="6"/>
  <c r="N56" i="6"/>
  <c r="M57" i="6"/>
  <c r="N57" i="6"/>
  <c r="M58" i="6"/>
  <c r="N58" i="6"/>
  <c r="M59" i="6"/>
  <c r="N59" i="6"/>
  <c r="M60" i="6"/>
  <c r="N60" i="6"/>
  <c r="M61" i="6"/>
  <c r="N61" i="6"/>
  <c r="M62" i="6"/>
  <c r="K63" i="7" s="1"/>
  <c r="N62" i="6"/>
  <c r="M63" i="6"/>
  <c r="N63" i="6"/>
  <c r="L64" i="7" s="1"/>
  <c r="M64" i="6"/>
  <c r="N64" i="6"/>
  <c r="M65" i="6"/>
  <c r="N65" i="6"/>
  <c r="M66" i="6"/>
  <c r="N66" i="6"/>
  <c r="M67" i="6"/>
  <c r="N67" i="6"/>
  <c r="M68" i="6"/>
  <c r="N68" i="6"/>
  <c r="M69" i="6"/>
  <c r="N69" i="6"/>
  <c r="M70" i="6"/>
  <c r="N70" i="6"/>
  <c r="M71" i="6"/>
  <c r="N71" i="6"/>
  <c r="M72" i="6"/>
  <c r="N72" i="6"/>
  <c r="M73" i="6"/>
  <c r="N73" i="6"/>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K92" i="7" s="1"/>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H39" i="7" s="1"/>
  <c r="C44" i="33" s="1"/>
  <c r="K17" i="6"/>
  <c r="F91" i="6"/>
  <c r="D92" i="7" s="1"/>
  <c r="K42" i="6"/>
  <c r="L93" i="6"/>
  <c r="L54" i="6"/>
  <c r="K23" i="6"/>
  <c r="K88" i="6"/>
  <c r="I89" i="7" s="1"/>
  <c r="L40" i="6"/>
  <c r="L24" i="6"/>
  <c r="L42" i="6"/>
  <c r="K65" i="6"/>
  <c r="F18" i="6"/>
  <c r="K26" i="6"/>
  <c r="L34" i="6"/>
  <c r="F41" i="6"/>
  <c r="F93" i="6"/>
  <c r="O23" i="7"/>
  <c r="F20" i="6"/>
  <c r="L71" i="6"/>
  <c r="L55" i="6"/>
  <c r="L25" i="6"/>
  <c r="K22" i="6"/>
  <c r="E22" i="6"/>
  <c r="F22" i="6"/>
  <c r="H22" i="6"/>
  <c r="L22" i="6"/>
  <c r="F92" i="6"/>
  <c r="K47" i="6"/>
  <c r="F26" i="6"/>
  <c r="L17" i="6"/>
  <c r="L75" i="6"/>
  <c r="G85" i="7"/>
  <c r="P90" i="34" s="1"/>
  <c r="E26" i="7"/>
  <c r="P31" i="35" s="1"/>
  <c r="J55" i="7"/>
  <c r="F77" i="6"/>
  <c r="L52" i="6"/>
  <c r="L57" i="6"/>
  <c r="L70" i="6"/>
  <c r="L72" i="6"/>
  <c r="K25" i="6"/>
  <c r="K72" i="6"/>
  <c r="E72" i="6"/>
  <c r="F72" i="6"/>
  <c r="D73" i="7" s="1"/>
  <c r="C78" i="35" s="1"/>
  <c r="H72" i="6"/>
  <c r="J72" i="6"/>
  <c r="H73" i="7" s="1"/>
  <c r="C78" i="33" s="1"/>
  <c r="K46" i="6"/>
  <c r="F53" i="6"/>
  <c r="L86" i="6"/>
  <c r="K92" i="6"/>
  <c r="F59" i="6"/>
  <c r="K48" i="6"/>
  <c r="I49" i="7" s="1"/>
  <c r="L46" i="6"/>
  <c r="O68" i="7"/>
  <c r="F19" i="6"/>
  <c r="L68" i="6"/>
  <c r="L39" i="6"/>
  <c r="L29" i="6"/>
  <c r="J30" i="7" s="1"/>
  <c r="K77" i="6"/>
  <c r="K55" i="6"/>
  <c r="K81" i="6"/>
  <c r="K59" i="6"/>
  <c r="K74" i="6"/>
  <c r="E71" i="7"/>
  <c r="P76" i="35" s="1"/>
  <c r="F86" i="6"/>
  <c r="H14" i="6"/>
  <c r="K68" i="6"/>
  <c r="L31" i="6"/>
  <c r="L59" i="6"/>
  <c r="L83" i="6"/>
  <c r="H86" i="6"/>
  <c r="H26" i="6"/>
  <c r="L18" i="6"/>
  <c r="L80" i="6"/>
  <c r="L81" i="6"/>
  <c r="L44" i="6"/>
  <c r="L82" i="6"/>
  <c r="L45" i="6"/>
  <c r="L78" i="6"/>
  <c r="K53" i="6"/>
  <c r="I54" i="7" s="1"/>
  <c r="K87" i="6"/>
  <c r="K33" i="6"/>
  <c r="K78" i="6"/>
  <c r="K19" i="6"/>
  <c r="K75" i="6"/>
  <c r="K52" i="6"/>
  <c r="K18" i="6"/>
  <c r="I19" i="7" s="1"/>
  <c r="L23" i="6"/>
  <c r="H67" i="6"/>
  <c r="H80" i="6"/>
  <c r="H71" i="6"/>
  <c r="H53" i="6"/>
  <c r="K36" i="6"/>
  <c r="K70" i="6"/>
  <c r="L87" i="6"/>
  <c r="H36" i="6"/>
  <c r="F37" i="7" s="1"/>
  <c r="P42" i="32" s="1"/>
  <c r="H48" i="6"/>
  <c r="L26" i="6"/>
  <c r="L27" i="6"/>
  <c r="L20" i="6"/>
  <c r="L49" i="6"/>
  <c r="L16" i="6"/>
  <c r="J17" i="7" s="1"/>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J92" i="7" s="1"/>
  <c r="L47" i="6"/>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K62" i="6"/>
  <c r="K20" i="6"/>
  <c r="K58" i="6"/>
  <c r="L15" i="6"/>
  <c r="J16" i="7" s="1"/>
  <c r="L36" i="6"/>
  <c r="L61" i="6"/>
  <c r="L77" i="6"/>
  <c r="J78" i="7" s="1"/>
  <c r="F83" i="6"/>
  <c r="F57" i="6"/>
  <c r="F23" i="6"/>
  <c r="D24" i="7" s="1"/>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H35" i="7" s="1"/>
  <c r="P40" i="33" s="1"/>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F28" i="7" s="1"/>
  <c r="J56" i="6"/>
  <c r="H74" i="6"/>
  <c r="J20" i="6"/>
  <c r="H21" i="7" s="1"/>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F57" i="7" s="1"/>
  <c r="C62" i="32" s="1"/>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D81" i="7" s="1"/>
  <c r="C86" i="31" s="1"/>
  <c r="F36" i="6"/>
  <c r="F40" i="6"/>
  <c r="F25" i="6"/>
  <c r="D26" i="7" s="1"/>
  <c r="C31" i="31" s="1"/>
  <c r="F76" i="6"/>
  <c r="E19" i="6"/>
  <c r="E56" i="6"/>
  <c r="C57" i="7" s="1"/>
  <c r="E24" i="6"/>
  <c r="E40" i="6"/>
  <c r="E49" i="6"/>
  <c r="E32" i="6"/>
  <c r="C33" i="7" s="1"/>
  <c r="E31" i="6"/>
  <c r="E71" i="6"/>
  <c r="E92" i="6"/>
  <c r="H69" i="6"/>
  <c r="J89" i="6"/>
  <c r="J48" i="6"/>
  <c r="J23" i="6"/>
  <c r="J81" i="6"/>
  <c r="J69" i="6"/>
  <c r="J36" i="6"/>
  <c r="O81" i="7"/>
  <c r="C86" i="37" s="1"/>
  <c r="O56" i="7"/>
  <c r="C61" i="37" s="1"/>
  <c r="L89" i="7"/>
  <c r="I83"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81" i="7"/>
  <c r="P86" i="35" s="1"/>
  <c r="E74" i="7"/>
  <c r="P79" i="35" s="1"/>
  <c r="E35" i="7"/>
  <c r="P40" i="35" s="1"/>
  <c r="O46" i="4"/>
  <c r="K7" i="34"/>
  <c r="W7" i="34"/>
  <c r="K13" i="34"/>
  <c r="W13" i="34"/>
  <c r="K7" i="35"/>
  <c r="K13" i="35"/>
  <c r="L17" i="7"/>
  <c r="J48" i="7"/>
  <c r="O24" i="7"/>
  <c r="P29" i="37" s="1"/>
  <c r="O52" i="7"/>
  <c r="C57" i="37" s="1"/>
  <c r="G22" i="7"/>
  <c r="P27" i="34" s="1"/>
  <c r="O26" i="7"/>
  <c r="C31" i="37" s="1"/>
  <c r="L93" i="7"/>
  <c r="H50" i="7"/>
  <c r="K89" i="7"/>
  <c r="O89" i="7"/>
  <c r="P94" i="37" s="1"/>
  <c r="D79" i="7"/>
  <c r="C84" i="31" s="1"/>
  <c r="O79" i="7"/>
  <c r="C84" i="37" s="1"/>
  <c r="I46" i="7"/>
  <c r="O46" i="7"/>
  <c r="C51" i="37" s="1"/>
  <c r="G88" i="7"/>
  <c r="P93" i="34" s="1"/>
  <c r="O21" i="7"/>
  <c r="C26" i="37" s="1"/>
  <c r="O28" i="7"/>
  <c r="P33" i="37" s="1"/>
  <c r="F65" i="7"/>
  <c r="P70" i="32" s="1"/>
  <c r="K75" i="7"/>
  <c r="O74" i="7"/>
  <c r="O45" i="7"/>
  <c r="O92" i="7"/>
  <c r="P97" i="37" s="1"/>
  <c r="L49" i="7"/>
  <c r="J81" i="7"/>
  <c r="F81" i="7"/>
  <c r="H81" i="7"/>
  <c r="W13" i="35"/>
  <c r="W7" i="36"/>
  <c r="W13" i="36"/>
  <c r="W7" i="37"/>
  <c r="W13" i="37"/>
  <c r="K7" i="36"/>
  <c r="K13" i="36"/>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O19" i="40"/>
  <c r="W6" i="36"/>
  <c r="W8" i="35"/>
  <c r="R15" i="4"/>
  <c r="F10" i="39" s="1"/>
  <c r="K8" i="33"/>
  <c r="K8" i="37"/>
  <c r="K12" i="37" s="1"/>
  <c r="W8" i="37"/>
  <c r="W10" i="35"/>
  <c r="K12" i="34"/>
  <c r="K9" i="34"/>
  <c r="K12" i="35"/>
  <c r="K9" i="37"/>
  <c r="K10" i="37"/>
  <c r="W10" i="37"/>
  <c r="W12" i="37"/>
  <c r="W9" i="37"/>
  <c r="C42" i="32" l="1"/>
  <c r="B19" i="31"/>
  <c r="B19" i="37"/>
  <c r="P51" i="37"/>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80" i="33" s="1"/>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P88" i="18" s="1"/>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B20" i="37" s="1"/>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C83" i="34"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C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P50" i="33" s="1"/>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96" i="31"/>
  <c r="E32" i="36"/>
  <c r="J31" i="39" s="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31"/>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E76" i="31"/>
  <c r="E58" i="31"/>
  <c r="E35" i="18"/>
  <c r="E35" i="34"/>
  <c r="E35" i="33"/>
  <c r="E35" i="32"/>
  <c r="R85" i="8"/>
  <c r="H85" i="8"/>
  <c r="E35" i="40"/>
  <c r="F35" i="40" s="1"/>
  <c r="Q96" i="40"/>
  <c r="Q96" i="34"/>
  <c r="E96" i="36"/>
  <c r="J95" i="39" s="1"/>
  <c r="R89" i="8"/>
  <c r="R27" i="8"/>
  <c r="R53" i="8"/>
  <c r="H53" i="8"/>
  <c r="E83" i="32"/>
  <c r="Q96" i="33"/>
  <c r="Q96" i="37"/>
  <c r="E96" i="34"/>
  <c r="E68" i="36"/>
  <c r="J67" i="39" s="1"/>
  <c r="Q82" i="40"/>
  <c r="E82" i="35"/>
  <c r="E82" i="31"/>
  <c r="Q82" i="35"/>
  <c r="Q82" i="31"/>
  <c r="E34" i="40"/>
  <c r="F34" i="40" s="1"/>
  <c r="Q92" i="34"/>
  <c r="H87" i="8"/>
  <c r="I88" i="7"/>
  <c r="P79" i="32"/>
  <c r="P83" i="32"/>
  <c r="C67" i="32"/>
  <c r="P67" i="32"/>
  <c r="C67" i="34"/>
  <c r="C62" i="34"/>
  <c r="P62" i="32"/>
  <c r="C42" i="34"/>
  <c r="F46" i="7"/>
  <c r="E16" i="7"/>
  <c r="P21" i="35" s="1"/>
  <c r="E56" i="7"/>
  <c r="P61" i="35" s="1"/>
  <c r="O62" i="6"/>
  <c r="M63" i="7" s="1"/>
  <c r="O74" i="6"/>
  <c r="M75" i="7" s="1"/>
  <c r="O23" i="6"/>
  <c r="M24" i="7" s="1"/>
  <c r="J26" i="7"/>
  <c r="P82" i="33"/>
  <c r="C82" i="33"/>
  <c r="F82" i="33" s="1"/>
  <c r="O89" i="6"/>
  <c r="M90" i="7" s="1"/>
  <c r="O76" i="6"/>
  <c r="M77" i="7" s="1"/>
  <c r="P78" i="33"/>
  <c r="O82" i="6"/>
  <c r="M83" i="7" s="1"/>
  <c r="O30" i="6"/>
  <c r="M31" i="7" s="1"/>
  <c r="O24" i="6"/>
  <c r="M25" i="7" s="1"/>
  <c r="H15" i="7"/>
  <c r="C20" i="33" s="1"/>
  <c r="O83" i="6"/>
  <c r="P83" i="6" s="1"/>
  <c r="O42" i="6"/>
  <c r="M43" i="7" s="1"/>
  <c r="O72" i="6"/>
  <c r="M73" i="7" s="1"/>
  <c r="D49" i="7"/>
  <c r="P54" i="31" s="1"/>
  <c r="P21" i="6"/>
  <c r="P52" i="31"/>
  <c r="C52" i="35"/>
  <c r="C52" i="31"/>
  <c r="C88" i="31"/>
  <c r="P88" i="31"/>
  <c r="C88" i="35"/>
  <c r="D65" i="7"/>
  <c r="C70" i="31" s="1"/>
  <c r="O88" i="6"/>
  <c r="M89" i="7" s="1"/>
  <c r="O50" i="6"/>
  <c r="P50" i="6" s="1"/>
  <c r="O20" i="6"/>
  <c r="M21" i="7" s="1"/>
  <c r="O14" i="6"/>
  <c r="M15" i="7" s="1"/>
  <c r="C97" i="31"/>
  <c r="O64" i="6"/>
  <c r="M65" i="7" s="1"/>
  <c r="O31" i="6"/>
  <c r="M32" i="7" s="1"/>
  <c r="O49" i="6"/>
  <c r="M50" i="7" s="1"/>
  <c r="P38" i="18"/>
  <c r="C62" i="18"/>
  <c r="P62" i="18"/>
  <c r="P78" i="18"/>
  <c r="C78"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C22" i="33"/>
  <c r="P22" i="18"/>
  <c r="C59" i="18"/>
  <c r="P59" i="18"/>
  <c r="P65" i="33"/>
  <c r="C65" i="33"/>
  <c r="C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26" i="33"/>
  <c r="P26" i="33"/>
  <c r="C50" i="33"/>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3" i="37"/>
  <c r="C29" i="37"/>
  <c r="C33" i="32"/>
  <c r="C29" i="34"/>
  <c r="B20" i="35"/>
  <c r="O20" i="34"/>
  <c r="P84" i="31"/>
  <c r="C84" i="35"/>
  <c r="C21" i="31"/>
  <c r="P21" i="31"/>
  <c r="C55" i="33"/>
  <c r="P55"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93" i="32"/>
  <c r="P33" i="31"/>
  <c r="P86" i="31"/>
  <c r="C83" i="32"/>
  <c r="P44" i="33"/>
  <c r="C86" i="35"/>
  <c r="C97" i="18"/>
  <c r="C64" i="33"/>
  <c r="C38" i="18"/>
  <c r="C33" i="31"/>
  <c r="C93" i="34"/>
  <c r="C68" i="18"/>
  <c r="P31" i="31"/>
  <c r="C94" i="31"/>
  <c r="P78" i="31"/>
  <c r="P94" i="31"/>
  <c r="P41" i="31"/>
  <c r="C41" i="35"/>
  <c r="C73" i="18" l="1"/>
  <c r="P76" i="33"/>
  <c r="C82" i="31"/>
  <c r="C67" i="18"/>
  <c r="C77" i="35"/>
  <c r="C82" i="35"/>
  <c r="D75" i="39"/>
  <c r="C79" i="33"/>
  <c r="C63" i="32"/>
  <c r="P90" i="32"/>
  <c r="C63" i="33"/>
  <c r="P77" i="33"/>
  <c r="C83" i="31"/>
  <c r="P82" i="18"/>
  <c r="R82" i="18" s="1"/>
  <c r="P83" i="31"/>
  <c r="M76" i="7"/>
  <c r="P55" i="31"/>
  <c r="C76" i="18"/>
  <c r="F76" i="18" s="1"/>
  <c r="C79" i="32"/>
  <c r="P80" i="32"/>
  <c r="C80" i="34"/>
  <c r="P51" i="33"/>
  <c r="P88" i="33"/>
  <c r="D81" i="39"/>
  <c r="C90" i="34"/>
  <c r="M69" i="7"/>
  <c r="M37" i="7"/>
  <c r="C59" i="33"/>
  <c r="P23" i="6"/>
  <c r="C42" i="31"/>
  <c r="P42" i="18"/>
  <c r="C44" i="18"/>
  <c r="C41" i="32"/>
  <c r="C34" i="31"/>
  <c r="C39" i="32"/>
  <c r="C41" i="34"/>
  <c r="P42" i="31"/>
  <c r="O20" i="32"/>
  <c r="O20" i="18"/>
  <c r="B20" i="36"/>
  <c r="O20" i="36"/>
  <c r="O20" i="37"/>
  <c r="B20" i="40"/>
  <c r="P31" i="32"/>
  <c r="P26" i="18"/>
  <c r="C31" i="34"/>
  <c r="C31" i="33"/>
  <c r="O20" i="40"/>
  <c r="O20" i="35"/>
  <c r="B20" i="31"/>
  <c r="B20" i="32"/>
  <c r="B20" i="34"/>
  <c r="B20" i="18"/>
  <c r="P22" i="37"/>
  <c r="P28" i="18"/>
  <c r="P21" i="37"/>
  <c r="H34" i="39"/>
  <c r="C45" i="34"/>
  <c r="P63" i="32"/>
  <c r="P54" i="18"/>
  <c r="C52" i="18"/>
  <c r="F52" i="18" s="1"/>
  <c r="P54" i="37"/>
  <c r="C61" i="33"/>
  <c r="F61" i="33" s="1"/>
  <c r="H61" i="33" s="1"/>
  <c r="P41" i="33"/>
  <c r="P34" i="18"/>
  <c r="C68" i="37"/>
  <c r="P48" i="18"/>
  <c r="P53" i="37"/>
  <c r="C35" i="33"/>
  <c r="F35" i="33" s="1"/>
  <c r="H35" i="33" s="1"/>
  <c r="C50" i="32"/>
  <c r="C50" i="34"/>
  <c r="C89" i="33"/>
  <c r="C39" i="35"/>
  <c r="P47" i="33"/>
  <c r="C45" i="33"/>
  <c r="P52" i="32"/>
  <c r="F88" i="31"/>
  <c r="G88" i="31" s="1"/>
  <c r="P68" i="32"/>
  <c r="C58" i="33"/>
  <c r="P80" i="18"/>
  <c r="H69" i="39"/>
  <c r="P45" i="32"/>
  <c r="P77" i="37"/>
  <c r="C28" i="32"/>
  <c r="P28" i="32"/>
  <c r="P32" i="37"/>
  <c r="C35" i="31"/>
  <c r="F35" i="31" s="1"/>
  <c r="G35" i="31" s="1"/>
  <c r="C45" i="31"/>
  <c r="C38" i="35"/>
  <c r="P38" i="31"/>
  <c r="C48" i="33"/>
  <c r="P34" i="33"/>
  <c r="P45" i="31"/>
  <c r="C35" i="35"/>
  <c r="F35" i="35" s="1"/>
  <c r="P38" i="32"/>
  <c r="C34" i="34"/>
  <c r="F34" i="34" s="1"/>
  <c r="H34" i="34" s="1"/>
  <c r="C32" i="35"/>
  <c r="C34" i="32"/>
  <c r="C35" i="18"/>
  <c r="F35" i="18" s="1"/>
  <c r="C32" i="31"/>
  <c r="P21" i="18"/>
  <c r="C19" i="32"/>
  <c r="Q76" i="18"/>
  <c r="R76" i="18" s="1"/>
  <c r="Q20" i="40"/>
  <c r="Q76" i="33"/>
  <c r="E52" i="33"/>
  <c r="F52" i="33" s="1"/>
  <c r="E52" i="34"/>
  <c r="Q52" i="37"/>
  <c r="C53" i="34"/>
  <c r="C53" i="32"/>
  <c r="P53" i="32"/>
  <c r="P85" i="32"/>
  <c r="P77" i="18"/>
  <c r="K19" i="39"/>
  <c r="K51" i="39"/>
  <c r="K83" i="39"/>
  <c r="K42" i="39"/>
  <c r="K74" i="39"/>
  <c r="E99" i="36"/>
  <c r="J98" i="39" s="1"/>
  <c r="C79" i="18"/>
  <c r="C38" i="32"/>
  <c r="R82" i="31"/>
  <c r="Q58" i="35"/>
  <c r="E83" i="40"/>
  <c r="F83" i="40" s="1"/>
  <c r="Q34" i="40"/>
  <c r="B20" i="33"/>
  <c r="O20" i="31"/>
  <c r="O20" i="33"/>
  <c r="B16" i="7"/>
  <c r="P78" i="37"/>
  <c r="C78" i="37"/>
  <c r="C88" i="32"/>
  <c r="K27" i="39"/>
  <c r="K59" i="39"/>
  <c r="K91" i="39"/>
  <c r="K50" i="39"/>
  <c r="K82" i="39"/>
  <c r="C31" i="18"/>
  <c r="Q83" i="33"/>
  <c r="C85" i="32"/>
  <c r="P55" i="18"/>
  <c r="P88" i="32"/>
  <c r="C28" i="33"/>
  <c r="P76" i="6"/>
  <c r="Q58" i="37"/>
  <c r="C35" i="32"/>
  <c r="F35" i="32" s="1"/>
  <c r="C35" i="34"/>
  <c r="F35" i="34" s="1"/>
  <c r="C30" i="32"/>
  <c r="P51" i="18"/>
  <c r="C48" i="35"/>
  <c r="K35" i="39"/>
  <c r="K67" i="39"/>
  <c r="K26" i="39"/>
  <c r="K58" i="39"/>
  <c r="P24" i="6"/>
  <c r="E83" i="37"/>
  <c r="C82" i="39" s="1"/>
  <c r="P22" i="31"/>
  <c r="M94" i="7"/>
  <c r="E83" i="31"/>
  <c r="D34" i="39"/>
  <c r="P73" i="33"/>
  <c r="C73" i="33"/>
  <c r="P68" i="31"/>
  <c r="F82" i="34"/>
  <c r="H82" i="34" s="1"/>
  <c r="C52" i="34"/>
  <c r="C52" i="37"/>
  <c r="P52" i="37"/>
  <c r="R52" i="37" s="1"/>
  <c r="C69" i="18"/>
  <c r="C68" i="31"/>
  <c r="F68" i="31" s="1"/>
  <c r="G68" i="31" s="1"/>
  <c r="P44" i="31"/>
  <c r="P96" i="32"/>
  <c r="P34" i="31"/>
  <c r="C61" i="34"/>
  <c r="C43" i="32"/>
  <c r="C61" i="31"/>
  <c r="C92" i="33"/>
  <c r="C56" i="34"/>
  <c r="C90" i="37"/>
  <c r="C56" i="32"/>
  <c r="P52" i="33"/>
  <c r="P42" i="33"/>
  <c r="C68" i="34"/>
  <c r="F68" i="34" s="1"/>
  <c r="F52" i="34"/>
  <c r="H52" i="34" s="1"/>
  <c r="D35" i="39"/>
  <c r="P57" i="31"/>
  <c r="P44" i="37"/>
  <c r="P20" i="33"/>
  <c r="P59" i="31"/>
  <c r="C44" i="35"/>
  <c r="C92" i="34"/>
  <c r="C82" i="32"/>
  <c r="F82" i="32" s="1"/>
  <c r="C39" i="31"/>
  <c r="C29" i="18"/>
  <c r="C37" i="33"/>
  <c r="C77" i="31"/>
  <c r="C55" i="32"/>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S96" i="18" s="1"/>
  <c r="Q35" i="18"/>
  <c r="R35" i="18" s="1"/>
  <c r="Q35" i="35"/>
  <c r="R35" i="35" s="1"/>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R76" i="40" s="1"/>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F96" i="34" s="1"/>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Q26" i="32"/>
  <c r="Q26" i="31"/>
  <c r="E26" i="18"/>
  <c r="D25" i="39" s="1"/>
  <c r="Q80" i="35"/>
  <c r="Q80" i="18"/>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E38" i="18"/>
  <c r="D37" i="39" s="1"/>
  <c r="Q38" i="34"/>
  <c r="E38" i="31"/>
  <c r="E38" i="34"/>
  <c r="F38" i="34" s="1"/>
  <c r="G38" i="34" s="1"/>
  <c r="Q38" i="37"/>
  <c r="Q38" i="33"/>
  <c r="Q38" i="31"/>
  <c r="R38" i="31" s="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T62" i="18" s="1"/>
  <c r="Q62" i="40"/>
  <c r="R62" i="40" s="1"/>
  <c r="E62" i="34"/>
  <c r="F62" i="34" s="1"/>
  <c r="H62" i="34" s="1"/>
  <c r="Q62" i="33"/>
  <c r="Q62" i="35"/>
  <c r="R62" i="35" s="1"/>
  <c r="S62" i="35" s="1"/>
  <c r="E62" i="35"/>
  <c r="F62" i="35" s="1"/>
  <c r="G62" i="35" s="1"/>
  <c r="E62" i="37"/>
  <c r="Q30" i="37"/>
  <c r="E88" i="36"/>
  <c r="J87" i="39" s="1"/>
  <c r="E56" i="34"/>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E45" i="32"/>
  <c r="F45" i="32" s="1"/>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Q51" i="32"/>
  <c r="Q51" i="31"/>
  <c r="E51" i="18"/>
  <c r="Q51" i="37"/>
  <c r="R51" i="37" s="1"/>
  <c r="T51" i="37" s="1"/>
  <c r="E51" i="36"/>
  <c r="J50" i="39" s="1"/>
  <c r="E51" i="35"/>
  <c r="I50" i="39" s="1"/>
  <c r="E51" i="33"/>
  <c r="E51" i="31"/>
  <c r="F51" i="31" s="1"/>
  <c r="G51" i="31" s="1"/>
  <c r="Q51" i="18"/>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E73" i="32"/>
  <c r="E73" i="40"/>
  <c r="L72" i="39" s="1"/>
  <c r="Q73" i="40"/>
  <c r="R73" i="40" s="1"/>
  <c r="E63" i="35"/>
  <c r="I62" i="39" s="1"/>
  <c r="E63" i="34"/>
  <c r="F63" i="34" s="1"/>
  <c r="E63" i="33"/>
  <c r="E63" i="32"/>
  <c r="E63" i="31"/>
  <c r="F62" i="39" s="1"/>
  <c r="E63" i="18"/>
  <c r="D62" i="39" s="1"/>
  <c r="E63" i="37"/>
  <c r="C62" i="39" s="1"/>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24" i="18"/>
  <c r="F82" i="18"/>
  <c r="W8" i="32"/>
  <c r="K8" i="32"/>
  <c r="K10" i="18"/>
  <c r="K12" i="18"/>
  <c r="R40" i="40"/>
  <c r="R60" i="40"/>
  <c r="R84" i="40"/>
  <c r="R34" i="40"/>
  <c r="R38" i="40"/>
  <c r="R92" i="40"/>
  <c r="R61"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76" i="37"/>
  <c r="H76" i="37" s="1"/>
  <c r="R61" i="35"/>
  <c r="T61" i="35" s="1"/>
  <c r="F36" i="36"/>
  <c r="H36" i="36" s="1"/>
  <c r="R96" i="35"/>
  <c r="R94" i="35"/>
  <c r="R82" i="35"/>
  <c r="F61" i="36"/>
  <c r="F58" i="36"/>
  <c r="F69" i="36"/>
  <c r="F90" i="36"/>
  <c r="F35" i="36"/>
  <c r="F99" i="36"/>
  <c r="F64" i="36"/>
  <c r="F86" i="36"/>
  <c r="F96" i="36"/>
  <c r="F30" i="36"/>
  <c r="F32" i="36"/>
  <c r="F82" i="36"/>
  <c r="W10" i="18"/>
  <c r="W9" i="18"/>
  <c r="W12" i="18"/>
  <c r="F83" i="31"/>
  <c r="G8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96" i="37"/>
  <c r="H96" i="37" s="1"/>
  <c r="F82" i="31"/>
  <c r="G82" i="31" s="1"/>
  <c r="R78" i="35"/>
  <c r="S78" i="35" s="1"/>
  <c r="R80" i="35"/>
  <c r="S80" i="35" s="1"/>
  <c r="R58" i="35"/>
  <c r="S58" i="35" s="1"/>
  <c r="F82" i="37"/>
  <c r="G82" i="37" s="1"/>
  <c r="F99" i="37"/>
  <c r="H99" i="37" s="1"/>
  <c r="F68" i="37"/>
  <c r="F84" i="31"/>
  <c r="G84" i="31" s="1"/>
  <c r="T69" i="36"/>
  <c r="S69" i="36"/>
  <c r="T64" i="35"/>
  <c r="H82" i="33"/>
  <c r="G82"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H88" i="31"/>
  <c r="T99" i="35"/>
  <c r="R76" i="34"/>
  <c r="R58" i="34"/>
  <c r="R98" i="34"/>
  <c r="R32" i="34"/>
  <c r="R52" i="34"/>
  <c r="R38" i="34"/>
  <c r="R36" i="34"/>
  <c r="R26" i="34"/>
  <c r="R96" i="34"/>
  <c r="R82" i="34"/>
  <c r="R35" i="34"/>
  <c r="R34" i="34"/>
  <c r="R61" i="34"/>
  <c r="R83" i="34"/>
  <c r="R92" i="34"/>
  <c r="S41" i="36"/>
  <c r="R21" i="37" l="1"/>
  <c r="S21" i="37" s="1"/>
  <c r="G82" i="34"/>
  <c r="R42" i="31"/>
  <c r="R51" i="33"/>
  <c r="S51" i="33" s="1"/>
  <c r="R80" i="18"/>
  <c r="R77" i="33"/>
  <c r="S77" i="33" s="1"/>
  <c r="F79" i="32"/>
  <c r="R57" i="31"/>
  <c r="T57" i="31" s="1"/>
  <c r="R88" i="33"/>
  <c r="S88" i="33" s="1"/>
  <c r="F90" i="34"/>
  <c r="H90" i="34" s="1"/>
  <c r="F63" i="32"/>
  <c r="R73" i="33"/>
  <c r="S73" i="33" s="1"/>
  <c r="F97" i="32"/>
  <c r="F56" i="34"/>
  <c r="H56" i="34" s="1"/>
  <c r="F98" i="34"/>
  <c r="F75" i="31"/>
  <c r="G75" i="31" s="1"/>
  <c r="F57" i="35"/>
  <c r="G57" i="35" s="1"/>
  <c r="R42" i="18"/>
  <c r="T42" i="18" s="1"/>
  <c r="F42" i="31"/>
  <c r="H42" i="31" s="1"/>
  <c r="R48" i="18"/>
  <c r="S48" i="18" s="1"/>
  <c r="F39" i="32"/>
  <c r="F43" i="32"/>
  <c r="R22" i="37"/>
  <c r="S22" i="37" s="1"/>
  <c r="F48" i="35"/>
  <c r="G48" i="35" s="1"/>
  <c r="F41" i="32"/>
  <c r="R28" i="18"/>
  <c r="S28" i="18" s="1"/>
  <c r="R47" i="33"/>
  <c r="S47" i="33" s="1"/>
  <c r="R44" i="31"/>
  <c r="S44" i="31" s="1"/>
  <c r="R44" i="37"/>
  <c r="S44" i="37" s="1"/>
  <c r="F45" i="34"/>
  <c r="H45" i="34" s="1"/>
  <c r="R26" i="18"/>
  <c r="T26" i="18" s="1"/>
  <c r="F31" i="34"/>
  <c r="H31" i="34" s="1"/>
  <c r="R34" i="18"/>
  <c r="S34" i="18" s="1"/>
  <c r="F34" i="32"/>
  <c r="F21" i="34"/>
  <c r="G21" i="34" s="1"/>
  <c r="R22" i="31"/>
  <c r="T22" i="31" s="1"/>
  <c r="F25" i="34"/>
  <c r="H25" i="34" s="1"/>
  <c r="R21" i="18"/>
  <c r="T21" i="18" s="1"/>
  <c r="F19" i="32"/>
  <c r="S68" i="37"/>
  <c r="F73" i="34"/>
  <c r="G73" i="34" s="1"/>
  <c r="S35" i="33"/>
  <c r="R33" i="33"/>
  <c r="S33" i="33" s="1"/>
  <c r="R45" i="18"/>
  <c r="S45" i="18" s="1"/>
  <c r="T61" i="37"/>
  <c r="R57" i="33"/>
  <c r="T57" i="33" s="1"/>
  <c r="R49" i="33"/>
  <c r="S49" i="33" s="1"/>
  <c r="F50" i="32"/>
  <c r="S64" i="33"/>
  <c r="F48" i="32"/>
  <c r="R51" i="18"/>
  <c r="S51" i="18" s="1"/>
  <c r="R41" i="33"/>
  <c r="S41" i="33" s="1"/>
  <c r="R47" i="37"/>
  <c r="S47" i="37" s="1"/>
  <c r="G52" i="34"/>
  <c r="F50" i="34"/>
  <c r="H50" i="34" s="1"/>
  <c r="R55" i="18"/>
  <c r="T55" i="18" s="1"/>
  <c r="R54" i="18"/>
  <c r="S54" i="18" s="1"/>
  <c r="R32" i="37"/>
  <c r="T32" i="37" s="1"/>
  <c r="R63" i="31"/>
  <c r="S63" i="31" s="1"/>
  <c r="R62" i="33"/>
  <c r="T62" i="33" s="1"/>
  <c r="R85" i="37"/>
  <c r="S85" i="37" s="1"/>
  <c r="F28" i="32"/>
  <c r="F48" i="34"/>
  <c r="G48" i="34" s="1"/>
  <c r="F44" i="35"/>
  <c r="H44" i="35" s="1"/>
  <c r="R42" i="33"/>
  <c r="T42" i="33" s="1"/>
  <c r="R45" i="31"/>
  <c r="T45" i="31" s="1"/>
  <c r="F38" i="32"/>
  <c r="F38" i="35"/>
  <c r="G38" i="35" s="1"/>
  <c r="F32" i="35"/>
  <c r="H32" i="35" s="1"/>
  <c r="F44" i="32"/>
  <c r="R34" i="31"/>
  <c r="S34" i="31" s="1"/>
  <c r="F30" i="32"/>
  <c r="R34" i="33"/>
  <c r="S34" i="33" s="1"/>
  <c r="S36" i="35"/>
  <c r="R40" i="37"/>
  <c r="T40" i="37" s="1"/>
  <c r="S82" i="37"/>
  <c r="H51" i="39"/>
  <c r="F96" i="33"/>
  <c r="H96" i="33" s="1"/>
  <c r="F53" i="31"/>
  <c r="H53" i="31" s="1"/>
  <c r="F87" i="36"/>
  <c r="H87" i="36" s="1"/>
  <c r="F80" i="31"/>
  <c r="H80" i="31" s="1"/>
  <c r="R69" i="31"/>
  <c r="S69" i="31" s="1"/>
  <c r="H35" i="34"/>
  <c r="G35" i="34"/>
  <c r="G68" i="34"/>
  <c r="H68" i="34"/>
  <c r="T77" i="18"/>
  <c r="H76" i="18"/>
  <c r="T86" i="31"/>
  <c r="R90" i="31"/>
  <c r="T90" i="31" s="1"/>
  <c r="T94" i="36"/>
  <c r="S88" i="18"/>
  <c r="T38" i="18"/>
  <c r="S69" i="18"/>
  <c r="T40" i="18"/>
  <c r="S83" i="18"/>
  <c r="S44" i="18"/>
  <c r="T97" i="36"/>
  <c r="T29" i="18"/>
  <c r="S31" i="18"/>
  <c r="G76" i="36"/>
  <c r="T54" i="31"/>
  <c r="T74" i="31"/>
  <c r="S78" i="31"/>
  <c r="S88" i="31"/>
  <c r="S62" i="18"/>
  <c r="T96" i="31"/>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H48" i="31" s="1"/>
  <c r="R23" i="33"/>
  <c r="S23" i="33" s="1"/>
  <c r="F73" i="32"/>
  <c r="R91" i="37"/>
  <c r="S91" i="37" s="1"/>
  <c r="F71" i="32"/>
  <c r="F27" i="37"/>
  <c r="G27" i="37" s="1"/>
  <c r="R83" i="37"/>
  <c r="R68" i="31"/>
  <c r="T68" i="31" s="1"/>
  <c r="R61" i="18"/>
  <c r="T61" i="18" s="1"/>
  <c r="T22" i="18"/>
  <c r="R81" i="3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M52" i="39"/>
  <c r="L39" i="39"/>
  <c r="D33" i="38" s="1"/>
  <c r="L71" i="39"/>
  <c r="G34" i="34"/>
  <c r="F61" i="18"/>
  <c r="H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94" i="31"/>
  <c r="S45" i="37"/>
  <c r="S51" i="37"/>
  <c r="R25" i="32"/>
  <c r="F81" i="32"/>
  <c r="R21" i="33"/>
  <c r="S21" i="33" s="1"/>
  <c r="F37" i="32"/>
  <c r="F71" i="34"/>
  <c r="H71" i="34" s="1"/>
  <c r="G50" i="34"/>
  <c r="H26" i="33"/>
  <c r="H38" i="34"/>
  <c r="H82" i="31"/>
  <c r="G52" i="37"/>
  <c r="H98" i="34"/>
  <c r="G98" i="34"/>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T69" i="37"/>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G66" i="35"/>
  <c r="H67" i="31"/>
  <c r="H84" i="31"/>
  <c r="F49" i="31"/>
  <c r="F89" i="31"/>
  <c r="F23" i="35"/>
  <c r="H23" i="35" s="1"/>
  <c r="F95" i="35"/>
  <c r="G95" i="35" s="1"/>
  <c r="G76" i="18"/>
  <c r="R25" i="18"/>
  <c r="S25" i="18" s="1"/>
  <c r="T28" i="35"/>
  <c r="T24" i="35"/>
  <c r="H21" i="35"/>
  <c r="T48" i="33"/>
  <c r="S48" i="33"/>
  <c r="S29" i="33"/>
  <c r="T29" i="33"/>
  <c r="T45" i="33"/>
  <c r="G33" i="35"/>
  <c r="T79" i="37"/>
  <c r="S79" i="37"/>
  <c r="R46" i="18"/>
  <c r="T46" i="18" s="1"/>
  <c r="T81" i="33"/>
  <c r="S70" i="34"/>
  <c r="T67" i="35"/>
  <c r="H68" i="37"/>
  <c r="G68" i="37"/>
  <c r="T97" i="37"/>
  <c r="S41" i="37"/>
  <c r="G56" i="31"/>
  <c r="H56" i="31"/>
  <c r="T21" i="37"/>
  <c r="G27" i="34"/>
  <c r="H27" i="34"/>
  <c r="T43" i="33"/>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S57" i="31"/>
  <c r="S33" i="31"/>
  <c r="T33" i="31"/>
  <c r="S31" i="31"/>
  <c r="T31" i="31"/>
  <c r="G93" i="34"/>
  <c r="H93" i="34"/>
  <c r="T59" i="31"/>
  <c r="S59" i="31"/>
  <c r="H81" i="34"/>
  <c r="S81" i="31"/>
  <c r="T81" i="31"/>
  <c r="T44" i="33"/>
  <c r="S44" i="33"/>
  <c r="H85" i="34"/>
  <c r="G85" i="34"/>
  <c r="S41" i="31"/>
  <c r="T41" i="31"/>
  <c r="S86" i="31"/>
  <c r="T78" i="31"/>
  <c r="R63" i="32"/>
  <c r="R93" i="32"/>
  <c r="R74" i="32"/>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F97" i="18"/>
  <c r="R97" i="33"/>
  <c r="G58" i="34"/>
  <c r="H58" i="34"/>
  <c r="F75" i="35"/>
  <c r="R75" i="33"/>
  <c r="R67" i="33"/>
  <c r="R57" i="18"/>
  <c r="G33" i="34"/>
  <c r="H33" i="34"/>
  <c r="H50" i="39"/>
  <c r="F51" i="33"/>
  <c r="D50" i="39"/>
  <c r="F51" i="18"/>
  <c r="H51" i="18" s="1"/>
  <c r="R85" i="33"/>
  <c r="F49" i="33"/>
  <c r="H48" i="39"/>
  <c r="F45" i="33"/>
  <c r="H44" i="39"/>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S98" i="18"/>
  <c r="T86" i="18"/>
  <c r="S97" i="18"/>
  <c r="S55" i="18"/>
  <c r="G48" i="36"/>
  <c r="G86" i="36"/>
  <c r="H86" i="36"/>
  <c r="H19" i="36"/>
  <c r="J19" i="36" s="1"/>
  <c r="K19" i="36" s="1"/>
  <c r="I17" i="17" s="1"/>
  <c r="S43" i="35"/>
  <c r="T43" i="35"/>
  <c r="T97" i="35"/>
  <c r="S97" i="35"/>
  <c r="T40" i="35"/>
  <c r="S40" i="35"/>
  <c r="G52" i="18"/>
  <c r="H52" i="18"/>
  <c r="G83"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60" i="18"/>
  <c r="G34" i="37"/>
  <c r="H34" i="37"/>
  <c r="S91" i="35"/>
  <c r="S76" i="35"/>
  <c r="T73" i="35"/>
  <c r="S59" i="35"/>
  <c r="D40" i="38"/>
  <c r="H82" i="37"/>
  <c r="S79" i="18"/>
  <c r="T67" i="18"/>
  <c r="T73" i="18"/>
  <c r="T87" i="18"/>
  <c r="S76" i="18"/>
  <c r="T25" i="35"/>
  <c r="T96" i="18"/>
  <c r="T81" i="18"/>
  <c r="S91" i="18"/>
  <c r="S82" i="18"/>
  <c r="G64" i="37"/>
  <c r="T52" i="18"/>
  <c r="S35" i="18"/>
  <c r="T56" i="35"/>
  <c r="G80" i="31"/>
  <c r="T88" i="18"/>
  <c r="G36" i="18"/>
  <c r="S84" i="18"/>
  <c r="S29" i="18"/>
  <c r="T68" i="18"/>
  <c r="G54" i="31"/>
  <c r="G76" i="31"/>
  <c r="E90" i="38"/>
  <c r="E45" i="38"/>
  <c r="T49" i="35"/>
  <c r="S50" i="35"/>
  <c r="S36" i="18"/>
  <c r="S56" i="36"/>
  <c r="T78" i="36"/>
  <c r="T64" i="36"/>
  <c r="T34" i="36"/>
  <c r="T74" i="36"/>
  <c r="T33" i="36"/>
  <c r="D20" i="38"/>
  <c r="D25" i="38"/>
  <c r="D28" i="38"/>
  <c r="D13" i="38"/>
  <c r="D30" i="38"/>
  <c r="D70" i="38"/>
  <c r="S38" i="36"/>
  <c r="S50" i="36"/>
  <c r="T89" i="36"/>
  <c r="T74" i="35"/>
  <c r="S74" i="35"/>
  <c r="T35" i="31"/>
  <c r="S35" i="31"/>
  <c r="T21" i="31"/>
  <c r="S21" i="31"/>
  <c r="G96" i="36"/>
  <c r="H96"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34" i="36"/>
  <c r="G84" i="36"/>
  <c r="T31" i="35"/>
  <c r="S31" i="35"/>
  <c r="S26" i="35"/>
  <c r="T26" i="35"/>
  <c r="S55" i="35"/>
  <c r="T55" i="35"/>
  <c r="S98" i="40"/>
  <c r="S93" i="40"/>
  <c r="T95" i="40"/>
  <c r="T99" i="40"/>
  <c r="T86" i="35"/>
  <c r="S86" i="35"/>
  <c r="S34" i="35"/>
  <c r="T34" i="35"/>
  <c r="S70" i="31"/>
  <c r="T70" i="31"/>
  <c r="S48" i="31"/>
  <c r="T48"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8" i="18"/>
  <c r="G98" i="18"/>
  <c r="G86" i="18"/>
  <c r="H99" i="18"/>
  <c r="G99" i="18"/>
  <c r="K9" i="40"/>
  <c r="K12" i="40"/>
  <c r="K10" i="40"/>
  <c r="G72" i="31"/>
  <c r="D87" i="38"/>
  <c r="S89" i="18"/>
  <c r="T79" i="18"/>
  <c r="S67" i="18"/>
  <c r="S73" i="18"/>
  <c r="S87" i="18"/>
  <c r="T76" i="18"/>
  <c r="S53" i="18"/>
  <c r="T54" i="18"/>
  <c r="S52" i="18"/>
  <c r="T35" i="18"/>
  <c r="S77" i="18"/>
  <c r="S80" i="18"/>
  <c r="T31" i="18"/>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73" i="34" l="1"/>
  <c r="G56" i="34"/>
  <c r="G87" i="36"/>
  <c r="H94" i="36"/>
  <c r="G59" i="36"/>
  <c r="H81" i="36"/>
  <c r="H44" i="36"/>
  <c r="G22" i="36"/>
  <c r="G84" i="37"/>
  <c r="G61" i="18"/>
  <c r="H92" i="37"/>
  <c r="G60" i="37"/>
  <c r="G63" i="18"/>
  <c r="G58" i="18"/>
  <c r="G70" i="18"/>
  <c r="H69" i="18"/>
  <c r="S42" i="18"/>
  <c r="H75" i="31"/>
  <c r="T79" i="31"/>
  <c r="G64" i="35"/>
  <c r="G55" i="18"/>
  <c r="S90" i="31"/>
  <c r="H57" i="35"/>
  <c r="S62" i="33"/>
  <c r="D59" i="38"/>
  <c r="H52" i="31"/>
  <c r="T48" i="18"/>
  <c r="H65" i="18"/>
  <c r="G90" i="34"/>
  <c r="T73" i="33"/>
  <c r="T69" i="31"/>
  <c r="S72" i="18"/>
  <c r="H99" i="34"/>
  <c r="S68" i="31"/>
  <c r="T88" i="33"/>
  <c r="G45" i="34"/>
  <c r="G42" i="31"/>
  <c r="S26" i="18"/>
  <c r="T49" i="33"/>
  <c r="T22" i="37"/>
  <c r="T28" i="18"/>
  <c r="T34" i="31"/>
  <c r="G43" i="34"/>
  <c r="H48" i="35"/>
  <c r="H21" i="34"/>
  <c r="G48" i="31"/>
  <c r="T44" i="31"/>
  <c r="T33" i="33"/>
  <c r="T44" i="37"/>
  <c r="S46" i="31"/>
  <c r="S40" i="37"/>
  <c r="T45" i="18"/>
  <c r="G31" i="34"/>
  <c r="T47" i="33"/>
  <c r="T41" i="33"/>
  <c r="T47" i="37"/>
  <c r="T34" i="18"/>
  <c r="S42" i="33"/>
  <c r="G44" i="35"/>
  <c r="J20" i="31"/>
  <c r="K20" i="31" s="1"/>
  <c r="D18" i="17" s="1"/>
  <c r="G32" i="35"/>
  <c r="G34" i="18"/>
  <c r="H38" i="37"/>
  <c r="S32" i="18"/>
  <c r="G20" i="34"/>
  <c r="H22" i="34"/>
  <c r="S21" i="18"/>
  <c r="H38" i="35"/>
  <c r="G25" i="34"/>
  <c r="T24" i="37"/>
  <c r="S22" i="31"/>
  <c r="T27" i="31"/>
  <c r="T23" i="33"/>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I22" i="36"/>
  <c r="K13" i="38"/>
  <c r="I20" i="34"/>
  <c r="I21" i="34" s="1"/>
  <c r="I22" i="34" s="1"/>
  <c r="J23" i="34" s="1"/>
  <c r="K23" i="34" s="1"/>
  <c r="G21" i="17"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2" i="34" l="1"/>
  <c r="L15" i="38" s="1"/>
  <c r="J21" i="34"/>
  <c r="L14" i="38" s="1"/>
  <c r="L17" i="17"/>
  <c r="E12" i="28" s="1"/>
  <c r="M12" i="38" s="1"/>
  <c r="K22" i="31"/>
  <c r="D20" i="17" s="1"/>
  <c r="K20" i="34"/>
  <c r="G18" i="17" s="1"/>
  <c r="L16" i="38"/>
  <c r="I23" i="34"/>
  <c r="J24" i="34" s="1"/>
  <c r="K24" i="34" s="1"/>
  <c r="G22"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K22" i="34" l="1"/>
  <c r="G20" i="17" s="1"/>
  <c r="K21" i="34"/>
  <c r="G19" i="17" s="1"/>
  <c r="L19" i="17" s="1"/>
  <c r="O19" i="17" s="1"/>
  <c r="O17" i="17"/>
  <c r="L17" i="38"/>
  <c r="L18" i="17"/>
  <c r="E13" i="28" s="1"/>
  <c r="M13" i="38" s="1"/>
  <c r="I24" i="34"/>
  <c r="J25" i="34" s="1"/>
  <c r="K25" i="34" s="1"/>
  <c r="G23"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O18" i="17" l="1"/>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J26" i="34"/>
  <c r="K26" i="34" s="1"/>
  <c r="G24" i="17" s="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l="1"/>
  <c r="K29" i="36" s="1"/>
  <c r="I27" i="17" s="1"/>
  <c r="I29" i="34"/>
  <c r="J30" i="34"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30" i="34" l="1"/>
  <c r="J31" i="34" s="1"/>
  <c r="B30" i="35"/>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I31" i="34" l="1"/>
  <c r="AC25" i="17"/>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<sst xmlns="http://schemas.openxmlformats.org/spreadsheetml/2006/main" count="1446" uniqueCount="343">
  <si>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</si>
  <si>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</si>
  <si>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</si>
  <si>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</si>
  <si>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</si>
  <si>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</si>
  <si>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</si>
  <si>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</si>
  <si>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</si>
  <si>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</si>
  <si>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</si>
  <si>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</si>
  <si>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</si>
  <si>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</si>
  <si>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</si>
  <si>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</si>
  <si>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</si>
  <si>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</si>
  <si>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</si>
  <si>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</si>
  <si>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</si>
  <si>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</si>
  <si>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</si>
  <si>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</si>
  <si>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</si>
  <si>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</si>
  <si>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</si>
  <si>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</si>
  <si>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</si>
  <si>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</si>
  <si>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</si>
  <si>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</si>
  <si>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</si>
  <si>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</si>
  <si>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</si>
  <si>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</si>
  <si>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</si>
  <si>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</si>
  <si>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</si>
  <si>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</si>
  <si>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</si>
  <si>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</si>
  <si>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</si>
  <si>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</si>
  <si>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</si>
  <si>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</si>
  <si>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</si>
  <si>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</si>
  <si>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</si>
  <si>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</si>
  <si>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</si>
  <si>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</si>
  <si>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</si>
  <si>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</si>
  <si>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</si>
  <si>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</si>
  <si>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</si>
  <si>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</si>
  <si>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</si>
  <si>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</si>
  <si>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</si>
  <si>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</si>
  <si>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</si>
  <si>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</si>
  <si>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</si>
  <si>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</si>
  <si>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</si>
  <si>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</si>
  <si>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</si>
  <si>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</si>
  <si>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</si>
  <si>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</si>
  <si>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</si>
  <si>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</si>
  <si>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</si>
  <si>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</si>
  <si>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</si>
  <si>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</si>
  <si>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</si>
  <si>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</si>
  <si>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</si>
  <si>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</si>
  <si>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</si>
  <si>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</si>
  <si>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</si>
  <si>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</si>
  <si>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</si>
  <si>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</si>
  <si>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</si>
  <si>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</si>
  <si>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</si>
  <si>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</si>
  <si>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</si>
  <si>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</si>
  <si>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</si>
  <si>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</si>
  <si>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</si>
  <si>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</si>
  <si>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</si>
  <si>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</si>
  <si>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</si>
  <si>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</si>
  <si>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</si>
  <si>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</si>
  <si>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</si>
  <si>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</si>
  <si>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</si>
  <si>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</si>
  <si>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</si>
  <si>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</si>
  <si>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</si>
  <si>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</si>
  <si>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</si>
  <si>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</si>
  <si>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</si>
  <si>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</si>
  <si>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</si>
  <si>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</si>
  <si>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</si>
  <si>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</si>
  <si>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</si>
  <si>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</si>
  <si>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</si>
  <si>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</si>
  <si>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</si>
  <si>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</si>
  <si>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</si>
  <si>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</si>
  <si>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</si>
  <si>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</si>
  <si>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</si>
  <si>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</si>
  <si>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</si>
  <si>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</si>
  <si>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</si>
  <si>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</si>
  <si>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</si>
  <si>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</si>
  <si>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</si>
  <si>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</si>
  <si>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</si>
  <si>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</si>
  <si>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</si>
  <si>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</si>
  <si>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</si>
  <si>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</si>
  <si>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</si>
  <si>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</si>
  <si>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</si>
  <si>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</si>
  <si>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</si>
  <si>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</si>
  <si>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</si>
  <si>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</si>
  <si>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</si>
  <si>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</si>
  <si>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</si>
  <si>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</si>
  <si>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</si>
  <si>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</si>
  <si>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</si>
  <si>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</si>
  <si>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</si>
  <si>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</si>
  <si>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</si>
  <si>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</si>
  <si>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</si>
  <si>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</si>
  <si>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</si>
  <si>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</si>
  <si>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</si>
  <si>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</si>
  <si>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</si>
  <si>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</si>
  <si>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</si>
  <si>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</si>
  <si>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</si>
  <si>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</si>
  <si>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</si>
  <si>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</si>
  <si>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</si>
  <si>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</si>
  <si>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</si>
  <si>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</si>
  <si>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</si>
  <si>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</si>
  <si>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</si>
  <si>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</si>
  <si>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</si>
  <si>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</si>
  <si>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</si>
  <si>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</si>
  <si>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</si>
  <si>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</si>
  <si>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</si>
  <si>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</si>
  <si>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</si>
  <si>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</si>
  <si>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</si>
  <si>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</si>
  <si>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</si>
  <si>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</si>
  <si>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</si>
  <si>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</si>
  <si>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</si>
  <si>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</si>
  <si>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</si>
  <si>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</si>
  <si>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</si>
  <si>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</si>
  <si>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</si>
  <si>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</si>
  <si>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</si>
  <si>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</si>
  <si>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</si>
  <si>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</si>
  <si>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</si>
  <si>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</si>
  <si>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</si>
  <si>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</si>
  <si>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</si>
  <si>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</si>
  <si>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</si>
  <si>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</si>
  <si>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</si>
  <si>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</si>
  <si>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</si>
  <si>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</si>
  <si>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</si>
  <si>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</si>
  <si>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</si>
  <si>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</si>
  <si>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</si>
  <si>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</si>
  <si>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</si>
  <si>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</si>
  <si>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</si>
  <si>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</si>
  <si>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</si>
  <si>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</si>
  <si>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</si>
  <si>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</si>
  <si>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</si>
  <si>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</si>
  <si>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</si>
  <si>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</si>
  <si>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</si>
  <si>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</si>
  <si>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</si>
  <si>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</si>
  <si>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</si>
  <si>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</si>
  <si>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</si>
  <si>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</si>
  <si>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</si>
  <si>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</si>
  <si>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</si>
  <si>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</si>
  <si>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</si>
  <si>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</si>
  <si>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</si>
  <si>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</si>
  <si>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</si>
  <si>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</si>
  <si>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</si>
  <si>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</si>
  <si>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</si>
  <si>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</si>
  <si>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</si>
  <si>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</si>
  <si>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</si>
  <si>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</si>
  <si>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</si>
  <si>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</si>
  <si>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</si>
  <si>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</si>
  <si>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</si>
  <si>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</si>
  <si>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</si>
  <si>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</si>
  <si>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</si>
  <si>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</si>
  <si>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</si>
  <si>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</si>
  <si>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</si>
  <si>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</si>
  <si>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</si>
  <si>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</si>
  <si>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</si>
  <si>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</si>
  <si>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</si>
  <si>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</si>
  <si>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</si>
  <si>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</si>
  <si>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</si>
  <si>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</si>
  <si>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</si>
  <si>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</si>
  <si>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</si>
  <si>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</si>
  <si>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</si>
  <si>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</si>
  <si>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</si>
  <si>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</si>
  <si>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</si>
  <si>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</si>
  <si>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</si>
  <si>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</si>
  <si>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</si>
  <si>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</si>
  <si>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</si>
  <si>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</si>
  <si>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</si>
  <si>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</si>
  <si>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</si>
  <si>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</si>
  <si>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</si>
  <si>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</si>
  <si>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</si>
  <si>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</si>
  <si>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</si>
  <si>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</si>
  <si>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</si>
  <si>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</si>
  <si>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</si>
  <si>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</si>
  <si>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</si>
  <si>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</si>
  <si>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</si>
  <si>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</si>
  <si>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</si>
  <si>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</si>
  <si>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</si>
  <si>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</si>
  <si>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</si>
  <si>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</si>
  <si>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</si>
  <si>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</si>
  <si>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</si>
  <si>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</si>
  <si>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</si>
  <si>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</si>
  <si>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Samarinda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</si>
</sst>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56">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35" fillId="2" borderId="17" xfId="0" applyFont="1" applyFill="1" applyBorder="1" applyAlignment="1">
      <alignment horizontal="center" wrapText="1"/>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7"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Samarinda/SAMARINDA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MD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C30">
            <v>32.145558324</v>
          </cell>
        </row>
        <row r="31">
          <cell r="C31">
            <v>32.789183328</v>
          </cell>
        </row>
        <row r="32">
          <cell r="C32">
            <v>33.537048336000005</v>
          </cell>
        </row>
        <row r="33">
          <cell r="C33">
            <v>34.611318323999996</v>
          </cell>
        </row>
        <row r="34">
          <cell r="C34">
            <v>35.013607067999999</v>
          </cell>
        </row>
        <row r="35">
          <cell r="C35">
            <v>35.986904183999997</v>
          </cell>
        </row>
        <row r="36">
          <cell r="C36">
            <v>36.401953236000004</v>
          </cell>
        </row>
        <row r="37">
          <cell r="C37">
            <v>36.806091300000006</v>
          </cell>
        </row>
        <row r="38">
          <cell r="C38">
            <v>37.195311515999997</v>
          </cell>
        </row>
        <row r="39">
          <cell r="C39">
            <v>37.564620720000001</v>
          </cell>
        </row>
        <row r="40">
          <cell r="C40">
            <v>44.846010000000007</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C29">
            <v>46.645829868</v>
          </cell>
        </row>
        <row r="30">
          <cell r="C30">
            <v>47.151988752000001</v>
          </cell>
        </row>
        <row r="31">
          <cell r="C31">
            <v>48.144888659999999</v>
          </cell>
        </row>
        <row r="32">
          <cell r="C32">
            <v>49.130637864000001</v>
          </cell>
        </row>
        <row r="33">
          <cell r="C33">
            <v>50.091729468000004</v>
          </cell>
        </row>
        <row r="34">
          <cell r="C34">
            <v>51.059910132000006</v>
          </cell>
        </row>
        <row r="35">
          <cell r="C35">
            <v>52.268317463999999</v>
          </cell>
        </row>
        <row r="36">
          <cell r="C36">
            <v>53.571841488000004</v>
          </cell>
        </row>
        <row r="37">
          <cell r="C37">
            <v>54.875365512000002</v>
          </cell>
        </row>
        <row r="38">
          <cell r="C38">
            <v>56.178889536</v>
          </cell>
        </row>
        <row r="39">
          <cell r="C39">
            <v>57.482413559999998</v>
          </cell>
        </row>
        <row r="40">
          <cell r="C40">
            <v>58.785937584000003</v>
          </cell>
        </row>
        <row r="41">
          <cell r="C41">
            <v>60.089461608000001</v>
          </cell>
        </row>
        <row r="42">
          <cell r="C42">
            <v>61.392985632000006</v>
          </cell>
        </row>
        <row r="43">
          <cell r="C43">
            <v>62.696509656000003</v>
          </cell>
        </row>
        <row r="44">
          <cell r="C44">
            <v>64.000033680000001</v>
          </cell>
        </row>
        <row r="45">
          <cell r="C45">
            <v>65.303557703999999</v>
          </cell>
        </row>
        <row r="46">
          <cell r="C46">
            <v>66.607081728000011</v>
          </cell>
        </row>
        <row r="47">
          <cell r="C47">
            <v>67.910605752000009</v>
          </cell>
        </row>
        <row r="48">
          <cell r="C48">
            <v>69.214129776000007</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8" t="s">
        <v>212</v>
      </c>
      <c r="C7" s="758"/>
      <c r="D7" s="758"/>
      <c r="E7" s="758"/>
      <c r="F7" s="758"/>
      <c r="G7" s="758"/>
      <c r="H7" s="758"/>
      <c r="I7" s="758"/>
      <c r="J7" s="395"/>
      <c r="K7" s="395"/>
    </row>
    <row r="8" spans="2:11" s="9" customFormat="1">
      <c r="B8" s="10"/>
      <c r="C8" s="10"/>
      <c r="D8" s="10"/>
      <c r="E8" s="10"/>
      <c r="F8" s="10"/>
      <c r="G8" s="10"/>
      <c r="H8" s="10"/>
      <c r="I8" s="10"/>
      <c r="J8" s="10"/>
      <c r="K8" s="10"/>
    </row>
    <row r="9" spans="2:11" ht="44.1" customHeight="1">
      <c r="B9" s="759" t="s">
        <v>227</v>
      </c>
      <c r="C9" s="759"/>
      <c r="D9" s="759"/>
      <c r="E9" s="759"/>
      <c r="F9" s="759"/>
      <c r="G9" s="759"/>
      <c r="H9" s="759"/>
      <c r="I9" s="759"/>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2" t="str">
        <f>city</f>
        <v>Samarinda</v>
      </c>
      <c r="E2" s="823"/>
      <c r="F2" s="824"/>
    </row>
    <row r="3" spans="2:15" ht="13.5" thickBot="1">
      <c r="C3" s="527" t="s">
        <v>276</v>
      </c>
      <c r="D3" s="822" t="str">
        <f>province</f>
        <v>Kalimantan Timur</v>
      </c>
      <c r="E3" s="823"/>
      <c r="F3" s="824"/>
    </row>
    <row r="4" spans="2:15" ht="13.5" thickBot="1">
      <c r="B4" s="526"/>
      <c r="C4" s="527" t="s">
        <v>30</v>
      </c>
      <c r="D4" s="822">
        <f>country</f>
        <v>0</v>
      </c>
      <c r="E4" s="823"/>
      <c r="F4" s="824"/>
      <c r="H4" s="825"/>
      <c r="I4" s="825"/>
      <c r="J4" s="825"/>
      <c r="K4" s="825"/>
    </row>
    <row r="5" spans="2:15">
      <c r="B5" s="526"/>
      <c r="H5" s="826"/>
      <c r="I5" s="826"/>
      <c r="J5" s="826"/>
      <c r="K5" s="826"/>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0.83899907225640014</v>
      </c>
      <c r="E18" s="572">
        <f>Amnt_Deposited!F14*$F$11*(1-DOCF)*Garden!E19</f>
        <v>0</v>
      </c>
      <c r="F18" s="572">
        <f>Amnt_Deposited!D14*$D$11*(1-DOCF)*Paper!E19</f>
        <v>0.66348432380736</v>
      </c>
      <c r="G18" s="572">
        <f>Amnt_Deposited!G14*$D$12*(1-DOCF)*Wood!E19</f>
        <v>0.54737456714107202</v>
      </c>
      <c r="H18" s="572">
        <f>Amnt_Deposited!H14*$F$12*(1-DOCF)*Textiles!E19</f>
        <v>8.3321287175808001E-2</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2.1331792503806399</v>
      </c>
      <c r="O18" s="510">
        <f t="shared" ref="O18:O81" si="1">O17+N18</f>
        <v>2.1331792503806399</v>
      </c>
    </row>
    <row r="19" spans="2:15">
      <c r="B19" s="507">
        <f>B18+1</f>
        <v>1951</v>
      </c>
      <c r="C19" s="570">
        <f>Amnt_Deposited!O15*$D$10*(1-DOCF)*MSW!E20</f>
        <v>0</v>
      </c>
      <c r="D19" s="571">
        <f>Amnt_Deposited!C15*$F$10*(1-DOCF)*Food!E20</f>
        <v>0.85579768486079999</v>
      </c>
      <c r="E19" s="572">
        <f>Amnt_Deposited!F15*$F$11*(1-DOCF)*Garden!E20</f>
        <v>0</v>
      </c>
      <c r="F19" s="572">
        <f>Amnt_Deposited!D15*$D$11*(1-DOCF)*Paper!E20</f>
        <v>0.67676874388992014</v>
      </c>
      <c r="G19" s="572">
        <f>Amnt_Deposited!G15*$D$12*(1-DOCF)*Wood!E20</f>
        <v>0.55833421370918401</v>
      </c>
      <c r="H19" s="572">
        <f>Amnt_Deposited!H15*$F$12*(1-DOCF)*Textiles!E20</f>
        <v>8.4989563186176009E-2</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2.1758902056460805</v>
      </c>
      <c r="O19" s="510">
        <f t="shared" si="1"/>
        <v>4.3090694560267204</v>
      </c>
    </row>
    <row r="20" spans="2:15">
      <c r="B20" s="507">
        <f t="shared" ref="B20:B83" si="2">B19+1</f>
        <v>1952</v>
      </c>
      <c r="C20" s="570">
        <f>Amnt_Deposited!O16*$D$10*(1-DOCF)*MSW!E21</f>
        <v>0</v>
      </c>
      <c r="D20" s="571">
        <f>Amnt_Deposited!C16*$F$10*(1-DOCF)*Food!E21</f>
        <v>0.87531696156960015</v>
      </c>
      <c r="E20" s="572">
        <f>Amnt_Deposited!F16*$F$11*(1-DOCF)*Garden!E21</f>
        <v>0</v>
      </c>
      <c r="F20" s="572">
        <f>Amnt_Deposited!D16*$D$11*(1-DOCF)*Paper!E21</f>
        <v>0.69220467765504023</v>
      </c>
      <c r="G20" s="572">
        <f>Amnt_Deposited!G16*$D$12*(1-DOCF)*Wood!E21</f>
        <v>0.57106885906540805</v>
      </c>
      <c r="H20" s="572">
        <f>Amnt_Deposited!H16*$F$12*(1-DOCF)*Textiles!E21</f>
        <v>8.6928029286912012E-2</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2.2255185275769604</v>
      </c>
      <c r="O20" s="510">
        <f t="shared" si="1"/>
        <v>6.5345879836036804</v>
      </c>
    </row>
    <row r="21" spans="2:15">
      <c r="B21" s="507">
        <f t="shared" si="2"/>
        <v>1953</v>
      </c>
      <c r="C21" s="570">
        <f>Amnt_Deposited!O17*$D$10*(1-DOCF)*MSW!E22</f>
        <v>0</v>
      </c>
      <c r="D21" s="571">
        <f>Amnt_Deposited!C17*$F$10*(1-DOCF)*Food!E22</f>
        <v>0.90335540825639993</v>
      </c>
      <c r="E21" s="572">
        <f>Amnt_Deposited!F17*$F$11*(1-DOCF)*Garden!E22</f>
        <v>0</v>
      </c>
      <c r="F21" s="572">
        <f>Amnt_Deposited!D17*$D$11*(1-DOCF)*Paper!E22</f>
        <v>0.71437761020736001</v>
      </c>
      <c r="G21" s="572">
        <f>Amnt_Deposited!G17*$D$12*(1-DOCF)*Wood!E22</f>
        <v>0.58936152842107192</v>
      </c>
      <c r="H21" s="572">
        <f>Amnt_Deposited!H17*$F$12*(1-DOCF)*Textiles!E22</f>
        <v>8.9712537095807995E-2</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2.2968070839806396</v>
      </c>
      <c r="O21" s="510">
        <f t="shared" si="1"/>
        <v>8.8313950675843209</v>
      </c>
    </row>
    <row r="22" spans="2:15">
      <c r="B22" s="507">
        <f t="shared" si="2"/>
        <v>1954</v>
      </c>
      <c r="C22" s="570">
        <f>Amnt_Deposited!O18*$D$10*(1-DOCF)*MSW!E23</f>
        <v>0</v>
      </c>
      <c r="D22" s="571">
        <f>Amnt_Deposited!C18*$F$10*(1-DOCF)*Food!E23</f>
        <v>0.91385514447479999</v>
      </c>
      <c r="E22" s="572">
        <f>Amnt_Deposited!F18*$F$11*(1-DOCF)*Garden!E23</f>
        <v>0</v>
      </c>
      <c r="F22" s="572">
        <f>Amnt_Deposited!D18*$D$11*(1-DOCF)*Paper!E23</f>
        <v>0.7226808498835201</v>
      </c>
      <c r="G22" s="572">
        <f>Amnt_Deposited!G18*$D$12*(1-DOCF)*Wood!E23</f>
        <v>0.59621170115390398</v>
      </c>
      <c r="H22" s="572">
        <f>Amnt_Deposited!H18*$F$12*(1-DOCF)*Textiles!E23</f>
        <v>9.0755269520255991E-2</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2.3235029650324801</v>
      </c>
      <c r="O22" s="510">
        <f t="shared" si="1"/>
        <v>11.154898032616801</v>
      </c>
    </row>
    <row r="23" spans="2:15">
      <c r="B23" s="507">
        <f t="shared" si="2"/>
        <v>1955</v>
      </c>
      <c r="C23" s="570">
        <f>Amnt_Deposited!O19*$D$10*(1-DOCF)*MSW!E24</f>
        <v>0</v>
      </c>
      <c r="D23" s="571">
        <f>Amnt_Deposited!C19*$F$10*(1-DOCF)*Food!E24</f>
        <v>0.93925819920239995</v>
      </c>
      <c r="E23" s="572">
        <f>Amnt_Deposited!F19*$F$11*(1-DOCF)*Garden!E24</f>
        <v>0</v>
      </c>
      <c r="F23" s="572">
        <f>Amnt_Deposited!D19*$D$11*(1-DOCF)*Paper!E24</f>
        <v>0.74276970235775996</v>
      </c>
      <c r="G23" s="572">
        <f>Amnt_Deposited!G19*$D$12*(1-DOCF)*Wood!E24</f>
        <v>0.61278500444515205</v>
      </c>
      <c r="H23" s="572">
        <f>Amnt_Deposited!H19*$F$12*(1-DOCF)*Textiles!E24</f>
        <v>9.3278055644927999E-2</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2.3880909616502399</v>
      </c>
      <c r="O23" s="510">
        <f t="shared" si="1"/>
        <v>13.542988994267041</v>
      </c>
    </row>
    <row r="24" spans="2:15">
      <c r="B24" s="507">
        <f t="shared" si="2"/>
        <v>1956</v>
      </c>
      <c r="C24" s="570">
        <f>Amnt_Deposited!O20*$D$10*(1-DOCF)*MSW!E25</f>
        <v>0</v>
      </c>
      <c r="D24" s="571">
        <f>Amnt_Deposited!C20*$F$10*(1-DOCF)*Food!E25</f>
        <v>0.95009097945959997</v>
      </c>
      <c r="E24" s="572">
        <f>Amnt_Deposited!F20*$F$11*(1-DOCF)*Garden!E25</f>
        <v>0</v>
      </c>
      <c r="F24" s="572">
        <f>Amnt_Deposited!D20*$D$11*(1-DOCF)*Paper!E25</f>
        <v>0.75133631479104013</v>
      </c>
      <c r="G24" s="572">
        <f>Amnt_Deposited!G20*$D$12*(1-DOCF)*Wood!E25</f>
        <v>0.61985245970260816</v>
      </c>
      <c r="H24" s="572">
        <f>Amnt_Deposited!H20*$F$12*(1-DOCF)*Textiles!E25</f>
        <v>9.4353862787712017E-2</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2.4156336167409602</v>
      </c>
      <c r="O24" s="510">
        <f t="shared" si="1"/>
        <v>15.958622611008002</v>
      </c>
    </row>
    <row r="25" spans="2:15">
      <c r="B25" s="507">
        <f t="shared" si="2"/>
        <v>1957</v>
      </c>
      <c r="C25" s="570">
        <f>Amnt_Deposited!O21*$D$10*(1-DOCF)*MSW!E26</f>
        <v>0</v>
      </c>
      <c r="D25" s="571">
        <f>Amnt_Deposited!C21*$F$10*(1-DOCF)*Food!E26</f>
        <v>0.96063898293000016</v>
      </c>
      <c r="E25" s="572">
        <f>Amnt_Deposited!F21*$F$11*(1-DOCF)*Garden!E26</f>
        <v>0</v>
      </c>
      <c r="F25" s="572">
        <f>Amnt_Deposited!D21*$D$11*(1-DOCF)*Paper!E26</f>
        <v>0.75967772443200021</v>
      </c>
      <c r="G25" s="572">
        <f>Amnt_Deposited!G21*$D$12*(1-DOCF)*Wood!E26</f>
        <v>0.62673412265640016</v>
      </c>
      <c r="H25" s="572">
        <f>Amnt_Deposited!H21*$F$12*(1-DOCF)*Textiles!E26</f>
        <v>9.5401388649600016E-2</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2.4424522186680004</v>
      </c>
      <c r="O25" s="510">
        <f t="shared" si="1"/>
        <v>18.401074829676002</v>
      </c>
    </row>
    <row r="26" spans="2:15">
      <c r="B26" s="507">
        <f t="shared" si="2"/>
        <v>1958</v>
      </c>
      <c r="C26" s="570">
        <f>Amnt_Deposited!O22*$D$10*(1-DOCF)*MSW!E27</f>
        <v>0</v>
      </c>
      <c r="D26" s="571">
        <f>Amnt_Deposited!C22*$F$10*(1-DOCF)*Food!E27</f>
        <v>0.97079763056759993</v>
      </c>
      <c r="E26" s="572">
        <f>Amnt_Deposited!F22*$F$11*(1-DOCF)*Garden!E27</f>
        <v>0</v>
      </c>
      <c r="F26" s="572">
        <f>Amnt_Deposited!D22*$D$11*(1-DOCF)*Paper!E27</f>
        <v>0.76771122969023997</v>
      </c>
      <c r="G26" s="572">
        <f>Amnt_Deposited!G22*$D$12*(1-DOCF)*Wood!E27</f>
        <v>0.63336176449444803</v>
      </c>
      <c r="H26" s="572">
        <f>Amnt_Deposited!H22*$F$12*(1-DOCF)*Textiles!E27</f>
        <v>9.6410247449472006E-2</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2.4682808722017602</v>
      </c>
      <c r="O26" s="510">
        <f t="shared" si="1"/>
        <v>20.869355701877762</v>
      </c>
    </row>
    <row r="27" spans="2:15">
      <c r="B27" s="507">
        <f t="shared" si="2"/>
        <v>1959</v>
      </c>
      <c r="C27" s="570">
        <f>Amnt_Deposited!O23*$D$10*(1-DOCF)*MSW!E28</f>
        <v>0</v>
      </c>
      <c r="D27" s="571">
        <f>Amnt_Deposited!C23*$F$10*(1-DOCF)*Food!E28</f>
        <v>0.9804366007919999</v>
      </c>
      <c r="E27" s="572">
        <f>Amnt_Deposited!F23*$F$11*(1-DOCF)*Garden!E28</f>
        <v>0</v>
      </c>
      <c r="F27" s="572">
        <f>Amnt_Deposited!D23*$D$11*(1-DOCF)*Paper!E28</f>
        <v>0.77533377166080009</v>
      </c>
      <c r="G27" s="572">
        <f>Amnt_Deposited!G23*$D$12*(1-DOCF)*Wood!E28</f>
        <v>0.63965036162016009</v>
      </c>
      <c r="H27" s="572">
        <f>Amnt_Deposited!H23*$F$12*(1-DOCF)*Textiles!E28</f>
        <v>9.7367496906239998E-2</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2.4927882309792002</v>
      </c>
      <c r="O27" s="510">
        <f t="shared" si="1"/>
        <v>23.362143932856963</v>
      </c>
    </row>
    <row r="28" spans="2:15">
      <c r="B28" s="507">
        <f t="shared" si="2"/>
        <v>1960</v>
      </c>
      <c r="C28" s="570">
        <f>Amnt_Deposited!O24*$D$10*(1-DOCF)*MSW!E29</f>
        <v>0</v>
      </c>
      <c r="D28" s="571">
        <f>Amnt_Deposited!C24*$F$10*(1-DOCF)*Food!E29</f>
        <v>1.1704808610000004</v>
      </c>
      <c r="E28" s="572">
        <f>Amnt_Deposited!F24*$F$11*(1-DOCF)*Garden!E29</f>
        <v>0</v>
      </c>
      <c r="F28" s="572">
        <f>Amnt_Deposited!D24*$D$11*(1-DOCF)*Paper!E29</f>
        <v>0.92562164640000033</v>
      </c>
      <c r="G28" s="572">
        <f>Amnt_Deposited!G24*$D$12*(1-DOCF)*Wood!E29</f>
        <v>0.76363785828000019</v>
      </c>
      <c r="H28" s="572">
        <f>Amnt_Deposited!H24*$F$12*(1-DOCF)*Textiles!E29</f>
        <v>0.11624085792000001</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2.9759812236000007</v>
      </c>
      <c r="O28" s="510">
        <f t="shared" si="1"/>
        <v>26.338125156456965</v>
      </c>
    </row>
    <row r="29" spans="2:15">
      <c r="B29" s="507">
        <f t="shared" si="2"/>
        <v>1961</v>
      </c>
      <c r="C29" s="570">
        <f>Amnt_Deposited!O25*$D$10*(1-DOCF)*MSW!E30</f>
        <v>0</v>
      </c>
      <c r="D29" s="571">
        <f>Amnt_Deposited!C25*$F$10*(1-DOCF)*Food!E30</f>
        <v>1.2174561595547999</v>
      </c>
      <c r="E29" s="572">
        <f>Amnt_Deposited!F25*$F$11*(1-DOCF)*Garden!E30</f>
        <v>0</v>
      </c>
      <c r="F29" s="572">
        <f>Amnt_Deposited!D25*$D$11*(1-DOCF)*Paper!E30</f>
        <v>0.96276992847552023</v>
      </c>
      <c r="G29" s="572">
        <f>Amnt_Deposited!G25*$D$12*(1-DOCF)*Wood!E30</f>
        <v>0.7942851909923041</v>
      </c>
      <c r="H29" s="572">
        <f>Amnt_Deposited!H25*$F$12*(1-DOCF)*Textiles!E30</f>
        <v>0.12090599101785598</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3.0954172700404801</v>
      </c>
      <c r="O29" s="510">
        <f t="shared" si="1"/>
        <v>29.433542426497446</v>
      </c>
    </row>
    <row r="30" spans="2:15">
      <c r="B30" s="507">
        <f t="shared" si="2"/>
        <v>1962</v>
      </c>
      <c r="C30" s="570">
        <f>Amnt_Deposited!O26*$D$10*(1-DOCF)*MSW!E31</f>
        <v>0</v>
      </c>
      <c r="D30" s="571">
        <f>Amnt_Deposited!C26*$F$10*(1-DOCF)*Food!E31</f>
        <v>1.2306669064272002</v>
      </c>
      <c r="E30" s="572">
        <f>Amnt_Deposited!F26*$F$11*(1-DOCF)*Garden!E31</f>
        <v>0</v>
      </c>
      <c r="F30" s="572">
        <f>Amnt_Deposited!D26*$D$11*(1-DOCF)*Paper!E31</f>
        <v>0.97321704784128016</v>
      </c>
      <c r="G30" s="572">
        <f>Amnt_Deposited!G26*$D$12*(1-DOCF)*Wood!E31</f>
        <v>0.80290406446905616</v>
      </c>
      <c r="H30" s="572">
        <f>Amnt_Deposited!H26*$F$12*(1-DOCF)*Textiles!E31</f>
        <v>0.12221795484518401</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3.1290059735827205</v>
      </c>
      <c r="O30" s="510">
        <f t="shared" si="1"/>
        <v>32.562548400080168</v>
      </c>
    </row>
    <row r="31" spans="2:15">
      <c r="B31" s="507">
        <f t="shared" si="2"/>
        <v>1963</v>
      </c>
      <c r="C31" s="570">
        <f>Amnt_Deposited!O27*$D$10*(1-DOCF)*MSW!E32</f>
        <v>0</v>
      </c>
      <c r="D31" s="571">
        <f>Amnt_Deposited!C27*$F$10*(1-DOCF)*Food!E32</f>
        <v>1.2565815940259999</v>
      </c>
      <c r="E31" s="572">
        <f>Amnt_Deposited!F27*$F$11*(1-DOCF)*Garden!E32</f>
        <v>0</v>
      </c>
      <c r="F31" s="572">
        <f>Amnt_Deposited!D27*$D$11*(1-DOCF)*Paper!E32</f>
        <v>0.99371050194240018</v>
      </c>
      <c r="G31" s="572">
        <f>Amnt_Deposited!G27*$D$12*(1-DOCF)*Wood!E32</f>
        <v>0.81981116410248012</v>
      </c>
      <c r="H31" s="572">
        <f>Amnt_Deposited!H27*$F$12*(1-DOCF)*Textiles!E32</f>
        <v>0.12479155140671999</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3.1948948114776003</v>
      </c>
      <c r="O31" s="510">
        <f t="shared" si="1"/>
        <v>35.757443211557771</v>
      </c>
    </row>
    <row r="32" spans="2:15">
      <c r="B32" s="507">
        <f t="shared" si="2"/>
        <v>1964</v>
      </c>
      <c r="C32" s="570">
        <f>Amnt_Deposited!O28*$D$10*(1-DOCF)*MSW!E33</f>
        <v>0</v>
      </c>
      <c r="D32" s="571">
        <f>Amnt_Deposited!C28*$F$10*(1-DOCF)*Food!E33</f>
        <v>1.2823096482503999</v>
      </c>
      <c r="E32" s="572">
        <f>Amnt_Deposited!F28*$F$11*(1-DOCF)*Garden!E33</f>
        <v>0</v>
      </c>
      <c r="F32" s="572">
        <f>Amnt_Deposited!D28*$D$11*(1-DOCF)*Paper!E33</f>
        <v>1.0140563655129602</v>
      </c>
      <c r="G32" s="572">
        <f>Amnt_Deposited!G28*$D$12*(1-DOCF)*Wood!E33</f>
        <v>0.8365965015481921</v>
      </c>
      <c r="H32" s="572">
        <f>Amnt_Deposited!H28*$F$12*(1-DOCF)*Textiles!E33</f>
        <v>0.12734661334348801</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3.2603091286550403</v>
      </c>
      <c r="O32" s="510">
        <f t="shared" si="1"/>
        <v>39.017752340212809</v>
      </c>
    </row>
    <row r="33" spans="2:15">
      <c r="B33" s="507">
        <f t="shared" si="2"/>
        <v>1965</v>
      </c>
      <c r="C33" s="570">
        <f>Amnt_Deposited!O29*$D$10*(1-DOCF)*MSW!E34</f>
        <v>0</v>
      </c>
      <c r="D33" s="571">
        <f>Amnt_Deposited!C29*$F$10*(1-DOCF)*Food!E34</f>
        <v>1.3073941391148001</v>
      </c>
      <c r="E33" s="572">
        <f>Amnt_Deposited!F29*$F$11*(1-DOCF)*Garden!E34</f>
        <v>0</v>
      </c>
      <c r="F33" s="572">
        <f>Amnt_Deposited!D29*$D$11*(1-DOCF)*Paper!E34</f>
        <v>1.0338932962195202</v>
      </c>
      <c r="G33" s="572">
        <f>Amnt_Deposited!G29*$D$12*(1-DOCF)*Wood!E34</f>
        <v>0.85296196938110413</v>
      </c>
      <c r="H33" s="572">
        <f>Amnt_Deposited!H29*$F$12*(1-DOCF)*Textiles!E34</f>
        <v>0.12983776278105602</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3.3240871674964798</v>
      </c>
      <c r="O33" s="510">
        <f t="shared" si="1"/>
        <v>42.341839507709288</v>
      </c>
    </row>
    <row r="34" spans="2:15">
      <c r="B34" s="507">
        <f t="shared" si="2"/>
        <v>1966</v>
      </c>
      <c r="C34" s="570">
        <f>Amnt_Deposited!O30*$D$10*(1-DOCF)*MSW!E35</f>
        <v>0</v>
      </c>
      <c r="D34" s="571">
        <f>Amnt_Deposited!C30*$F$10*(1-DOCF)*Food!E35</f>
        <v>1.3326636544452002</v>
      </c>
      <c r="E34" s="572">
        <f>Amnt_Deposited!F30*$F$11*(1-DOCF)*Garden!E35</f>
        <v>0</v>
      </c>
      <c r="F34" s="572">
        <f>Amnt_Deposited!D30*$D$11*(1-DOCF)*Paper!E35</f>
        <v>1.0538765451244803</v>
      </c>
      <c r="G34" s="572">
        <f>Amnt_Deposited!G30*$D$12*(1-DOCF)*Wood!E35</f>
        <v>0.86944814972769624</v>
      </c>
      <c r="H34" s="572">
        <f>Amnt_Deposited!H30*$F$12*(1-DOCF)*Textiles!E35</f>
        <v>0.13234728706214402</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3.3883356363595207</v>
      </c>
      <c r="O34" s="510">
        <f t="shared" si="1"/>
        <v>45.730175144068809</v>
      </c>
    </row>
    <row r="35" spans="2:15">
      <c r="B35" s="507">
        <f t="shared" si="2"/>
        <v>1967</v>
      </c>
      <c r="C35" s="570">
        <f>Amnt_Deposited!O31*$D$10*(1-DOCF)*MSW!E36</f>
        <v>0</v>
      </c>
      <c r="D35" s="571">
        <f>Amnt_Deposited!C31*$F$10*(1-DOCF)*Food!E36</f>
        <v>1.3642030858104002</v>
      </c>
      <c r="E35" s="572">
        <f>Amnt_Deposited!F31*$F$11*(1-DOCF)*Garden!E36</f>
        <v>0</v>
      </c>
      <c r="F35" s="572">
        <f>Amnt_Deposited!D31*$D$11*(1-DOCF)*Paper!E36</f>
        <v>1.07881807245696</v>
      </c>
      <c r="G35" s="572">
        <f>Amnt_Deposited!G31*$D$12*(1-DOCF)*Wood!E36</f>
        <v>0.89002490977699211</v>
      </c>
      <c r="H35" s="572">
        <f>Amnt_Deposited!H31*$F$12*(1-DOCF)*Textiles!E36</f>
        <v>0.13547947886668799</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3.4685255469110396</v>
      </c>
      <c r="O35" s="510">
        <f t="shared" si="1"/>
        <v>49.198700690979848</v>
      </c>
    </row>
    <row r="36" spans="2:15">
      <c r="B36" s="507">
        <f t="shared" si="2"/>
        <v>1968</v>
      </c>
      <c r="C36" s="570">
        <f>Amnt_Deposited!O32*$D$10*(1-DOCF)*MSW!E37</f>
        <v>0</v>
      </c>
      <c r="D36" s="571">
        <f>Amnt_Deposited!C32*$F$10*(1-DOCF)*Food!E37</f>
        <v>1.3982250628368003</v>
      </c>
      <c r="E36" s="572">
        <f>Amnt_Deposited!F32*$F$11*(1-DOCF)*Garden!E37</f>
        <v>0</v>
      </c>
      <c r="F36" s="572">
        <f>Amnt_Deposited!D32*$D$11*(1-DOCF)*Paper!E37</f>
        <v>1.1057228083123201</v>
      </c>
      <c r="G36" s="572">
        <f>Amnt_Deposited!G32*$D$12*(1-DOCF)*Wood!E37</f>
        <v>0.91222131685766417</v>
      </c>
      <c r="H36" s="572">
        <f>Amnt_Deposited!H32*$F$12*(1-DOCF)*Textiles!E37</f>
        <v>0.13885821313689603</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3.5550274011436804</v>
      </c>
      <c r="O36" s="510">
        <f t="shared" si="1"/>
        <v>52.753728092123531</v>
      </c>
    </row>
    <row r="37" spans="2:15">
      <c r="B37" s="507">
        <f t="shared" si="2"/>
        <v>1969</v>
      </c>
      <c r="C37" s="570">
        <f>Amnt_Deposited!O33*$D$10*(1-DOCF)*MSW!E38</f>
        <v>0</v>
      </c>
      <c r="D37" s="571">
        <f>Amnt_Deposited!C33*$F$10*(1-DOCF)*Food!E38</f>
        <v>1.4322470398632001</v>
      </c>
      <c r="E37" s="572">
        <f>Amnt_Deposited!F33*$F$11*(1-DOCF)*Garden!E38</f>
        <v>0</v>
      </c>
      <c r="F37" s="572">
        <f>Amnt_Deposited!D33*$D$11*(1-DOCF)*Paper!E38</f>
        <v>1.1326275441676801</v>
      </c>
      <c r="G37" s="572">
        <f>Amnt_Deposited!G33*$D$12*(1-DOCF)*Wood!E38</f>
        <v>0.93441772393833622</v>
      </c>
      <c r="H37" s="572">
        <f>Amnt_Deposited!H33*$F$12*(1-DOCF)*Textiles!E38</f>
        <v>0.14223694740710399</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3.6415292553763203</v>
      </c>
      <c r="O37" s="510">
        <f t="shared" si="1"/>
        <v>56.39525734749985</v>
      </c>
    </row>
    <row r="38" spans="2:15">
      <c r="B38" s="507">
        <f t="shared" si="2"/>
        <v>1970</v>
      </c>
      <c r="C38" s="570">
        <f>Amnt_Deposited!O34*$D$10*(1-DOCF)*MSW!E39</f>
        <v>0</v>
      </c>
      <c r="D38" s="571">
        <f>Amnt_Deposited!C34*$F$10*(1-DOCF)*Food!E39</f>
        <v>1.4662690168896</v>
      </c>
      <c r="E38" s="572">
        <f>Amnt_Deposited!F34*$F$11*(1-DOCF)*Garden!E39</f>
        <v>0</v>
      </c>
      <c r="F38" s="572">
        <f>Amnt_Deposited!D34*$D$11*(1-DOCF)*Paper!E39</f>
        <v>1.1595322800230401</v>
      </c>
      <c r="G38" s="572">
        <f>Amnt_Deposited!G34*$D$12*(1-DOCF)*Wood!E39</f>
        <v>0.95661413101900805</v>
      </c>
      <c r="H38" s="572">
        <f>Amnt_Deposited!H34*$F$12*(1-DOCF)*Textiles!E39</f>
        <v>0.14561568167731198</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3.7280311096089607</v>
      </c>
      <c r="O38" s="510">
        <f t="shared" si="1"/>
        <v>60.123288457108814</v>
      </c>
    </row>
    <row r="39" spans="2:15">
      <c r="B39" s="507">
        <f t="shared" si="2"/>
        <v>1971</v>
      </c>
      <c r="C39" s="570">
        <f>Amnt_Deposited!O35*$D$10*(1-DOCF)*MSW!E40</f>
        <v>0</v>
      </c>
      <c r="D39" s="571">
        <f>Amnt_Deposited!C35*$F$10*(1-DOCF)*Food!E40</f>
        <v>1.5002909939159998</v>
      </c>
      <c r="E39" s="572">
        <f>Amnt_Deposited!F35*$F$11*(1-DOCF)*Garden!E40</f>
        <v>0</v>
      </c>
      <c r="F39" s="572">
        <f>Amnt_Deposited!D35*$D$11*(1-DOCF)*Paper!E40</f>
        <v>1.1864370158784001</v>
      </c>
      <c r="G39" s="572">
        <f>Amnt_Deposited!G35*$D$12*(1-DOCF)*Wood!E40</f>
        <v>0.97881053809968011</v>
      </c>
      <c r="H39" s="572">
        <f>Amnt_Deposited!H35*$F$12*(1-DOCF)*Textiles!E40</f>
        <v>0.14899441594752</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3.8145329638416001</v>
      </c>
      <c r="O39" s="510">
        <f t="shared" si="1"/>
        <v>63.937821420950414</v>
      </c>
    </row>
    <row r="40" spans="2:15">
      <c r="B40" s="507">
        <f t="shared" si="2"/>
        <v>1972</v>
      </c>
      <c r="C40" s="570">
        <f>Amnt_Deposited!O36*$D$10*(1-DOCF)*MSW!E41</f>
        <v>0</v>
      </c>
      <c r="D40" s="571">
        <f>Amnt_Deposited!C36*$F$10*(1-DOCF)*Food!E41</f>
        <v>1.5343129709424002</v>
      </c>
      <c r="E40" s="572">
        <f>Amnt_Deposited!F36*$F$11*(1-DOCF)*Garden!E41</f>
        <v>0</v>
      </c>
      <c r="F40" s="572">
        <f>Amnt_Deposited!D36*$D$11*(1-DOCF)*Paper!E41</f>
        <v>1.2133417517337604</v>
      </c>
      <c r="G40" s="572">
        <f>Amnt_Deposited!G36*$D$12*(1-DOCF)*Wood!E41</f>
        <v>1.0010069451803523</v>
      </c>
      <c r="H40" s="572">
        <f>Amnt_Deposited!H36*$F$12*(1-DOCF)*Textiles!E41</f>
        <v>0.15237315021772802</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3.9010348180742405</v>
      </c>
      <c r="O40" s="510">
        <f t="shared" si="1"/>
        <v>67.838856239024651</v>
      </c>
    </row>
    <row r="41" spans="2:15">
      <c r="B41" s="507">
        <f t="shared" si="2"/>
        <v>1973</v>
      </c>
      <c r="C41" s="570">
        <f>Amnt_Deposited!O37*$D$10*(1-DOCF)*MSW!E42</f>
        <v>0</v>
      </c>
      <c r="D41" s="571">
        <f>Amnt_Deposited!C37*$F$10*(1-DOCF)*Food!E42</f>
        <v>1.5683349479688</v>
      </c>
      <c r="E41" s="572">
        <f>Amnt_Deposited!F37*$F$11*(1-DOCF)*Garden!E42</f>
        <v>0</v>
      </c>
      <c r="F41" s="572">
        <f>Amnt_Deposited!D37*$D$11*(1-DOCF)*Paper!E42</f>
        <v>1.2402464875891202</v>
      </c>
      <c r="G41" s="572">
        <f>Amnt_Deposited!G37*$D$12*(1-DOCF)*Wood!E42</f>
        <v>1.0232033522610242</v>
      </c>
      <c r="H41" s="572">
        <f>Amnt_Deposited!H37*$F$12*(1-DOCF)*Textiles!E42</f>
        <v>0.155751884487936</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3.9875366723068804</v>
      </c>
      <c r="O41" s="510">
        <f t="shared" si="1"/>
        <v>71.826392911331524</v>
      </c>
    </row>
    <row r="42" spans="2:15">
      <c r="B42" s="507">
        <f t="shared" si="2"/>
        <v>1974</v>
      </c>
      <c r="C42" s="570">
        <f>Amnt_Deposited!O38*$D$10*(1-DOCF)*MSW!E43</f>
        <v>0</v>
      </c>
      <c r="D42" s="571">
        <f>Amnt_Deposited!C38*$F$10*(1-DOCF)*Food!E43</f>
        <v>1.6023569249952001</v>
      </c>
      <c r="E42" s="572">
        <f>Amnt_Deposited!F38*$F$11*(1-DOCF)*Garden!E43</f>
        <v>0</v>
      </c>
      <c r="F42" s="572">
        <f>Amnt_Deposited!D38*$D$11*(1-DOCF)*Paper!E43</f>
        <v>1.2671512234444804</v>
      </c>
      <c r="G42" s="572">
        <f>Amnt_Deposited!G38*$D$12*(1-DOCF)*Wood!E43</f>
        <v>1.0453997593416962</v>
      </c>
      <c r="H42" s="572">
        <f>Amnt_Deposited!H38*$F$12*(1-DOCF)*Textiles!E43</f>
        <v>0.15913061875814402</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4.0740385265395203</v>
      </c>
      <c r="O42" s="510">
        <f t="shared" si="1"/>
        <v>75.900431437871049</v>
      </c>
    </row>
    <row r="43" spans="2:15">
      <c r="B43" s="507">
        <f t="shared" si="2"/>
        <v>1975</v>
      </c>
      <c r="C43" s="570">
        <f>Amnt_Deposited!O39*$D$10*(1-DOCF)*MSW!E44</f>
        <v>0</v>
      </c>
      <c r="D43" s="571">
        <f>Amnt_Deposited!C39*$F$10*(1-DOCF)*Food!E44</f>
        <v>1.6363789020216002</v>
      </c>
      <c r="E43" s="572">
        <f>Amnt_Deposited!F39*$F$11*(1-DOCF)*Garden!E44</f>
        <v>0</v>
      </c>
      <c r="F43" s="572">
        <f>Amnt_Deposited!D39*$D$11*(1-DOCF)*Paper!E44</f>
        <v>1.2940559592998402</v>
      </c>
      <c r="G43" s="572">
        <f>Amnt_Deposited!G39*$D$12*(1-DOCF)*Wood!E44</f>
        <v>1.0675961664223681</v>
      </c>
      <c r="H43" s="572">
        <f>Amnt_Deposited!H39*$F$12*(1-DOCF)*Textiles!E44</f>
        <v>0.16250935302835201</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4.1605403807721606</v>
      </c>
      <c r="O43" s="510">
        <f t="shared" si="1"/>
        <v>80.06097181864321</v>
      </c>
    </row>
    <row r="44" spans="2:15">
      <c r="B44" s="507">
        <f t="shared" si="2"/>
        <v>1976</v>
      </c>
      <c r="C44" s="570">
        <f>Amnt_Deposited!O40*$D$10*(1-DOCF)*MSW!E45</f>
        <v>0</v>
      </c>
      <c r="D44" s="571">
        <f>Amnt_Deposited!C40*$F$10*(1-DOCF)*Food!E45</f>
        <v>1.6704008790480001</v>
      </c>
      <c r="E44" s="572">
        <f>Amnt_Deposited!F40*$F$11*(1-DOCF)*Garden!E45</f>
        <v>0</v>
      </c>
      <c r="F44" s="572">
        <f>Amnt_Deposited!D40*$D$11*(1-DOCF)*Paper!E45</f>
        <v>1.3209606951552004</v>
      </c>
      <c r="G44" s="572">
        <f>Amnt_Deposited!G40*$D$12*(1-DOCF)*Wood!E45</f>
        <v>1.0897925735030403</v>
      </c>
      <c r="H44" s="572">
        <f>Amnt_Deposited!H40*$F$12*(1-DOCF)*Textiles!E45</f>
        <v>0.16588808729856</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4.2470422350048009</v>
      </c>
      <c r="O44" s="510">
        <f t="shared" si="1"/>
        <v>84.308014053648009</v>
      </c>
    </row>
    <row r="45" spans="2:15">
      <c r="B45" s="507">
        <f t="shared" si="2"/>
        <v>1977</v>
      </c>
      <c r="C45" s="570">
        <f>Amnt_Deposited!O41*$D$10*(1-DOCF)*MSW!E46</f>
        <v>0</v>
      </c>
      <c r="D45" s="571">
        <f>Amnt_Deposited!C41*$F$10*(1-DOCF)*Food!E46</f>
        <v>1.7044228560743999</v>
      </c>
      <c r="E45" s="572">
        <f>Amnt_Deposited!F41*$F$11*(1-DOCF)*Garden!E46</f>
        <v>0</v>
      </c>
      <c r="F45" s="572">
        <f>Amnt_Deposited!D41*$D$11*(1-DOCF)*Paper!E46</f>
        <v>1.3478654310105602</v>
      </c>
      <c r="G45" s="572">
        <f>Amnt_Deposited!G41*$D$12*(1-DOCF)*Wood!E46</f>
        <v>1.111988980583712</v>
      </c>
      <c r="H45" s="572">
        <f>Amnt_Deposited!H41*$F$12*(1-DOCF)*Textiles!E46</f>
        <v>0.16926682156876799</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4.3335440892374404</v>
      </c>
      <c r="O45" s="510">
        <f t="shared" si="1"/>
        <v>88.641558142885444</v>
      </c>
    </row>
    <row r="46" spans="2:15">
      <c r="B46" s="507">
        <f t="shared" si="2"/>
        <v>1978</v>
      </c>
      <c r="C46" s="570">
        <f>Amnt_Deposited!O42*$D$10*(1-DOCF)*MSW!E47</f>
        <v>0</v>
      </c>
      <c r="D46" s="571">
        <f>Amnt_Deposited!C42*$F$10*(1-DOCF)*Food!E47</f>
        <v>1.7384448331008002</v>
      </c>
      <c r="E46" s="572">
        <f>Amnt_Deposited!F42*$F$11*(1-DOCF)*Garden!E47</f>
        <v>0</v>
      </c>
      <c r="F46" s="572">
        <f>Amnt_Deposited!D42*$D$11*(1-DOCF)*Paper!E47</f>
        <v>1.3747701668659205</v>
      </c>
      <c r="G46" s="572">
        <f>Amnt_Deposited!G42*$D$12*(1-DOCF)*Wood!E47</f>
        <v>1.1341853876643844</v>
      </c>
      <c r="H46" s="572">
        <f>Amnt_Deposited!H42*$F$12*(1-DOCF)*Textiles!E47</f>
        <v>0.17264555583897603</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4.4200459434700807</v>
      </c>
      <c r="O46" s="510">
        <f t="shared" si="1"/>
        <v>93.06160408635553</v>
      </c>
    </row>
    <row r="47" spans="2:15">
      <c r="B47" s="507">
        <f t="shared" si="2"/>
        <v>1979</v>
      </c>
      <c r="C47" s="570">
        <f>Amnt_Deposited!O43*$D$10*(1-DOCF)*MSW!E48</f>
        <v>0</v>
      </c>
      <c r="D47" s="571">
        <f>Amnt_Deposited!C43*$F$10*(1-DOCF)*Food!E48</f>
        <v>1.7724668101272003</v>
      </c>
      <c r="E47" s="572">
        <f>Amnt_Deposited!F43*$F$11*(1-DOCF)*Garden!E48</f>
        <v>0</v>
      </c>
      <c r="F47" s="572">
        <f>Amnt_Deposited!D43*$D$11*(1-DOCF)*Paper!E48</f>
        <v>1.4016749027212805</v>
      </c>
      <c r="G47" s="572">
        <f>Amnt_Deposited!G43*$D$12*(1-DOCF)*Wood!E48</f>
        <v>1.1563817947450563</v>
      </c>
      <c r="H47" s="572">
        <f>Amnt_Deposited!H43*$F$12*(1-DOCF)*Textiles!E48</f>
        <v>0.17602429010918402</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4.5065477977027211</v>
      </c>
      <c r="O47" s="510">
        <f t="shared" si="1"/>
        <v>97.568151884058253</v>
      </c>
    </row>
    <row r="48" spans="2:15">
      <c r="B48" s="507">
        <f t="shared" si="2"/>
        <v>1980</v>
      </c>
      <c r="C48" s="570">
        <f>Amnt_Deposited!O44*$D$10*(1-DOCF)*MSW!E49</f>
        <v>0</v>
      </c>
      <c r="D48" s="571">
        <f>Amnt_Deposited!C44*$F$10*(1-DOCF)*Food!E49</f>
        <v>1.8064887871536002</v>
      </c>
      <c r="E48" s="572">
        <f>Amnt_Deposited!F44*$F$11*(1-DOCF)*Garden!E49</f>
        <v>0</v>
      </c>
      <c r="F48" s="572">
        <f>Amnt_Deposited!D44*$D$11*(1-DOCF)*Paper!E49</f>
        <v>1.4285796385766405</v>
      </c>
      <c r="G48" s="572">
        <f>Amnt_Deposited!G44*$D$12*(1-DOCF)*Wood!E49</f>
        <v>1.1785782018257283</v>
      </c>
      <c r="H48" s="572">
        <f>Amnt_Deposited!H44*$F$12*(1-DOCF)*Textiles!E49</f>
        <v>0.17940302437939204</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4.5930496519353614</v>
      </c>
      <c r="O48" s="510">
        <f t="shared" si="1"/>
        <v>102.16120153599361</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102.16120153599361</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102.16120153599361</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102.16120153599361</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102.16120153599361</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102.16120153599361</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102.16120153599361</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102.16120153599361</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102.16120153599361</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102.16120153599361</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102.16120153599361</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102.16120153599361</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102.16120153599361</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102.16120153599361</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102.16120153599361</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102.16120153599361</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102.16120153599361</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102.16120153599361</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102.16120153599361</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102.16120153599361</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102.16120153599361</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102.16120153599361</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102.16120153599361</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102.16120153599361</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102.16120153599361</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102.16120153599361</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102.16120153599361</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102.16120153599361</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102.16120153599361</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102.16120153599361</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102.16120153599361</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102.16120153599361</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102.16120153599361</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102.16120153599361</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102.16120153599361</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102.16120153599361</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102.16120153599361</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102.16120153599361</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102.16120153599361</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102.16120153599361</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102.16120153599361</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102.16120153599361</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102.16120153599361</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102.16120153599361</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102.16120153599361</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102.16120153599361</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102.16120153599361</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102.16120153599361</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102.16120153599361</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102.16120153599361</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102.16120153599361</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44" t="s">
        <v>52</v>
      </c>
      <c r="C2" s="844"/>
      <c r="D2" s="844"/>
      <c r="E2" s="844"/>
      <c r="F2" s="844"/>
      <c r="G2" s="844"/>
      <c r="H2" s="844"/>
    </row>
    <row r="3" spans="1:35" ht="13.5" thickBot="1">
      <c r="B3" s="844"/>
      <c r="C3" s="844"/>
      <c r="D3" s="844"/>
      <c r="E3" s="844"/>
      <c r="F3" s="844"/>
      <c r="G3" s="844"/>
      <c r="H3" s="844"/>
    </row>
    <row r="4" spans="1:35" ht="13.5" thickBot="1">
      <c r="P4" s="827" t="s">
        <v>242</v>
      </c>
      <c r="Q4" s="828"/>
      <c r="R4" s="829" t="s">
        <v>243</v>
      </c>
      <c r="S4" s="830"/>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46" t="s">
        <v>47</v>
      </c>
      <c r="E5" s="847"/>
      <c r="F5" s="847"/>
      <c r="G5" s="836"/>
      <c r="H5" s="847" t="s">
        <v>57</v>
      </c>
      <c r="I5" s="847"/>
      <c r="J5" s="847"/>
      <c r="K5" s="836"/>
      <c r="L5" s="155"/>
      <c r="M5" s="155"/>
      <c r="N5" s="155"/>
      <c r="O5" s="190"/>
      <c r="P5" s="234" t="s">
        <v>116</v>
      </c>
      <c r="Q5" s="235" t="s">
        <v>113</v>
      </c>
      <c r="R5" s="234" t="s">
        <v>116</v>
      </c>
      <c r="S5" s="235" t="s">
        <v>113</v>
      </c>
      <c r="V5" s="340" t="s">
        <v>118</v>
      </c>
      <c r="W5" s="341">
        <v>3</v>
      </c>
      <c r="AF5" s="848" t="s">
        <v>126</v>
      </c>
      <c r="AG5" s="848" t="s">
        <v>129</v>
      </c>
      <c r="AH5" s="848" t="s">
        <v>154</v>
      </c>
      <c r="AI5"/>
    </row>
    <row r="6" spans="1:35" ht="13.5" thickBot="1">
      <c r="B6" s="193"/>
      <c r="C6" s="179"/>
      <c r="D6" s="845" t="s">
        <v>45</v>
      </c>
      <c r="E6" s="845"/>
      <c r="F6" s="845" t="s">
        <v>46</v>
      </c>
      <c r="G6" s="845"/>
      <c r="H6" s="845" t="s">
        <v>45</v>
      </c>
      <c r="I6" s="845"/>
      <c r="J6" s="845" t="s">
        <v>99</v>
      </c>
      <c r="K6" s="845"/>
      <c r="L6" s="155"/>
      <c r="M6" s="155"/>
      <c r="N6" s="155"/>
      <c r="O6" s="230" t="s">
        <v>6</v>
      </c>
      <c r="P6" s="189">
        <v>0.38</v>
      </c>
      <c r="Q6" s="191" t="s">
        <v>234</v>
      </c>
      <c r="R6" s="189">
        <v>0.15</v>
      </c>
      <c r="S6" s="191" t="s">
        <v>244</v>
      </c>
      <c r="W6" s="853" t="s">
        <v>125</v>
      </c>
      <c r="X6" s="855"/>
      <c r="Y6" s="855"/>
      <c r="Z6" s="855"/>
      <c r="AA6" s="855"/>
      <c r="AB6" s="855"/>
      <c r="AC6" s="855"/>
      <c r="AD6" s="855"/>
      <c r="AE6" s="855"/>
      <c r="AF6" s="849"/>
      <c r="AG6" s="849"/>
      <c r="AH6" s="849"/>
      <c r="AI6"/>
    </row>
    <row r="7" spans="1:35" ht="26.25" thickBot="1">
      <c r="B7" s="853" t="s">
        <v>133</v>
      </c>
      <c r="C7" s="854"/>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50"/>
      <c r="AG7" s="850"/>
      <c r="AH7" s="850"/>
      <c r="AI7"/>
    </row>
    <row r="8" spans="1:35" ht="25.5" customHeight="1">
      <c r="B8" s="851"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52"/>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41" t="s">
        <v>264</v>
      </c>
      <c r="P13" s="842"/>
      <c r="Q13" s="842"/>
      <c r="R13" s="842"/>
      <c r="S13" s="843"/>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33" t="s">
        <v>70</v>
      </c>
      <c r="C26" s="833"/>
      <c r="D26" s="833"/>
      <c r="E26" s="833"/>
      <c r="F26" s="833"/>
      <c r="G26" s="833"/>
      <c r="H26" s="833"/>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34"/>
      <c r="C27" s="834"/>
      <c r="D27" s="834"/>
      <c r="E27" s="834"/>
      <c r="F27" s="834"/>
      <c r="G27" s="834"/>
      <c r="H27" s="834"/>
      <c r="O27" s="104"/>
      <c r="P27" s="437"/>
      <c r="Q27" s="104"/>
      <c r="R27" s="104"/>
      <c r="S27" s="104"/>
      <c r="U27" s="198"/>
      <c r="V27" s="200"/>
    </row>
    <row r="28" spans="1:35">
      <c r="B28" s="834"/>
      <c r="C28" s="834"/>
      <c r="D28" s="834"/>
      <c r="E28" s="834"/>
      <c r="F28" s="834"/>
      <c r="G28" s="834"/>
      <c r="H28" s="834"/>
      <c r="O28" s="104"/>
      <c r="P28" s="437"/>
      <c r="Q28" s="104"/>
      <c r="R28" s="104"/>
      <c r="S28" s="104"/>
      <c r="V28" s="200"/>
    </row>
    <row r="29" spans="1:35">
      <c r="B29" s="834"/>
      <c r="C29" s="834"/>
      <c r="D29" s="834"/>
      <c r="E29" s="834"/>
      <c r="F29" s="834"/>
      <c r="G29" s="834"/>
      <c r="H29" s="834"/>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34"/>
      <c r="C30" s="834"/>
      <c r="D30" s="834"/>
      <c r="E30" s="834"/>
      <c r="F30" s="834"/>
      <c r="G30" s="834"/>
      <c r="H30" s="834"/>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35" t="s">
        <v>75</v>
      </c>
      <c r="D38" s="836"/>
      <c r="O38" s="429"/>
      <c r="P38" s="430"/>
      <c r="Q38" s="431"/>
      <c r="R38" s="104"/>
    </row>
    <row r="39" spans="2:18">
      <c r="B39" s="162">
        <v>35</v>
      </c>
      <c r="C39" s="839">
        <f>LN(2)/B39</f>
        <v>1.980420515885558E-2</v>
      </c>
      <c r="D39" s="840"/>
    </row>
    <row r="40" spans="2:18" ht="27">
      <c r="B40" s="399" t="s">
        <v>76</v>
      </c>
      <c r="C40" s="837" t="s">
        <v>77</v>
      </c>
      <c r="D40" s="838"/>
    </row>
    <row r="41" spans="2:18" ht="13.5" thickBot="1">
      <c r="B41" s="163">
        <v>0.05</v>
      </c>
      <c r="C41" s="831">
        <f>LN(2)/B41</f>
        <v>13.862943611198904</v>
      </c>
      <c r="D41" s="832"/>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0.38</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13.983317870940001</v>
      </c>
      <c r="D19" s="451">
        <f>Dry_Matter_Content!C6</f>
        <v>0.59</v>
      </c>
      <c r="E19" s="318">
        <f>MCF!R18</f>
        <v>0.8</v>
      </c>
      <c r="F19" s="150">
        <f>C19*D19*$K$6*DOCF*E19</f>
        <v>1.2540239466658993</v>
      </c>
      <c r="G19" s="85">
        <f t="shared" ref="G19:G50" si="0">F19*$K$12</f>
        <v>1.2540239466658993</v>
      </c>
      <c r="H19" s="85">
        <f t="shared" ref="H19:H50" si="1">F19*(1-$K$12)</f>
        <v>0</v>
      </c>
      <c r="I19" s="85">
        <f t="shared" ref="I19:I50" si="2">G19+I18*$K$10</f>
        <v>1.2540239466658993</v>
      </c>
      <c r="J19" s="85">
        <f t="shared" ref="J19:J50" si="3">I18*(1-$K$10)+H19</f>
        <v>0</v>
      </c>
      <c r="K19" s="86">
        <f>J19*CH4_fraction*conv</f>
        <v>0</v>
      </c>
      <c r="O19" s="115">
        <f>Amnt_Deposited!B14</f>
        <v>2000</v>
      </c>
      <c r="P19" s="118">
        <f>Amnt_Deposited!C14</f>
        <v>13.983317870940001</v>
      </c>
      <c r="Q19" s="318">
        <f>MCF!R18</f>
        <v>0.8</v>
      </c>
      <c r="R19" s="150">
        <f t="shared" ref="R19:R50" si="4">P19*$W$6*DOCF*Q19</f>
        <v>0.83899907225640014</v>
      </c>
      <c r="S19" s="85">
        <f>R19*$W$12</f>
        <v>0.83899907225640014</v>
      </c>
      <c r="T19" s="85">
        <f>R19*(1-$W$12)</f>
        <v>0</v>
      </c>
      <c r="U19" s="85">
        <f>S19+U18*$W$10</f>
        <v>0.83899907225640014</v>
      </c>
      <c r="V19" s="85">
        <f>U18*(1-$W$10)+T19</f>
        <v>0</v>
      </c>
      <c r="W19" s="86">
        <f>V19*CH4_fraction*conv</f>
        <v>0</v>
      </c>
    </row>
    <row r="20" spans="2:23">
      <c r="B20" s="116">
        <f>Amnt_Deposited!B15</f>
        <v>2001</v>
      </c>
      <c r="C20" s="119">
        <f>Amnt_Deposited!C15</f>
        <v>14.26329474768</v>
      </c>
      <c r="D20" s="453">
        <f>Dry_Matter_Content!C7</f>
        <v>0.59</v>
      </c>
      <c r="E20" s="319">
        <f>MCF!R19</f>
        <v>0.8</v>
      </c>
      <c r="F20" s="87">
        <f t="shared" ref="F20:F50" si="5">C20*D20*$K$6*DOCF*E20</f>
        <v>1.2791322729719425</v>
      </c>
      <c r="G20" s="87">
        <f t="shared" si="0"/>
        <v>1.2791322729719425</v>
      </c>
      <c r="H20" s="87">
        <f t="shared" si="1"/>
        <v>0</v>
      </c>
      <c r="I20" s="87">
        <f t="shared" si="2"/>
        <v>2.1197296626308222</v>
      </c>
      <c r="J20" s="87">
        <f t="shared" si="3"/>
        <v>0.41342655700701958</v>
      </c>
      <c r="K20" s="120">
        <f>J20*CH4_fraction*conv</f>
        <v>0.27561770467134639</v>
      </c>
      <c r="M20" s="428"/>
      <c r="O20" s="116">
        <f>Amnt_Deposited!B15</f>
        <v>2001</v>
      </c>
      <c r="P20" s="119">
        <f>Amnt_Deposited!C15</f>
        <v>14.26329474768</v>
      </c>
      <c r="Q20" s="319">
        <f>MCF!R19</f>
        <v>0.8</v>
      </c>
      <c r="R20" s="87">
        <f t="shared" si="4"/>
        <v>0.85579768486079999</v>
      </c>
      <c r="S20" s="87">
        <f>R20*$W$12</f>
        <v>0.85579768486079999</v>
      </c>
      <c r="T20" s="87">
        <f>R20*(1-$W$12)</f>
        <v>0</v>
      </c>
      <c r="U20" s="87">
        <f>S20+U19*$W$10</f>
        <v>1.4181955815995688</v>
      </c>
      <c r="V20" s="87">
        <f>U19*(1-$W$10)+T20</f>
        <v>0.2766011755176313</v>
      </c>
      <c r="W20" s="120">
        <f>V20*CH4_fraction*conv</f>
        <v>0.18440078367842086</v>
      </c>
    </row>
    <row r="21" spans="2:23">
      <c r="B21" s="116">
        <f>Amnt_Deposited!B16</f>
        <v>2002</v>
      </c>
      <c r="C21" s="119">
        <f>Amnt_Deposited!C16</f>
        <v>14.588616026160002</v>
      </c>
      <c r="D21" s="453">
        <f>Dry_Matter_Content!C8</f>
        <v>0.59</v>
      </c>
      <c r="E21" s="319">
        <f>MCF!R20</f>
        <v>0.8</v>
      </c>
      <c r="F21" s="87">
        <f t="shared" si="5"/>
        <v>1.308307085226029</v>
      </c>
      <c r="G21" s="87">
        <f t="shared" si="0"/>
        <v>1.308307085226029</v>
      </c>
      <c r="H21" s="87">
        <f t="shared" si="1"/>
        <v>0</v>
      </c>
      <c r="I21" s="87">
        <f t="shared" si="2"/>
        <v>2.7292043702638322</v>
      </c>
      <c r="J21" s="87">
        <f t="shared" si="3"/>
        <v>0.69883237759301919</v>
      </c>
      <c r="K21" s="120">
        <f t="shared" ref="K21:K84" si="6">J21*CH4_fraction*conv</f>
        <v>0.46588825172867943</v>
      </c>
      <c r="O21" s="116">
        <f>Amnt_Deposited!B16</f>
        <v>2002</v>
      </c>
      <c r="P21" s="119">
        <f>Amnt_Deposited!C16</f>
        <v>14.588616026160002</v>
      </c>
      <c r="Q21" s="319">
        <f>MCF!R20</f>
        <v>0.8</v>
      </c>
      <c r="R21" s="87">
        <f t="shared" si="4"/>
        <v>0.87531696156960015</v>
      </c>
      <c r="S21" s="87">
        <f t="shared" ref="S21:S84" si="7">R21*$W$12</f>
        <v>0.87531696156960015</v>
      </c>
      <c r="T21" s="87">
        <f t="shared" ref="T21:T84" si="8">R21*(1-$W$12)</f>
        <v>0</v>
      </c>
      <c r="U21" s="87">
        <f t="shared" ref="U21:U84" si="9">S21+U20*$W$10</f>
        <v>1.8259618891149634</v>
      </c>
      <c r="V21" s="87">
        <f t="shared" ref="V21:V84" si="10">U20*(1-$W$10)+T21</f>
        <v>0.46755065405420554</v>
      </c>
      <c r="W21" s="120">
        <f t="shared" ref="W21:W84" si="11">V21*CH4_fraction*conv</f>
        <v>0.31170043603613701</v>
      </c>
    </row>
    <row r="22" spans="2:23">
      <c r="B22" s="116">
        <f>Amnt_Deposited!B17</f>
        <v>2003</v>
      </c>
      <c r="C22" s="119">
        <f>Amnt_Deposited!C17</f>
        <v>15.055923470939998</v>
      </c>
      <c r="D22" s="453">
        <f>Dry_Matter_Content!C9</f>
        <v>0.59</v>
      </c>
      <c r="E22" s="319">
        <f>MCF!R21</f>
        <v>0.8</v>
      </c>
      <c r="F22" s="87">
        <f t="shared" si="5"/>
        <v>1.3502152168738992</v>
      </c>
      <c r="G22" s="87">
        <f t="shared" si="0"/>
        <v>1.3502152168738992</v>
      </c>
      <c r="H22" s="87">
        <f t="shared" si="1"/>
        <v>0</v>
      </c>
      <c r="I22" s="87">
        <f t="shared" si="2"/>
        <v>3.1796556159898195</v>
      </c>
      <c r="J22" s="87">
        <f t="shared" si="3"/>
        <v>0.89976397114791218</v>
      </c>
      <c r="K22" s="120">
        <f t="shared" si="6"/>
        <v>0.59984264743194138</v>
      </c>
      <c r="N22" s="290"/>
      <c r="O22" s="116">
        <f>Amnt_Deposited!B17</f>
        <v>2003</v>
      </c>
      <c r="P22" s="119">
        <f>Amnt_Deposited!C17</f>
        <v>15.055923470939998</v>
      </c>
      <c r="Q22" s="319">
        <f>MCF!R21</f>
        <v>0.8</v>
      </c>
      <c r="R22" s="87">
        <f t="shared" si="4"/>
        <v>0.90335540825639993</v>
      </c>
      <c r="S22" s="87">
        <f t="shared" si="7"/>
        <v>0.90335540825639993</v>
      </c>
      <c r="T22" s="87">
        <f t="shared" si="8"/>
        <v>0</v>
      </c>
      <c r="U22" s="87">
        <f t="shared" si="9"/>
        <v>2.1273342658272654</v>
      </c>
      <c r="V22" s="87">
        <f t="shared" si="10"/>
        <v>0.60198303154409816</v>
      </c>
      <c r="W22" s="120">
        <f t="shared" si="11"/>
        <v>0.40132202102939873</v>
      </c>
    </row>
    <row r="23" spans="2:23">
      <c r="B23" s="116">
        <f>Amnt_Deposited!B18</f>
        <v>2004</v>
      </c>
      <c r="C23" s="119">
        <f>Amnt_Deposited!C18</f>
        <v>15.230919074579999</v>
      </c>
      <c r="D23" s="453">
        <f>Dry_Matter_Content!C10</f>
        <v>0.59</v>
      </c>
      <c r="E23" s="319">
        <f>MCF!R22</f>
        <v>0.8</v>
      </c>
      <c r="F23" s="87">
        <f t="shared" si="5"/>
        <v>1.3659088226083345</v>
      </c>
      <c r="G23" s="87">
        <f t="shared" si="0"/>
        <v>1.3659088226083345</v>
      </c>
      <c r="H23" s="87">
        <f t="shared" si="1"/>
        <v>0</v>
      </c>
      <c r="I23" s="87">
        <f t="shared" si="2"/>
        <v>3.4972957214961093</v>
      </c>
      <c r="J23" s="87">
        <f t="shared" si="3"/>
        <v>1.0482687171020446</v>
      </c>
      <c r="K23" s="120">
        <f t="shared" si="6"/>
        <v>0.69884581140136304</v>
      </c>
      <c r="N23" s="290"/>
      <c r="O23" s="116">
        <f>Amnt_Deposited!B18</f>
        <v>2004</v>
      </c>
      <c r="P23" s="119">
        <f>Amnt_Deposited!C18</f>
        <v>15.230919074579999</v>
      </c>
      <c r="Q23" s="319">
        <f>MCF!R22</f>
        <v>0.8</v>
      </c>
      <c r="R23" s="87">
        <f t="shared" si="4"/>
        <v>0.91385514447479999</v>
      </c>
      <c r="S23" s="87">
        <f t="shared" si="7"/>
        <v>0.91385514447479999</v>
      </c>
      <c r="T23" s="87">
        <f t="shared" si="8"/>
        <v>0</v>
      </c>
      <c r="U23" s="87">
        <f t="shared" si="9"/>
        <v>2.3398499474773256</v>
      </c>
      <c r="V23" s="87">
        <f t="shared" si="10"/>
        <v>0.7013394628247398</v>
      </c>
      <c r="W23" s="120">
        <f t="shared" si="11"/>
        <v>0.46755964188315985</v>
      </c>
    </row>
    <row r="24" spans="2:23">
      <c r="B24" s="116">
        <f>Amnt_Deposited!B19</f>
        <v>2005</v>
      </c>
      <c r="C24" s="119">
        <f>Amnt_Deposited!C19</f>
        <v>15.654303320039999</v>
      </c>
      <c r="D24" s="453">
        <f>Dry_Matter_Content!C11</f>
        <v>0.59</v>
      </c>
      <c r="E24" s="319">
        <f>MCF!R23</f>
        <v>0.8</v>
      </c>
      <c r="F24" s="87">
        <f t="shared" si="5"/>
        <v>1.403877921741187</v>
      </c>
      <c r="G24" s="87">
        <f t="shared" si="0"/>
        <v>1.403877921741187</v>
      </c>
      <c r="H24" s="87">
        <f t="shared" si="1"/>
        <v>0</v>
      </c>
      <c r="I24" s="87">
        <f t="shared" si="2"/>
        <v>3.7481853507747034</v>
      </c>
      <c r="J24" s="87">
        <f t="shared" si="3"/>
        <v>1.1529882924625929</v>
      </c>
      <c r="K24" s="120">
        <f t="shared" si="6"/>
        <v>0.76865886164172859</v>
      </c>
      <c r="N24" s="290"/>
      <c r="O24" s="116">
        <f>Amnt_Deposited!B19</f>
        <v>2005</v>
      </c>
      <c r="P24" s="119">
        <f>Amnt_Deposited!C19</f>
        <v>15.654303320039999</v>
      </c>
      <c r="Q24" s="319">
        <f>MCF!R23</f>
        <v>0.8</v>
      </c>
      <c r="R24" s="87">
        <f t="shared" si="4"/>
        <v>0.93925819920239995</v>
      </c>
      <c r="S24" s="87">
        <f t="shared" si="7"/>
        <v>0.93925819920239995</v>
      </c>
      <c r="T24" s="87">
        <f t="shared" si="8"/>
        <v>0</v>
      </c>
      <c r="U24" s="87">
        <f t="shared" si="9"/>
        <v>2.5077065237118892</v>
      </c>
      <c r="V24" s="87">
        <f t="shared" si="10"/>
        <v>0.77140162296783643</v>
      </c>
      <c r="W24" s="120">
        <f t="shared" si="11"/>
        <v>0.51426774864522429</v>
      </c>
    </row>
    <row r="25" spans="2:23">
      <c r="B25" s="116">
        <f>Amnt_Deposited!B20</f>
        <v>2006</v>
      </c>
      <c r="C25" s="119">
        <f>Amnt_Deposited!C20</f>
        <v>15.834849657660001</v>
      </c>
      <c r="D25" s="453">
        <f>Dry_Matter_Content!C12</f>
        <v>0.59</v>
      </c>
      <c r="E25" s="319">
        <f>MCF!R24</f>
        <v>0.8</v>
      </c>
      <c r="F25" s="87">
        <f t="shared" si="5"/>
        <v>1.4200693172989491</v>
      </c>
      <c r="G25" s="87">
        <f t="shared" si="0"/>
        <v>1.4200693172989491</v>
      </c>
      <c r="H25" s="87">
        <f t="shared" si="1"/>
        <v>0</v>
      </c>
      <c r="I25" s="87">
        <f t="shared" si="2"/>
        <v>3.9325530941803573</v>
      </c>
      <c r="J25" s="87">
        <f t="shared" si="3"/>
        <v>1.2357015738932953</v>
      </c>
      <c r="K25" s="120">
        <f t="shared" si="6"/>
        <v>0.82380104926219677</v>
      </c>
      <c r="N25" s="290"/>
      <c r="O25" s="116">
        <f>Amnt_Deposited!B20</f>
        <v>2006</v>
      </c>
      <c r="P25" s="119">
        <f>Amnt_Deposited!C20</f>
        <v>15.834849657660001</v>
      </c>
      <c r="Q25" s="319">
        <f>MCF!R24</f>
        <v>0.8</v>
      </c>
      <c r="R25" s="87">
        <f t="shared" si="4"/>
        <v>0.95009097945959997</v>
      </c>
      <c r="S25" s="87">
        <f t="shared" si="7"/>
        <v>0.95009097945959997</v>
      </c>
      <c r="T25" s="87">
        <f t="shared" si="8"/>
        <v>0</v>
      </c>
      <c r="U25" s="87">
        <f t="shared" si="9"/>
        <v>2.6310569318780264</v>
      </c>
      <c r="V25" s="87">
        <f t="shared" si="10"/>
        <v>0.82674057129346257</v>
      </c>
      <c r="W25" s="120">
        <f t="shared" si="11"/>
        <v>0.55116038086230834</v>
      </c>
    </row>
    <row r="26" spans="2:23">
      <c r="B26" s="116">
        <f>Amnt_Deposited!B21</f>
        <v>2007</v>
      </c>
      <c r="C26" s="119">
        <f>Amnt_Deposited!C21</f>
        <v>16.010649715500001</v>
      </c>
      <c r="D26" s="453">
        <f>Dry_Matter_Content!C13</f>
        <v>0.59</v>
      </c>
      <c r="E26" s="319">
        <f>MCF!R25</f>
        <v>0.8</v>
      </c>
      <c r="F26" s="87">
        <f t="shared" si="5"/>
        <v>1.4358350664860402</v>
      </c>
      <c r="G26" s="87">
        <f t="shared" si="0"/>
        <v>1.4358350664860402</v>
      </c>
      <c r="H26" s="87">
        <f t="shared" si="1"/>
        <v>0</v>
      </c>
      <c r="I26" s="87">
        <f t="shared" si="2"/>
        <v>4.0719042376146133</v>
      </c>
      <c r="J26" s="87">
        <f t="shared" si="3"/>
        <v>1.2964839230517844</v>
      </c>
      <c r="K26" s="120">
        <f t="shared" si="6"/>
        <v>0.86432261536785626</v>
      </c>
      <c r="N26" s="290"/>
      <c r="O26" s="116">
        <f>Amnt_Deposited!B21</f>
        <v>2007</v>
      </c>
      <c r="P26" s="119">
        <f>Amnt_Deposited!C21</f>
        <v>16.010649715500001</v>
      </c>
      <c r="Q26" s="319">
        <f>MCF!R25</f>
        <v>0.8</v>
      </c>
      <c r="R26" s="87">
        <f t="shared" si="4"/>
        <v>0.96063898293000016</v>
      </c>
      <c r="S26" s="87">
        <f t="shared" si="7"/>
        <v>0.96063898293000016</v>
      </c>
      <c r="T26" s="87">
        <f t="shared" si="8"/>
        <v>0</v>
      </c>
      <c r="U26" s="87">
        <f t="shared" si="9"/>
        <v>2.7242891866288668</v>
      </c>
      <c r="V26" s="87">
        <f t="shared" si="10"/>
        <v>0.86740672817915976</v>
      </c>
      <c r="W26" s="120">
        <f t="shared" si="11"/>
        <v>0.5782711521194398</v>
      </c>
    </row>
    <row r="27" spans="2:23">
      <c r="B27" s="116">
        <f>Amnt_Deposited!B22</f>
        <v>2008</v>
      </c>
      <c r="C27" s="119">
        <f>Amnt_Deposited!C22</f>
        <v>16.179960509459999</v>
      </c>
      <c r="D27" s="453">
        <f>Dry_Matter_Content!C14</f>
        <v>0.59</v>
      </c>
      <c r="E27" s="319">
        <f>MCF!R26</f>
        <v>0.8</v>
      </c>
      <c r="F27" s="87">
        <f t="shared" si="5"/>
        <v>1.4510188584883725</v>
      </c>
      <c r="G27" s="87">
        <f t="shared" si="0"/>
        <v>1.4510188584883725</v>
      </c>
      <c r="H27" s="87">
        <f t="shared" si="1"/>
        <v>0</v>
      </c>
      <c r="I27" s="87">
        <f t="shared" si="2"/>
        <v>4.1804978944989148</v>
      </c>
      <c r="J27" s="87">
        <f t="shared" si="3"/>
        <v>1.3424252016040708</v>
      </c>
      <c r="K27" s="120">
        <f t="shared" si="6"/>
        <v>0.89495013440271376</v>
      </c>
      <c r="N27" s="290"/>
      <c r="O27" s="116">
        <f>Amnt_Deposited!B22</f>
        <v>2008</v>
      </c>
      <c r="P27" s="119">
        <f>Amnt_Deposited!C22</f>
        <v>16.179960509459999</v>
      </c>
      <c r="Q27" s="319">
        <f>MCF!R26</f>
        <v>0.8</v>
      </c>
      <c r="R27" s="87">
        <f t="shared" si="4"/>
        <v>0.97079763056759993</v>
      </c>
      <c r="S27" s="87">
        <f t="shared" si="7"/>
        <v>0.97079763056759993</v>
      </c>
      <c r="T27" s="87">
        <f t="shared" si="8"/>
        <v>0</v>
      </c>
      <c r="U27" s="87">
        <f t="shared" si="9"/>
        <v>2.7969432835630563</v>
      </c>
      <c r="V27" s="87">
        <f t="shared" si="10"/>
        <v>0.89814353363341037</v>
      </c>
      <c r="W27" s="120">
        <f t="shared" si="11"/>
        <v>0.59876235575560688</v>
      </c>
    </row>
    <row r="28" spans="2:23">
      <c r="B28" s="116">
        <f>Amnt_Deposited!B23</f>
        <v>2009</v>
      </c>
      <c r="C28" s="119">
        <f>Amnt_Deposited!C23</f>
        <v>16.340610013199999</v>
      </c>
      <c r="D28" s="453">
        <f>Dry_Matter_Content!C15</f>
        <v>0.59</v>
      </c>
      <c r="E28" s="319">
        <f>MCF!R27</f>
        <v>0.8</v>
      </c>
      <c r="F28" s="87">
        <f t="shared" si="5"/>
        <v>1.4654259059837758</v>
      </c>
      <c r="G28" s="87">
        <f t="shared" si="0"/>
        <v>1.4654259059837758</v>
      </c>
      <c r="H28" s="87">
        <f t="shared" si="1"/>
        <v>0</v>
      </c>
      <c r="I28" s="87">
        <f t="shared" si="2"/>
        <v>4.2676974470761815</v>
      </c>
      <c r="J28" s="87">
        <f t="shared" si="3"/>
        <v>1.3782263534065089</v>
      </c>
      <c r="K28" s="120">
        <f t="shared" si="6"/>
        <v>0.91881756893767252</v>
      </c>
      <c r="N28" s="290"/>
      <c r="O28" s="116">
        <f>Amnt_Deposited!B23</f>
        <v>2009</v>
      </c>
      <c r="P28" s="119">
        <f>Amnt_Deposited!C23</f>
        <v>16.340610013199999</v>
      </c>
      <c r="Q28" s="319">
        <f>MCF!R27</f>
        <v>0.8</v>
      </c>
      <c r="R28" s="87">
        <f t="shared" si="4"/>
        <v>0.9804366007919999</v>
      </c>
      <c r="S28" s="87">
        <f t="shared" si="7"/>
        <v>0.9804366007919999</v>
      </c>
      <c r="T28" s="87">
        <f t="shared" si="8"/>
        <v>0</v>
      </c>
      <c r="U28" s="87">
        <f t="shared" si="9"/>
        <v>2.8552837513890599</v>
      </c>
      <c r="V28" s="87">
        <f t="shared" si="10"/>
        <v>0.92209613296599624</v>
      </c>
      <c r="W28" s="120">
        <f t="shared" si="11"/>
        <v>0.61473075531066412</v>
      </c>
    </row>
    <row r="29" spans="2:23">
      <c r="B29" s="116">
        <f>Amnt_Deposited!B24</f>
        <v>2010</v>
      </c>
      <c r="C29" s="119">
        <f>Amnt_Deposited!C24</f>
        <v>19.508014350000003</v>
      </c>
      <c r="D29" s="453">
        <f>Dry_Matter_Content!C16</f>
        <v>0.59</v>
      </c>
      <c r="E29" s="319">
        <f>MCF!R28</f>
        <v>0.8</v>
      </c>
      <c r="F29" s="87">
        <f t="shared" si="5"/>
        <v>1.7494787269080003</v>
      </c>
      <c r="G29" s="87">
        <f t="shared" si="0"/>
        <v>1.7494787269080003</v>
      </c>
      <c r="H29" s="87">
        <f t="shared" si="1"/>
        <v>0</v>
      </c>
      <c r="I29" s="87">
        <f t="shared" si="2"/>
        <v>4.6102018760982872</v>
      </c>
      <c r="J29" s="87">
        <f t="shared" si="3"/>
        <v>1.406974297885895</v>
      </c>
      <c r="K29" s="120">
        <f t="shared" si="6"/>
        <v>0.93798286525726327</v>
      </c>
      <c r="O29" s="116">
        <f>Amnt_Deposited!B24</f>
        <v>2010</v>
      </c>
      <c r="P29" s="119">
        <f>Amnt_Deposited!C24</f>
        <v>19.508014350000003</v>
      </c>
      <c r="Q29" s="319">
        <f>MCF!R28</f>
        <v>0.8</v>
      </c>
      <c r="R29" s="87">
        <f t="shared" si="4"/>
        <v>1.1704808610000004</v>
      </c>
      <c r="S29" s="87">
        <f t="shared" si="7"/>
        <v>1.1704808610000004</v>
      </c>
      <c r="T29" s="87">
        <f t="shared" si="8"/>
        <v>0</v>
      </c>
      <c r="U29" s="87">
        <f t="shared" si="9"/>
        <v>3.0844347966759278</v>
      </c>
      <c r="V29" s="87">
        <f t="shared" si="10"/>
        <v>0.94132981571313235</v>
      </c>
      <c r="W29" s="120">
        <f t="shared" si="11"/>
        <v>0.62755321047542156</v>
      </c>
    </row>
    <row r="30" spans="2:23">
      <c r="B30" s="116">
        <f>Amnt_Deposited!B25</f>
        <v>2011</v>
      </c>
      <c r="C30" s="119">
        <f>Amnt_Deposited!C25</f>
        <v>20.29093599258</v>
      </c>
      <c r="D30" s="453">
        <f>Dry_Matter_Content!C17</f>
        <v>0.59</v>
      </c>
      <c r="E30" s="319">
        <f>MCF!R29</f>
        <v>0.8</v>
      </c>
      <c r="F30" s="87">
        <f t="shared" si="5"/>
        <v>1.8196911398145745</v>
      </c>
      <c r="G30" s="87">
        <f t="shared" si="0"/>
        <v>1.8196911398145745</v>
      </c>
      <c r="H30" s="87">
        <f t="shared" si="1"/>
        <v>0</v>
      </c>
      <c r="I30" s="87">
        <f t="shared" si="2"/>
        <v>4.9100018736343696</v>
      </c>
      <c r="J30" s="87">
        <f t="shared" si="3"/>
        <v>1.5198911422784926</v>
      </c>
      <c r="K30" s="120">
        <f t="shared" si="6"/>
        <v>1.013260761518995</v>
      </c>
      <c r="O30" s="116">
        <f>Amnt_Deposited!B25</f>
        <v>2011</v>
      </c>
      <c r="P30" s="119">
        <f>Amnt_Deposited!C25</f>
        <v>20.29093599258</v>
      </c>
      <c r="Q30" s="319">
        <f>MCF!R29</f>
        <v>0.8</v>
      </c>
      <c r="R30" s="87">
        <f t="shared" si="4"/>
        <v>1.2174561595547999</v>
      </c>
      <c r="S30" s="87">
        <f t="shared" si="7"/>
        <v>1.2174561595547999</v>
      </c>
      <c r="T30" s="87">
        <f t="shared" si="8"/>
        <v>0</v>
      </c>
      <c r="U30" s="87">
        <f t="shared" si="9"/>
        <v>3.2850146344565356</v>
      </c>
      <c r="V30" s="87">
        <f t="shared" si="10"/>
        <v>1.0168763217741921</v>
      </c>
      <c r="W30" s="120">
        <f t="shared" si="11"/>
        <v>0.67791754784946134</v>
      </c>
    </row>
    <row r="31" spans="2:23">
      <c r="B31" s="116">
        <f>Amnt_Deposited!B26</f>
        <v>2012</v>
      </c>
      <c r="C31" s="119">
        <f>Amnt_Deposited!C26</f>
        <v>20.511115107120002</v>
      </c>
      <c r="D31" s="453">
        <f>Dry_Matter_Content!C18</f>
        <v>0.59</v>
      </c>
      <c r="E31" s="319">
        <f>MCF!R30</f>
        <v>0.8</v>
      </c>
      <c r="F31" s="87">
        <f t="shared" si="5"/>
        <v>1.8394368028065218</v>
      </c>
      <c r="G31" s="87">
        <f t="shared" si="0"/>
        <v>1.8394368028065218</v>
      </c>
      <c r="H31" s="87">
        <f t="shared" si="1"/>
        <v>0</v>
      </c>
      <c r="I31" s="87">
        <f t="shared" si="2"/>
        <v>5.1307094847761876</v>
      </c>
      <c r="J31" s="87">
        <f t="shared" si="3"/>
        <v>1.6187291916647035</v>
      </c>
      <c r="K31" s="120">
        <f t="shared" si="6"/>
        <v>1.0791527944431356</v>
      </c>
      <c r="O31" s="116">
        <f>Amnt_Deposited!B26</f>
        <v>2012</v>
      </c>
      <c r="P31" s="119">
        <f>Amnt_Deposited!C26</f>
        <v>20.511115107120002</v>
      </c>
      <c r="Q31" s="319">
        <f>MCF!R30</f>
        <v>0.8</v>
      </c>
      <c r="R31" s="87">
        <f t="shared" si="4"/>
        <v>1.2306669064272002</v>
      </c>
      <c r="S31" s="87">
        <f t="shared" si="7"/>
        <v>1.2306669064272002</v>
      </c>
      <c r="T31" s="87">
        <f t="shared" si="8"/>
        <v>0</v>
      </c>
      <c r="U31" s="87">
        <f t="shared" si="9"/>
        <v>3.4326780674238542</v>
      </c>
      <c r="V31" s="87">
        <f t="shared" si="10"/>
        <v>1.0830034734598817</v>
      </c>
      <c r="W31" s="120">
        <f t="shared" si="11"/>
        <v>0.72200231563992112</v>
      </c>
    </row>
    <row r="32" spans="2:23">
      <c r="B32" s="116">
        <f>Amnt_Deposited!B27</f>
        <v>2013</v>
      </c>
      <c r="C32" s="119">
        <f>Amnt_Deposited!C27</f>
        <v>20.943026567099999</v>
      </c>
      <c r="D32" s="453">
        <f>Dry_Matter_Content!C19</f>
        <v>0.59</v>
      </c>
      <c r="E32" s="319">
        <f>MCF!R31</f>
        <v>0.8</v>
      </c>
      <c r="F32" s="87">
        <f t="shared" si="5"/>
        <v>1.8781706225375281</v>
      </c>
      <c r="G32" s="87">
        <f t="shared" si="0"/>
        <v>1.8781706225375281</v>
      </c>
      <c r="H32" s="87">
        <f t="shared" si="1"/>
        <v>0</v>
      </c>
      <c r="I32" s="87">
        <f t="shared" si="2"/>
        <v>5.3173880405681935</v>
      </c>
      <c r="J32" s="87">
        <f t="shared" si="3"/>
        <v>1.6914920667455222</v>
      </c>
      <c r="K32" s="120">
        <f t="shared" si="6"/>
        <v>1.1276613778303481</v>
      </c>
      <c r="O32" s="116">
        <f>Amnt_Deposited!B27</f>
        <v>2013</v>
      </c>
      <c r="P32" s="119">
        <f>Amnt_Deposited!C27</f>
        <v>20.943026567099999</v>
      </c>
      <c r="Q32" s="319">
        <f>MCF!R31</f>
        <v>0.8</v>
      </c>
      <c r="R32" s="87">
        <f t="shared" si="4"/>
        <v>1.2565815940259999</v>
      </c>
      <c r="S32" s="87">
        <f t="shared" si="7"/>
        <v>1.2565815940259999</v>
      </c>
      <c r="T32" s="87">
        <f t="shared" si="8"/>
        <v>0</v>
      </c>
      <c r="U32" s="87">
        <f t="shared" si="9"/>
        <v>3.5575745142070874</v>
      </c>
      <c r="V32" s="87">
        <f t="shared" si="10"/>
        <v>1.1316851472427667</v>
      </c>
      <c r="W32" s="120">
        <f t="shared" si="11"/>
        <v>0.7544567648285111</v>
      </c>
    </row>
    <row r="33" spans="2:23">
      <c r="B33" s="116">
        <f>Amnt_Deposited!B28</f>
        <v>2014</v>
      </c>
      <c r="C33" s="119">
        <f>Amnt_Deposited!C28</f>
        <v>21.37182747084</v>
      </c>
      <c r="D33" s="453">
        <f>Dry_Matter_Content!C20</f>
        <v>0.59</v>
      </c>
      <c r="E33" s="319">
        <f>MCF!R32</f>
        <v>0.8</v>
      </c>
      <c r="F33" s="87">
        <f t="shared" si="5"/>
        <v>1.9166254875849313</v>
      </c>
      <c r="G33" s="87">
        <f t="shared" si="0"/>
        <v>1.9166254875849313</v>
      </c>
      <c r="H33" s="87">
        <f t="shared" si="1"/>
        <v>0</v>
      </c>
      <c r="I33" s="87">
        <f t="shared" si="2"/>
        <v>5.4809772837279613</v>
      </c>
      <c r="J33" s="87">
        <f t="shared" si="3"/>
        <v>1.7530362444251639</v>
      </c>
      <c r="K33" s="120">
        <f t="shared" si="6"/>
        <v>1.168690829616776</v>
      </c>
      <c r="O33" s="116">
        <f>Amnt_Deposited!B28</f>
        <v>2014</v>
      </c>
      <c r="P33" s="119">
        <f>Amnt_Deposited!C28</f>
        <v>21.37182747084</v>
      </c>
      <c r="Q33" s="319">
        <f>MCF!R32</f>
        <v>0.8</v>
      </c>
      <c r="R33" s="87">
        <f t="shared" si="4"/>
        <v>1.2823096482503999</v>
      </c>
      <c r="S33" s="87">
        <f t="shared" si="7"/>
        <v>1.2823096482503999</v>
      </c>
      <c r="T33" s="87">
        <f t="shared" si="8"/>
        <v>0</v>
      </c>
      <c r="U33" s="87">
        <f t="shared" si="9"/>
        <v>3.6670231603889123</v>
      </c>
      <c r="V33" s="87">
        <f t="shared" si="10"/>
        <v>1.1728610020685752</v>
      </c>
      <c r="W33" s="120">
        <f t="shared" si="11"/>
        <v>0.78190733471238349</v>
      </c>
    </row>
    <row r="34" spans="2:23">
      <c r="B34" s="116">
        <f>Amnt_Deposited!B29</f>
        <v>2015</v>
      </c>
      <c r="C34" s="119">
        <f>Amnt_Deposited!C29</f>
        <v>21.789902318580001</v>
      </c>
      <c r="D34" s="453">
        <f>Dry_Matter_Content!C21</f>
        <v>0.59</v>
      </c>
      <c r="E34" s="319">
        <f>MCF!R33</f>
        <v>0.8</v>
      </c>
      <c r="F34" s="87">
        <f t="shared" si="5"/>
        <v>1.9541184399302545</v>
      </c>
      <c r="G34" s="87">
        <f t="shared" si="0"/>
        <v>1.9541184399302545</v>
      </c>
      <c r="H34" s="87">
        <f t="shared" si="1"/>
        <v>0</v>
      </c>
      <c r="I34" s="87">
        <f t="shared" si="2"/>
        <v>5.6281273850790745</v>
      </c>
      <c r="J34" s="87">
        <f t="shared" si="3"/>
        <v>1.8069683385791409</v>
      </c>
      <c r="K34" s="120">
        <f t="shared" si="6"/>
        <v>1.2046455590527605</v>
      </c>
      <c r="O34" s="116">
        <f>Amnt_Deposited!B29</f>
        <v>2015</v>
      </c>
      <c r="P34" s="119">
        <f>Amnt_Deposited!C29</f>
        <v>21.789902318580001</v>
      </c>
      <c r="Q34" s="319">
        <f>MCF!R33</f>
        <v>0.8</v>
      </c>
      <c r="R34" s="87">
        <f t="shared" si="4"/>
        <v>1.3073941391148001</v>
      </c>
      <c r="S34" s="87">
        <f t="shared" si="7"/>
        <v>1.3073941391148001</v>
      </c>
      <c r="T34" s="87">
        <f t="shared" si="8"/>
        <v>0</v>
      </c>
      <c r="U34" s="87">
        <f t="shared" si="9"/>
        <v>3.7654732728004512</v>
      </c>
      <c r="V34" s="87">
        <f t="shared" si="10"/>
        <v>1.208944026703261</v>
      </c>
      <c r="W34" s="120">
        <f t="shared" si="11"/>
        <v>0.80596268446884056</v>
      </c>
    </row>
    <row r="35" spans="2:23">
      <c r="B35" s="116">
        <f>Amnt_Deposited!B30</f>
        <v>2016</v>
      </c>
      <c r="C35" s="119">
        <f>Amnt_Deposited!C30</f>
        <v>22.211060907420002</v>
      </c>
      <c r="D35" s="453">
        <f>Dry_Matter_Content!C22</f>
        <v>0.59</v>
      </c>
      <c r="E35" s="319">
        <f>MCF!R34</f>
        <v>0.8</v>
      </c>
      <c r="F35" s="87">
        <f t="shared" si="5"/>
        <v>1.9918879421774258</v>
      </c>
      <c r="G35" s="87">
        <f t="shared" si="0"/>
        <v>1.9918879421774258</v>
      </c>
      <c r="H35" s="87">
        <f t="shared" si="1"/>
        <v>0</v>
      </c>
      <c r="I35" s="87">
        <f t="shared" si="2"/>
        <v>5.7645345500380731</v>
      </c>
      <c r="J35" s="87">
        <f t="shared" si="3"/>
        <v>1.855480777218427</v>
      </c>
      <c r="K35" s="120">
        <f t="shared" si="6"/>
        <v>1.2369871848122846</v>
      </c>
      <c r="O35" s="116">
        <f>Amnt_Deposited!B30</f>
        <v>2016</v>
      </c>
      <c r="P35" s="119">
        <f>Amnt_Deposited!C30</f>
        <v>22.211060907420002</v>
      </c>
      <c r="Q35" s="319">
        <f>MCF!R34</f>
        <v>0.8</v>
      </c>
      <c r="R35" s="87">
        <f t="shared" si="4"/>
        <v>1.3326636544452002</v>
      </c>
      <c r="S35" s="87">
        <f t="shared" si="7"/>
        <v>1.3326636544452002</v>
      </c>
      <c r="T35" s="87">
        <f t="shared" si="8"/>
        <v>0</v>
      </c>
      <c r="U35" s="87">
        <f t="shared" si="9"/>
        <v>3.8567358720147684</v>
      </c>
      <c r="V35" s="87">
        <f t="shared" si="10"/>
        <v>1.2414010552308832</v>
      </c>
      <c r="W35" s="120">
        <f t="shared" si="11"/>
        <v>0.82760070348725545</v>
      </c>
    </row>
    <row r="36" spans="2:23">
      <c r="B36" s="116">
        <f>Amnt_Deposited!B31</f>
        <v>2017</v>
      </c>
      <c r="C36" s="119">
        <f>Amnt_Deposited!C31</f>
        <v>22.736718096840001</v>
      </c>
      <c r="D36" s="453">
        <f>Dry_Matter_Content!C23</f>
        <v>0.59</v>
      </c>
      <c r="E36" s="319">
        <f>MCF!R35</f>
        <v>0.8</v>
      </c>
      <c r="F36" s="87">
        <f t="shared" si="5"/>
        <v>2.0390288789246114</v>
      </c>
      <c r="G36" s="87">
        <f t="shared" si="0"/>
        <v>2.0390288789246114</v>
      </c>
      <c r="H36" s="87">
        <f t="shared" si="1"/>
        <v>0</v>
      </c>
      <c r="I36" s="87">
        <f t="shared" si="2"/>
        <v>5.903111943880166</v>
      </c>
      <c r="J36" s="87">
        <f t="shared" si="3"/>
        <v>1.9004514850825185</v>
      </c>
      <c r="K36" s="120">
        <f t="shared" si="6"/>
        <v>1.266967656721679</v>
      </c>
      <c r="O36" s="116">
        <f>Amnt_Deposited!B31</f>
        <v>2017</v>
      </c>
      <c r="P36" s="119">
        <f>Amnt_Deposited!C31</f>
        <v>22.736718096840001</v>
      </c>
      <c r="Q36" s="319">
        <f>MCF!R35</f>
        <v>0.8</v>
      </c>
      <c r="R36" s="87">
        <f t="shared" si="4"/>
        <v>1.3642030858104002</v>
      </c>
      <c r="S36" s="87">
        <f t="shared" si="7"/>
        <v>1.3642030858104002</v>
      </c>
      <c r="T36" s="87">
        <f t="shared" si="8"/>
        <v>0</v>
      </c>
      <c r="U36" s="87">
        <f t="shared" si="9"/>
        <v>3.9494504530866417</v>
      </c>
      <c r="V36" s="87">
        <f t="shared" si="10"/>
        <v>1.2714885047385274</v>
      </c>
      <c r="W36" s="120">
        <f t="shared" si="11"/>
        <v>0.84765900315901821</v>
      </c>
    </row>
    <row r="37" spans="2:23">
      <c r="B37" s="116">
        <f>Amnt_Deposited!B32</f>
        <v>2018</v>
      </c>
      <c r="C37" s="119">
        <f>Amnt_Deposited!C32</f>
        <v>23.303751047280002</v>
      </c>
      <c r="D37" s="453">
        <f>Dry_Matter_Content!C24</f>
        <v>0.59</v>
      </c>
      <c r="E37" s="319">
        <f>MCF!R36</f>
        <v>0.8</v>
      </c>
      <c r="F37" s="87">
        <f t="shared" si="5"/>
        <v>2.0898803939200703</v>
      </c>
      <c r="G37" s="87">
        <f t="shared" si="0"/>
        <v>2.0898803939200703</v>
      </c>
      <c r="H37" s="87">
        <f t="shared" si="1"/>
        <v>0</v>
      </c>
      <c r="I37" s="87">
        <f t="shared" si="2"/>
        <v>6.0468546638953562</v>
      </c>
      <c r="J37" s="87">
        <f t="shared" si="3"/>
        <v>1.9461376739048808</v>
      </c>
      <c r="K37" s="120">
        <f t="shared" si="6"/>
        <v>1.297425115936587</v>
      </c>
      <c r="O37" s="116">
        <f>Amnt_Deposited!B32</f>
        <v>2018</v>
      </c>
      <c r="P37" s="119">
        <f>Amnt_Deposited!C32</f>
        <v>23.303751047280002</v>
      </c>
      <c r="Q37" s="319">
        <f>MCF!R36</f>
        <v>0.8</v>
      </c>
      <c r="R37" s="87">
        <f t="shared" si="4"/>
        <v>1.3982250628368003</v>
      </c>
      <c r="S37" s="87">
        <f t="shared" si="7"/>
        <v>1.3982250628368003</v>
      </c>
      <c r="T37" s="87">
        <f t="shared" si="8"/>
        <v>0</v>
      </c>
      <c r="U37" s="87">
        <f t="shared" si="9"/>
        <v>4.0456208723653146</v>
      </c>
      <c r="V37" s="87">
        <f t="shared" si="10"/>
        <v>1.3020546435581275</v>
      </c>
      <c r="W37" s="120">
        <f t="shared" si="11"/>
        <v>0.86803642903875167</v>
      </c>
    </row>
    <row r="38" spans="2:23">
      <c r="B38" s="116">
        <f>Amnt_Deposited!B33</f>
        <v>2019</v>
      </c>
      <c r="C38" s="119">
        <f>Amnt_Deposited!C33</f>
        <v>23.87078399772</v>
      </c>
      <c r="D38" s="453">
        <f>Dry_Matter_Content!C25</f>
        <v>0.59</v>
      </c>
      <c r="E38" s="319">
        <f>MCF!R37</f>
        <v>0.8</v>
      </c>
      <c r="F38" s="87">
        <f t="shared" si="5"/>
        <v>2.1407319089155297</v>
      </c>
      <c r="G38" s="87">
        <f t="shared" si="0"/>
        <v>2.1407319089155297</v>
      </c>
      <c r="H38" s="87">
        <f t="shared" si="1"/>
        <v>0</v>
      </c>
      <c r="I38" s="87">
        <f t="shared" si="2"/>
        <v>6.1940598055886849</v>
      </c>
      <c r="J38" s="87">
        <f t="shared" si="3"/>
        <v>1.9935267672222006</v>
      </c>
      <c r="K38" s="120">
        <f t="shared" si="6"/>
        <v>1.3290178448148002</v>
      </c>
      <c r="O38" s="116">
        <f>Amnt_Deposited!B33</f>
        <v>2019</v>
      </c>
      <c r="P38" s="119">
        <f>Amnt_Deposited!C33</f>
        <v>23.87078399772</v>
      </c>
      <c r="Q38" s="319">
        <f>MCF!R37</f>
        <v>0.8</v>
      </c>
      <c r="R38" s="87">
        <f t="shared" si="4"/>
        <v>1.4322470398632001</v>
      </c>
      <c r="S38" s="87">
        <f t="shared" si="7"/>
        <v>1.4322470398632001</v>
      </c>
      <c r="T38" s="87">
        <f t="shared" si="8"/>
        <v>0</v>
      </c>
      <c r="U38" s="87">
        <f t="shared" si="9"/>
        <v>4.1441078092698618</v>
      </c>
      <c r="V38" s="87">
        <f t="shared" si="10"/>
        <v>1.3337601029586537</v>
      </c>
      <c r="W38" s="120">
        <f t="shared" si="11"/>
        <v>0.88917340197243577</v>
      </c>
    </row>
    <row r="39" spans="2:23">
      <c r="B39" s="116">
        <f>Amnt_Deposited!B34</f>
        <v>2020</v>
      </c>
      <c r="C39" s="119">
        <f>Amnt_Deposited!C34</f>
        <v>24.437816948159998</v>
      </c>
      <c r="D39" s="453">
        <f>Dry_Matter_Content!C26</f>
        <v>0.59</v>
      </c>
      <c r="E39" s="319">
        <f>MCF!R38</f>
        <v>0.8</v>
      </c>
      <c r="F39" s="87">
        <f t="shared" si="5"/>
        <v>2.1915834239109886</v>
      </c>
      <c r="G39" s="87">
        <f t="shared" si="0"/>
        <v>2.1915834239109886</v>
      </c>
      <c r="H39" s="87">
        <f t="shared" si="1"/>
        <v>0</v>
      </c>
      <c r="I39" s="87">
        <f t="shared" si="2"/>
        <v>6.3435858779406988</v>
      </c>
      <c r="J39" s="87">
        <f t="shared" si="3"/>
        <v>2.0420573515589746</v>
      </c>
      <c r="K39" s="120">
        <f t="shared" si="6"/>
        <v>1.361371567705983</v>
      </c>
      <c r="O39" s="116">
        <f>Amnt_Deposited!B34</f>
        <v>2020</v>
      </c>
      <c r="P39" s="119">
        <f>Amnt_Deposited!C34</f>
        <v>24.437816948159998</v>
      </c>
      <c r="Q39" s="319">
        <f>MCF!R38</f>
        <v>0.8</v>
      </c>
      <c r="R39" s="87">
        <f t="shared" si="4"/>
        <v>1.4662690168896</v>
      </c>
      <c r="S39" s="87">
        <f t="shared" si="7"/>
        <v>1.4662690168896</v>
      </c>
      <c r="T39" s="87">
        <f t="shared" si="8"/>
        <v>0</v>
      </c>
      <c r="U39" s="87">
        <f t="shared" si="9"/>
        <v>4.2441475543760259</v>
      </c>
      <c r="V39" s="87">
        <f t="shared" si="10"/>
        <v>1.3662292717834357</v>
      </c>
      <c r="W39" s="120">
        <f t="shared" si="11"/>
        <v>0.91081951452229037</v>
      </c>
    </row>
    <row r="40" spans="2:23">
      <c r="B40" s="116">
        <f>Amnt_Deposited!B35</f>
        <v>2021</v>
      </c>
      <c r="C40" s="119">
        <f>Amnt_Deposited!C35</f>
        <v>25.0048498986</v>
      </c>
      <c r="D40" s="453">
        <f>Dry_Matter_Content!C27</f>
        <v>0.59</v>
      </c>
      <c r="E40" s="319">
        <f>MCF!R39</f>
        <v>0.8</v>
      </c>
      <c r="F40" s="87">
        <f t="shared" si="5"/>
        <v>2.2424349389064484</v>
      </c>
      <c r="G40" s="87">
        <f t="shared" si="0"/>
        <v>2.2424349389064484</v>
      </c>
      <c r="H40" s="87">
        <f t="shared" si="1"/>
        <v>0</v>
      </c>
      <c r="I40" s="87">
        <f t="shared" si="2"/>
        <v>6.4946677166386895</v>
      </c>
      <c r="J40" s="87">
        <f t="shared" si="3"/>
        <v>2.0913531002084582</v>
      </c>
      <c r="K40" s="120">
        <f t="shared" si="6"/>
        <v>1.3942354001389721</v>
      </c>
      <c r="O40" s="116">
        <f>Amnt_Deposited!B35</f>
        <v>2021</v>
      </c>
      <c r="P40" s="119">
        <f>Amnt_Deposited!C35</f>
        <v>25.0048498986</v>
      </c>
      <c r="Q40" s="319">
        <f>MCF!R39</f>
        <v>0.8</v>
      </c>
      <c r="R40" s="87">
        <f t="shared" si="4"/>
        <v>1.5002909939159998</v>
      </c>
      <c r="S40" s="87">
        <f t="shared" si="7"/>
        <v>1.5002909939159998</v>
      </c>
      <c r="T40" s="87">
        <f t="shared" si="8"/>
        <v>0</v>
      </c>
      <c r="U40" s="87">
        <f t="shared" si="9"/>
        <v>4.3452281779473836</v>
      </c>
      <c r="V40" s="87">
        <f t="shared" si="10"/>
        <v>1.3992103703446421</v>
      </c>
      <c r="W40" s="120">
        <f t="shared" si="11"/>
        <v>0.93280691356309475</v>
      </c>
    </row>
    <row r="41" spans="2:23">
      <c r="B41" s="116">
        <f>Amnt_Deposited!B36</f>
        <v>2022</v>
      </c>
      <c r="C41" s="119">
        <f>Amnt_Deposited!C36</f>
        <v>25.571882849040001</v>
      </c>
      <c r="D41" s="453">
        <f>Dry_Matter_Content!C28</f>
        <v>0.59</v>
      </c>
      <c r="E41" s="319">
        <f>MCF!R40</f>
        <v>0.8</v>
      </c>
      <c r="F41" s="87">
        <f t="shared" si="5"/>
        <v>2.2932864539019073</v>
      </c>
      <c r="G41" s="87">
        <f t="shared" si="0"/>
        <v>2.2932864539019073</v>
      </c>
      <c r="H41" s="87">
        <f t="shared" si="1"/>
        <v>0</v>
      </c>
      <c r="I41" s="87">
        <f t="shared" si="2"/>
        <v>6.6467924167053338</v>
      </c>
      <c r="J41" s="87">
        <f t="shared" si="3"/>
        <v>2.1411617538352625</v>
      </c>
      <c r="K41" s="120">
        <f t="shared" si="6"/>
        <v>1.4274411692235083</v>
      </c>
      <c r="O41" s="116">
        <f>Amnt_Deposited!B36</f>
        <v>2022</v>
      </c>
      <c r="P41" s="119">
        <f>Amnt_Deposited!C36</f>
        <v>25.571882849040001</v>
      </c>
      <c r="Q41" s="319">
        <f>MCF!R40</f>
        <v>0.8</v>
      </c>
      <c r="R41" s="87">
        <f t="shared" si="4"/>
        <v>1.5343129709424002</v>
      </c>
      <c r="S41" s="87">
        <f t="shared" si="7"/>
        <v>1.5343129709424002</v>
      </c>
      <c r="T41" s="87">
        <f t="shared" si="8"/>
        <v>0</v>
      </c>
      <c r="U41" s="87">
        <f t="shared" si="9"/>
        <v>4.4470065232194473</v>
      </c>
      <c r="V41" s="87">
        <f t="shared" si="10"/>
        <v>1.4325346256703362</v>
      </c>
      <c r="W41" s="120">
        <f t="shared" si="11"/>
        <v>0.95502308378022405</v>
      </c>
    </row>
    <row r="42" spans="2:23">
      <c r="B42" s="116">
        <f>Amnt_Deposited!B37</f>
        <v>2023</v>
      </c>
      <c r="C42" s="119">
        <f>Amnt_Deposited!C37</f>
        <v>26.138915799479999</v>
      </c>
      <c r="D42" s="453">
        <f>Dry_Matter_Content!C29</f>
        <v>0.59</v>
      </c>
      <c r="E42" s="319">
        <f>MCF!R41</f>
        <v>0.8</v>
      </c>
      <c r="F42" s="87">
        <f t="shared" si="5"/>
        <v>2.3441379688973663</v>
      </c>
      <c r="G42" s="87">
        <f t="shared" si="0"/>
        <v>2.3441379688973663</v>
      </c>
      <c r="H42" s="87">
        <f t="shared" si="1"/>
        <v>0</v>
      </c>
      <c r="I42" s="87">
        <f t="shared" si="2"/>
        <v>6.7996161676526246</v>
      </c>
      <c r="J42" s="87">
        <f t="shared" si="3"/>
        <v>2.191314217950076</v>
      </c>
      <c r="K42" s="120">
        <f t="shared" si="6"/>
        <v>1.4608761453000505</v>
      </c>
      <c r="O42" s="116">
        <f>Amnt_Deposited!B37</f>
        <v>2023</v>
      </c>
      <c r="P42" s="119">
        <f>Amnt_Deposited!C37</f>
        <v>26.138915799479999</v>
      </c>
      <c r="Q42" s="319">
        <f>MCF!R41</f>
        <v>0.8</v>
      </c>
      <c r="R42" s="87">
        <f t="shared" si="4"/>
        <v>1.5683349479688</v>
      </c>
      <c r="S42" s="87">
        <f t="shared" si="7"/>
        <v>1.5683349479688</v>
      </c>
      <c r="T42" s="87">
        <f t="shared" si="8"/>
        <v>0</v>
      </c>
      <c r="U42" s="87">
        <f t="shared" si="9"/>
        <v>4.549252565334049</v>
      </c>
      <c r="V42" s="87">
        <f t="shared" si="10"/>
        <v>1.466088905854199</v>
      </c>
      <c r="W42" s="120">
        <f t="shared" si="11"/>
        <v>0.97739260390279936</v>
      </c>
    </row>
    <row r="43" spans="2:23">
      <c r="B43" s="116">
        <f>Amnt_Deposited!B38</f>
        <v>2024</v>
      </c>
      <c r="C43" s="119">
        <f>Amnt_Deposited!C38</f>
        <v>26.705948749920001</v>
      </c>
      <c r="D43" s="453">
        <f>Dry_Matter_Content!C30</f>
        <v>0.59</v>
      </c>
      <c r="E43" s="319">
        <f>MCF!R42</f>
        <v>0.8</v>
      </c>
      <c r="F43" s="87">
        <f t="shared" si="5"/>
        <v>2.3949894838928256</v>
      </c>
      <c r="G43" s="87">
        <f t="shared" si="0"/>
        <v>2.3949894838928256</v>
      </c>
      <c r="H43" s="87">
        <f t="shared" si="1"/>
        <v>0</v>
      </c>
      <c r="I43" s="87">
        <f t="shared" si="2"/>
        <v>6.9529085064184102</v>
      </c>
      <c r="J43" s="87">
        <f t="shared" si="3"/>
        <v>2.24169714512704</v>
      </c>
      <c r="K43" s="120">
        <f t="shared" si="6"/>
        <v>1.4944647634180266</v>
      </c>
      <c r="O43" s="116">
        <f>Amnt_Deposited!B38</f>
        <v>2024</v>
      </c>
      <c r="P43" s="119">
        <f>Amnt_Deposited!C38</f>
        <v>26.705948749920001</v>
      </c>
      <c r="Q43" s="319">
        <f>MCF!R42</f>
        <v>0.8</v>
      </c>
      <c r="R43" s="87">
        <f t="shared" si="4"/>
        <v>1.6023569249952001</v>
      </c>
      <c r="S43" s="87">
        <f t="shared" si="7"/>
        <v>1.6023569249952001</v>
      </c>
      <c r="T43" s="87">
        <f t="shared" si="8"/>
        <v>0</v>
      </c>
      <c r="U43" s="87">
        <f t="shared" si="9"/>
        <v>4.6518121140176705</v>
      </c>
      <c r="V43" s="87">
        <f t="shared" si="10"/>
        <v>1.4997973763115791</v>
      </c>
      <c r="W43" s="120">
        <f t="shared" si="11"/>
        <v>0.99986491754105267</v>
      </c>
    </row>
    <row r="44" spans="2:23">
      <c r="B44" s="116">
        <f>Amnt_Deposited!B39</f>
        <v>2025</v>
      </c>
      <c r="C44" s="119">
        <f>Amnt_Deposited!C39</f>
        <v>27.272981700360003</v>
      </c>
      <c r="D44" s="453">
        <f>Dry_Matter_Content!C31</f>
        <v>0.59</v>
      </c>
      <c r="E44" s="319">
        <f>MCF!R43</f>
        <v>0.8</v>
      </c>
      <c r="F44" s="87">
        <f t="shared" si="5"/>
        <v>2.445840998888285</v>
      </c>
      <c r="G44" s="87">
        <f t="shared" si="0"/>
        <v>2.445840998888285</v>
      </c>
      <c r="H44" s="87">
        <f t="shared" si="1"/>
        <v>0</v>
      </c>
      <c r="I44" s="87">
        <f t="shared" si="2"/>
        <v>7.1065149489922614</v>
      </c>
      <c r="J44" s="87">
        <f t="shared" si="3"/>
        <v>2.2922345563144333</v>
      </c>
      <c r="K44" s="120">
        <f t="shared" si="6"/>
        <v>1.5281563708762889</v>
      </c>
      <c r="O44" s="116">
        <f>Amnt_Deposited!B39</f>
        <v>2025</v>
      </c>
      <c r="P44" s="119">
        <f>Amnt_Deposited!C39</f>
        <v>27.272981700360003</v>
      </c>
      <c r="Q44" s="319">
        <f>MCF!R43</f>
        <v>0.8</v>
      </c>
      <c r="R44" s="87">
        <f t="shared" si="4"/>
        <v>1.6363789020216002</v>
      </c>
      <c r="S44" s="87">
        <f t="shared" si="7"/>
        <v>1.6363789020216002</v>
      </c>
      <c r="T44" s="87">
        <f t="shared" si="8"/>
        <v>0</v>
      </c>
      <c r="U44" s="87">
        <f t="shared" si="9"/>
        <v>4.7545818124390697</v>
      </c>
      <c r="V44" s="87">
        <f t="shared" si="10"/>
        <v>1.5336092036002009</v>
      </c>
      <c r="W44" s="120">
        <f t="shared" si="11"/>
        <v>1.0224061357334673</v>
      </c>
    </row>
    <row r="45" spans="2:23">
      <c r="B45" s="116">
        <f>Amnt_Deposited!B40</f>
        <v>2026</v>
      </c>
      <c r="C45" s="119">
        <f>Amnt_Deposited!C40</f>
        <v>27.840014650800001</v>
      </c>
      <c r="D45" s="453">
        <f>Dry_Matter_Content!C32</f>
        <v>0.59</v>
      </c>
      <c r="E45" s="319">
        <f>MCF!R44</f>
        <v>0.8</v>
      </c>
      <c r="F45" s="87">
        <f t="shared" si="5"/>
        <v>2.4966925138837439</v>
      </c>
      <c r="G45" s="87">
        <f t="shared" si="0"/>
        <v>2.4966925138837439</v>
      </c>
      <c r="H45" s="87">
        <f t="shared" si="1"/>
        <v>0</v>
      </c>
      <c r="I45" s="87">
        <f t="shared" si="2"/>
        <v>7.2603319416451955</v>
      </c>
      <c r="J45" s="87">
        <f t="shared" si="3"/>
        <v>2.3428755212308099</v>
      </c>
      <c r="K45" s="120">
        <f t="shared" si="6"/>
        <v>1.5619170141538732</v>
      </c>
      <c r="O45" s="116">
        <f>Amnt_Deposited!B40</f>
        <v>2026</v>
      </c>
      <c r="P45" s="119">
        <f>Amnt_Deposited!C40</f>
        <v>27.840014650800001</v>
      </c>
      <c r="Q45" s="319">
        <f>MCF!R44</f>
        <v>0.8</v>
      </c>
      <c r="R45" s="87">
        <f t="shared" si="4"/>
        <v>1.6704008790480001</v>
      </c>
      <c r="S45" s="87">
        <f t="shared" si="7"/>
        <v>1.6704008790480001</v>
      </c>
      <c r="T45" s="87">
        <f t="shared" si="8"/>
        <v>0</v>
      </c>
      <c r="U45" s="87">
        <f t="shared" si="9"/>
        <v>4.8574923784423714</v>
      </c>
      <c r="V45" s="87">
        <f t="shared" si="10"/>
        <v>1.5674903130446991</v>
      </c>
      <c r="W45" s="120">
        <f t="shared" si="11"/>
        <v>1.0449935420297993</v>
      </c>
    </row>
    <row r="46" spans="2:23">
      <c r="B46" s="116">
        <f>Amnt_Deposited!B41</f>
        <v>2027</v>
      </c>
      <c r="C46" s="119">
        <f>Amnt_Deposited!C41</f>
        <v>28.407047601239999</v>
      </c>
      <c r="D46" s="453">
        <f>Dry_Matter_Content!C33</f>
        <v>0.59</v>
      </c>
      <c r="E46" s="319">
        <f>MCF!R45</f>
        <v>0.8</v>
      </c>
      <c r="F46" s="87">
        <f t="shared" si="5"/>
        <v>2.5475440288792033</v>
      </c>
      <c r="G46" s="87">
        <f t="shared" si="0"/>
        <v>2.5475440288792033</v>
      </c>
      <c r="H46" s="87">
        <f t="shared" si="1"/>
        <v>0</v>
      </c>
      <c r="I46" s="87">
        <f t="shared" si="2"/>
        <v>7.4142900702368335</v>
      </c>
      <c r="J46" s="87">
        <f t="shared" si="3"/>
        <v>2.3935859002875652</v>
      </c>
      <c r="K46" s="120">
        <f t="shared" si="6"/>
        <v>1.5957239335250435</v>
      </c>
      <c r="O46" s="116">
        <f>Amnt_Deposited!B41</f>
        <v>2027</v>
      </c>
      <c r="P46" s="119">
        <f>Amnt_Deposited!C41</f>
        <v>28.407047601239999</v>
      </c>
      <c r="Q46" s="319">
        <f>MCF!R45</f>
        <v>0.8</v>
      </c>
      <c r="R46" s="87">
        <f t="shared" si="4"/>
        <v>1.7044228560743999</v>
      </c>
      <c r="S46" s="87">
        <f t="shared" si="7"/>
        <v>1.7044228560743999</v>
      </c>
      <c r="T46" s="87">
        <f t="shared" si="8"/>
        <v>0</v>
      </c>
      <c r="U46" s="87">
        <f t="shared" si="9"/>
        <v>4.9604973708096569</v>
      </c>
      <c r="V46" s="87">
        <f t="shared" si="10"/>
        <v>1.6014178637071139</v>
      </c>
      <c r="W46" s="120">
        <f t="shared" si="11"/>
        <v>1.0676119091380758</v>
      </c>
    </row>
    <row r="47" spans="2:23">
      <c r="B47" s="116">
        <f>Amnt_Deposited!B42</f>
        <v>2028</v>
      </c>
      <c r="C47" s="119">
        <f>Amnt_Deposited!C42</f>
        <v>28.974080551680004</v>
      </c>
      <c r="D47" s="453">
        <f>Dry_Matter_Content!C34</f>
        <v>0.59</v>
      </c>
      <c r="E47" s="319">
        <f>MCF!R46</f>
        <v>0.8</v>
      </c>
      <c r="F47" s="87">
        <f t="shared" si="5"/>
        <v>2.5983955438746626</v>
      </c>
      <c r="G47" s="87">
        <f t="shared" si="0"/>
        <v>2.5983955438746626</v>
      </c>
      <c r="H47" s="87">
        <f t="shared" si="1"/>
        <v>0</v>
      </c>
      <c r="I47" s="87">
        <f t="shared" si="2"/>
        <v>7.5683428050774006</v>
      </c>
      <c r="J47" s="87">
        <f t="shared" si="3"/>
        <v>2.4443428090340955</v>
      </c>
      <c r="K47" s="120">
        <f t="shared" si="6"/>
        <v>1.629561872689397</v>
      </c>
      <c r="O47" s="116">
        <f>Amnt_Deposited!B42</f>
        <v>2028</v>
      </c>
      <c r="P47" s="119">
        <f>Amnt_Deposited!C42</f>
        <v>28.974080551680004</v>
      </c>
      <c r="Q47" s="319">
        <f>MCF!R46</f>
        <v>0.8</v>
      </c>
      <c r="R47" s="87">
        <f t="shared" si="4"/>
        <v>1.7384448331008002</v>
      </c>
      <c r="S47" s="87">
        <f t="shared" si="7"/>
        <v>1.7384448331008002</v>
      </c>
      <c r="T47" s="87">
        <f t="shared" si="8"/>
        <v>0</v>
      </c>
      <c r="U47" s="87">
        <f t="shared" si="9"/>
        <v>5.0635656590615969</v>
      </c>
      <c r="V47" s="87">
        <f t="shared" si="10"/>
        <v>1.6353765448488597</v>
      </c>
      <c r="W47" s="120">
        <f t="shared" si="11"/>
        <v>1.0902510298992398</v>
      </c>
    </row>
    <row r="48" spans="2:23">
      <c r="B48" s="116">
        <f>Amnt_Deposited!B43</f>
        <v>2029</v>
      </c>
      <c r="C48" s="119">
        <f>Amnt_Deposited!C43</f>
        <v>29.541113502120005</v>
      </c>
      <c r="D48" s="453">
        <f>Dry_Matter_Content!C35</f>
        <v>0.59</v>
      </c>
      <c r="E48" s="319">
        <f>MCF!R47</f>
        <v>0.8</v>
      </c>
      <c r="F48" s="87">
        <f t="shared" si="5"/>
        <v>2.649247058870122</v>
      </c>
      <c r="G48" s="87">
        <f t="shared" si="0"/>
        <v>2.649247058870122</v>
      </c>
      <c r="H48" s="87">
        <f t="shared" si="1"/>
        <v>0</v>
      </c>
      <c r="I48" s="87">
        <f t="shared" si="2"/>
        <v>7.7224589563831048</v>
      </c>
      <c r="J48" s="87">
        <f t="shared" si="3"/>
        <v>2.4951309075644179</v>
      </c>
      <c r="K48" s="120">
        <f t="shared" si="6"/>
        <v>1.6634206050429452</v>
      </c>
      <c r="O48" s="116">
        <f>Amnt_Deposited!B43</f>
        <v>2029</v>
      </c>
      <c r="P48" s="119">
        <f>Amnt_Deposited!C43</f>
        <v>29.541113502120005</v>
      </c>
      <c r="Q48" s="319">
        <f>MCF!R47</f>
        <v>0.8</v>
      </c>
      <c r="R48" s="87">
        <f t="shared" si="4"/>
        <v>1.7724668101272003</v>
      </c>
      <c r="S48" s="87">
        <f t="shared" si="7"/>
        <v>1.7724668101272003</v>
      </c>
      <c r="T48" s="87">
        <f t="shared" si="8"/>
        <v>0</v>
      </c>
      <c r="U48" s="87">
        <f t="shared" si="9"/>
        <v>5.1666763758138528</v>
      </c>
      <c r="V48" s="87">
        <f t="shared" si="10"/>
        <v>1.6693560933749449</v>
      </c>
      <c r="W48" s="120">
        <f t="shared" si="11"/>
        <v>1.1129040622499633</v>
      </c>
    </row>
    <row r="49" spans="2:23">
      <c r="B49" s="116">
        <f>Amnt_Deposited!B44</f>
        <v>2030</v>
      </c>
      <c r="C49" s="119">
        <f>Amnt_Deposited!C44</f>
        <v>30.108146452560003</v>
      </c>
      <c r="D49" s="453">
        <f>Dry_Matter_Content!C36</f>
        <v>0.59</v>
      </c>
      <c r="E49" s="319">
        <f>MCF!R48</f>
        <v>0.8</v>
      </c>
      <c r="F49" s="87">
        <f t="shared" si="5"/>
        <v>2.7000985738655809</v>
      </c>
      <c r="G49" s="87">
        <f t="shared" si="0"/>
        <v>2.7000985738655809</v>
      </c>
      <c r="H49" s="87">
        <f t="shared" si="1"/>
        <v>0</v>
      </c>
      <c r="I49" s="87">
        <f t="shared" si="2"/>
        <v>7.8766176170166382</v>
      </c>
      <c r="J49" s="87">
        <f t="shared" si="3"/>
        <v>2.5459399132320466</v>
      </c>
      <c r="K49" s="120">
        <f t="shared" si="6"/>
        <v>1.697293275488031</v>
      </c>
      <c r="O49" s="116">
        <f>Amnt_Deposited!B44</f>
        <v>2030</v>
      </c>
      <c r="P49" s="119">
        <f>Amnt_Deposited!C44</f>
        <v>30.108146452560003</v>
      </c>
      <c r="Q49" s="319">
        <f>MCF!R48</f>
        <v>0.8</v>
      </c>
      <c r="R49" s="87">
        <f t="shared" si="4"/>
        <v>1.8064887871536002</v>
      </c>
      <c r="S49" s="87">
        <f t="shared" si="7"/>
        <v>1.8064887871536002</v>
      </c>
      <c r="T49" s="87">
        <f t="shared" si="8"/>
        <v>0</v>
      </c>
      <c r="U49" s="87">
        <f t="shared" si="9"/>
        <v>5.2698155332403918</v>
      </c>
      <c r="V49" s="87">
        <f t="shared" si="10"/>
        <v>1.7033496297270607</v>
      </c>
      <c r="W49" s="120">
        <f t="shared" si="11"/>
        <v>1.1355664198180404</v>
      </c>
    </row>
    <row r="50" spans="2:23">
      <c r="B50" s="116">
        <f>Amnt_Deposited!B45</f>
        <v>2031</v>
      </c>
      <c r="C50" s="119">
        <f>Amnt_Deposited!C45</f>
        <v>0</v>
      </c>
      <c r="D50" s="453">
        <f>Dry_Matter_Content!C37</f>
        <v>0.59</v>
      </c>
      <c r="E50" s="319">
        <f>MCF!R49</f>
        <v>0.8</v>
      </c>
      <c r="F50" s="87">
        <f t="shared" si="5"/>
        <v>0</v>
      </c>
      <c r="G50" s="87">
        <f t="shared" si="0"/>
        <v>0</v>
      </c>
      <c r="H50" s="87">
        <f t="shared" si="1"/>
        <v>0</v>
      </c>
      <c r="I50" s="87">
        <f t="shared" si="2"/>
        <v>5.2798546836437206</v>
      </c>
      <c r="J50" s="87">
        <f t="shared" si="3"/>
        <v>2.5967629333729176</v>
      </c>
      <c r="K50" s="120">
        <f t="shared" si="6"/>
        <v>1.7311752889152783</v>
      </c>
      <c r="O50" s="116">
        <f>Amnt_Deposited!B45</f>
        <v>2031</v>
      </c>
      <c r="P50" s="119">
        <f>Amnt_Deposited!C45</f>
        <v>0</v>
      </c>
      <c r="Q50" s="319">
        <f>MCF!R49</f>
        <v>0.8</v>
      </c>
      <c r="R50" s="87">
        <f t="shared" si="4"/>
        <v>0</v>
      </c>
      <c r="S50" s="87">
        <f t="shared" si="7"/>
        <v>0</v>
      </c>
      <c r="T50" s="87">
        <f t="shared" si="8"/>
        <v>0</v>
      </c>
      <c r="U50" s="87">
        <f t="shared" si="9"/>
        <v>3.5324629908410268</v>
      </c>
      <c r="V50" s="87">
        <f t="shared" si="10"/>
        <v>1.7373525423993652</v>
      </c>
      <c r="W50" s="120">
        <f t="shared" si="11"/>
        <v>1.1582350282662435</v>
      </c>
    </row>
    <row r="51" spans="2:23">
      <c r="B51" s="116">
        <f>Amnt_Deposited!B46</f>
        <v>2032</v>
      </c>
      <c r="C51" s="119">
        <f>Amnt_Deposited!C46</f>
        <v>0</v>
      </c>
      <c r="D51" s="453">
        <f>Dry_Matter_Content!C38</f>
        <v>0.59</v>
      </c>
      <c r="E51" s="319">
        <f>MCF!R50</f>
        <v>0.8</v>
      </c>
      <c r="F51" s="87">
        <f t="shared" ref="F51:F82" si="12">C51*D51*$K$6*DOCF*E51</f>
        <v>0</v>
      </c>
      <c r="G51" s="87">
        <f t="shared" ref="G51:G82" si="13">F51*$K$12</f>
        <v>0</v>
      </c>
      <c r="H51" s="87">
        <f t="shared" ref="H51:H82" si="14">F51*(1-$K$12)</f>
        <v>0</v>
      </c>
      <c r="I51" s="87">
        <f t="shared" ref="I51:I82" si="15">G51+I50*$K$10</f>
        <v>3.5391924346015449</v>
      </c>
      <c r="J51" s="87">
        <f t="shared" ref="J51:J82" si="16">I50*(1-$K$10)+H51</f>
        <v>1.7406622490421759</v>
      </c>
      <c r="K51" s="120">
        <f t="shared" si="6"/>
        <v>1.1604414993614505</v>
      </c>
      <c r="O51" s="116">
        <f>Amnt_Deposited!B46</f>
        <v>2032</v>
      </c>
      <c r="P51" s="119">
        <f>Amnt_Deposited!C46</f>
        <v>0</v>
      </c>
      <c r="Q51" s="319">
        <f>MCF!R50</f>
        <v>0.8</v>
      </c>
      <c r="R51" s="87">
        <f t="shared" ref="R51:R82" si="17">P51*$W$6*DOCF*Q51</f>
        <v>0</v>
      </c>
      <c r="S51" s="87">
        <f t="shared" si="7"/>
        <v>0</v>
      </c>
      <c r="T51" s="87">
        <f t="shared" si="8"/>
        <v>0</v>
      </c>
      <c r="U51" s="87">
        <f t="shared" si="9"/>
        <v>2.3678807546397493</v>
      </c>
      <c r="V51" s="87">
        <f t="shared" si="10"/>
        <v>1.1645822362012774</v>
      </c>
      <c r="W51" s="120">
        <f t="shared" si="11"/>
        <v>0.77638815746751821</v>
      </c>
    </row>
    <row r="52" spans="2:23">
      <c r="B52" s="116">
        <f>Amnt_Deposited!B47</f>
        <v>2033</v>
      </c>
      <c r="C52" s="119">
        <f>Amnt_Deposited!C47</f>
        <v>0</v>
      </c>
      <c r="D52" s="453">
        <f>Dry_Matter_Content!C39</f>
        <v>0.59</v>
      </c>
      <c r="E52" s="319">
        <f>MCF!R51</f>
        <v>0.8</v>
      </c>
      <c r="F52" s="87">
        <f t="shared" si="12"/>
        <v>0</v>
      </c>
      <c r="G52" s="87">
        <f t="shared" si="13"/>
        <v>0</v>
      </c>
      <c r="H52" s="87">
        <f t="shared" si="14"/>
        <v>0</v>
      </c>
      <c r="I52" s="87">
        <f t="shared" si="15"/>
        <v>2.3723916356910939</v>
      </c>
      <c r="J52" s="87">
        <f t="shared" si="16"/>
        <v>1.166800798910451</v>
      </c>
      <c r="K52" s="120">
        <f t="shared" si="6"/>
        <v>0.7778671992736339</v>
      </c>
      <c r="O52" s="116">
        <f>Amnt_Deposited!B47</f>
        <v>2033</v>
      </c>
      <c r="P52" s="119">
        <f>Amnt_Deposited!C47</f>
        <v>0</v>
      </c>
      <c r="Q52" s="319">
        <f>MCF!R51</f>
        <v>0.8</v>
      </c>
      <c r="R52" s="87">
        <f t="shared" si="17"/>
        <v>0</v>
      </c>
      <c r="S52" s="87">
        <f t="shared" si="7"/>
        <v>0</v>
      </c>
      <c r="T52" s="87">
        <f t="shared" si="8"/>
        <v>0</v>
      </c>
      <c r="U52" s="87">
        <f t="shared" si="9"/>
        <v>1.5872379364570213</v>
      </c>
      <c r="V52" s="87">
        <f t="shared" si="10"/>
        <v>0.78064281818272818</v>
      </c>
      <c r="W52" s="120">
        <f t="shared" si="11"/>
        <v>0.52042854545515205</v>
      </c>
    </row>
    <row r="53" spans="2:23">
      <c r="B53" s="116">
        <f>Amnt_Deposited!B48</f>
        <v>2034</v>
      </c>
      <c r="C53" s="119">
        <f>Amnt_Deposited!C48</f>
        <v>0</v>
      </c>
      <c r="D53" s="453">
        <f>Dry_Matter_Content!C40</f>
        <v>0.59</v>
      </c>
      <c r="E53" s="319">
        <f>MCF!R52</f>
        <v>0.8</v>
      </c>
      <c r="F53" s="87">
        <f t="shared" si="12"/>
        <v>0</v>
      </c>
      <c r="G53" s="87">
        <f t="shared" si="13"/>
        <v>0</v>
      </c>
      <c r="H53" s="87">
        <f t="shared" si="14"/>
        <v>0</v>
      </c>
      <c r="I53" s="87">
        <f t="shared" si="15"/>
        <v>1.5902616704510197</v>
      </c>
      <c r="J53" s="87">
        <f t="shared" si="16"/>
        <v>0.78212996524007417</v>
      </c>
      <c r="K53" s="120">
        <f t="shared" si="6"/>
        <v>0.52141997682671604</v>
      </c>
      <c r="O53" s="116">
        <f>Amnt_Deposited!B48</f>
        <v>2034</v>
      </c>
      <c r="P53" s="119">
        <f>Amnt_Deposited!C48</f>
        <v>0</v>
      </c>
      <c r="Q53" s="319">
        <f>MCF!R52</f>
        <v>0.8</v>
      </c>
      <c r="R53" s="87">
        <f t="shared" si="17"/>
        <v>0</v>
      </c>
      <c r="S53" s="87">
        <f t="shared" si="7"/>
        <v>0</v>
      </c>
      <c r="T53" s="87">
        <f t="shared" si="8"/>
        <v>0</v>
      </c>
      <c r="U53" s="87">
        <f t="shared" si="9"/>
        <v>1.0639574066353836</v>
      </c>
      <c r="V53" s="87">
        <f t="shared" si="10"/>
        <v>0.52328052982163764</v>
      </c>
      <c r="W53" s="120">
        <f t="shared" si="11"/>
        <v>0.34885368654775839</v>
      </c>
    </row>
    <row r="54" spans="2:23">
      <c r="B54" s="116">
        <f>Amnt_Deposited!B49</f>
        <v>2035</v>
      </c>
      <c r="C54" s="119">
        <f>Amnt_Deposited!C49</f>
        <v>0</v>
      </c>
      <c r="D54" s="453">
        <f>Dry_Matter_Content!C41</f>
        <v>0.59</v>
      </c>
      <c r="E54" s="319">
        <f>MCF!R53</f>
        <v>0.8</v>
      </c>
      <c r="F54" s="87">
        <f t="shared" si="12"/>
        <v>0</v>
      </c>
      <c r="G54" s="87">
        <f t="shared" si="13"/>
        <v>0</v>
      </c>
      <c r="H54" s="87">
        <f t="shared" si="14"/>
        <v>0</v>
      </c>
      <c r="I54" s="87">
        <f t="shared" si="15"/>
        <v>1.0659842761454403</v>
      </c>
      <c r="J54" s="87">
        <f t="shared" si="16"/>
        <v>0.52427739430557951</v>
      </c>
      <c r="K54" s="120">
        <f t="shared" si="6"/>
        <v>0.34951826287038634</v>
      </c>
      <c r="O54" s="116">
        <f>Amnt_Deposited!B49</f>
        <v>2035</v>
      </c>
      <c r="P54" s="119">
        <f>Amnt_Deposited!C49</f>
        <v>0</v>
      </c>
      <c r="Q54" s="319">
        <f>MCF!R53</f>
        <v>0.8</v>
      </c>
      <c r="R54" s="87">
        <f t="shared" si="17"/>
        <v>0</v>
      </c>
      <c r="S54" s="87">
        <f t="shared" si="7"/>
        <v>0</v>
      </c>
      <c r="T54" s="87">
        <f t="shared" si="8"/>
        <v>0</v>
      </c>
      <c r="U54" s="87">
        <f t="shared" si="9"/>
        <v>0.7131919777957898</v>
      </c>
      <c r="V54" s="87">
        <f t="shared" si="10"/>
        <v>0.35076542883959383</v>
      </c>
      <c r="W54" s="120">
        <f t="shared" si="11"/>
        <v>0.23384361922639588</v>
      </c>
    </row>
    <row r="55" spans="2:23">
      <c r="B55" s="116">
        <f>Amnt_Deposited!B50</f>
        <v>2036</v>
      </c>
      <c r="C55" s="119">
        <f>Amnt_Deposited!C50</f>
        <v>0</v>
      </c>
      <c r="D55" s="453">
        <f>Dry_Matter_Content!C42</f>
        <v>0.59</v>
      </c>
      <c r="E55" s="319">
        <f>MCF!R54</f>
        <v>0.8</v>
      </c>
      <c r="F55" s="87">
        <f t="shared" si="12"/>
        <v>0</v>
      </c>
      <c r="G55" s="87">
        <f t="shared" si="13"/>
        <v>0</v>
      </c>
      <c r="H55" s="87">
        <f t="shared" si="14"/>
        <v>0</v>
      </c>
      <c r="I55" s="87">
        <f t="shared" si="15"/>
        <v>0.71455062905907918</v>
      </c>
      <c r="J55" s="87">
        <f t="shared" si="16"/>
        <v>0.3514336470863611</v>
      </c>
      <c r="K55" s="120">
        <f t="shared" si="6"/>
        <v>0.23428909805757406</v>
      </c>
      <c r="O55" s="116">
        <f>Amnt_Deposited!B50</f>
        <v>2036</v>
      </c>
      <c r="P55" s="119">
        <f>Amnt_Deposited!C50</f>
        <v>0</v>
      </c>
      <c r="Q55" s="319">
        <f>MCF!R54</f>
        <v>0.8</v>
      </c>
      <c r="R55" s="87">
        <f t="shared" si="17"/>
        <v>0</v>
      </c>
      <c r="S55" s="87">
        <f t="shared" si="7"/>
        <v>0</v>
      </c>
      <c r="T55" s="87">
        <f t="shared" si="8"/>
        <v>0</v>
      </c>
      <c r="U55" s="87">
        <f t="shared" si="9"/>
        <v>0.47806687938832249</v>
      </c>
      <c r="V55" s="87">
        <f t="shared" si="10"/>
        <v>0.23512509840746731</v>
      </c>
      <c r="W55" s="120">
        <f t="shared" si="11"/>
        <v>0.1567500656049782</v>
      </c>
    </row>
    <row r="56" spans="2:23">
      <c r="B56" s="116">
        <f>Amnt_Deposited!B51</f>
        <v>2037</v>
      </c>
      <c r="C56" s="119">
        <f>Amnt_Deposited!C51</f>
        <v>0</v>
      </c>
      <c r="D56" s="453">
        <f>Dry_Matter_Content!C43</f>
        <v>0.59</v>
      </c>
      <c r="E56" s="319">
        <f>MCF!R55</f>
        <v>0.8</v>
      </c>
      <c r="F56" s="87">
        <f t="shared" si="12"/>
        <v>0</v>
      </c>
      <c r="G56" s="87">
        <f t="shared" si="13"/>
        <v>0</v>
      </c>
      <c r="H56" s="87">
        <f t="shared" si="14"/>
        <v>0</v>
      </c>
      <c r="I56" s="87">
        <f t="shared" si="15"/>
        <v>0.478977610565677</v>
      </c>
      <c r="J56" s="87">
        <f t="shared" si="16"/>
        <v>0.23557301849340218</v>
      </c>
      <c r="K56" s="120">
        <f t="shared" si="6"/>
        <v>0.15704867899560143</v>
      </c>
      <c r="O56" s="116">
        <f>Amnt_Deposited!B51</f>
        <v>2037</v>
      </c>
      <c r="P56" s="119">
        <f>Amnt_Deposited!C51</f>
        <v>0</v>
      </c>
      <c r="Q56" s="319">
        <f>MCF!R55</f>
        <v>0.8</v>
      </c>
      <c r="R56" s="87">
        <f t="shared" si="17"/>
        <v>0</v>
      </c>
      <c r="S56" s="87">
        <f t="shared" si="7"/>
        <v>0</v>
      </c>
      <c r="T56" s="87">
        <f t="shared" si="8"/>
        <v>0</v>
      </c>
      <c r="U56" s="87">
        <f t="shared" si="9"/>
        <v>0.32045781259969475</v>
      </c>
      <c r="V56" s="87">
        <f t="shared" si="10"/>
        <v>0.15760906678862771</v>
      </c>
      <c r="W56" s="120">
        <f t="shared" si="11"/>
        <v>0.10507271119241847</v>
      </c>
    </row>
    <row r="57" spans="2:23">
      <c r="B57" s="116">
        <f>Amnt_Deposited!B52</f>
        <v>2038</v>
      </c>
      <c r="C57" s="119">
        <f>Amnt_Deposited!C52</f>
        <v>0</v>
      </c>
      <c r="D57" s="453">
        <f>Dry_Matter_Content!C44</f>
        <v>0.59</v>
      </c>
      <c r="E57" s="319">
        <f>MCF!R56</f>
        <v>0.8</v>
      </c>
      <c r="F57" s="87">
        <f t="shared" si="12"/>
        <v>0</v>
      </c>
      <c r="G57" s="87">
        <f t="shared" si="13"/>
        <v>0</v>
      </c>
      <c r="H57" s="87">
        <f t="shared" si="14"/>
        <v>0</v>
      </c>
      <c r="I57" s="87">
        <f t="shared" si="15"/>
        <v>0.32106829396442516</v>
      </c>
      <c r="J57" s="87">
        <f t="shared" si="16"/>
        <v>0.15790931660125188</v>
      </c>
      <c r="K57" s="120">
        <f t="shared" si="6"/>
        <v>0.10527287773416791</v>
      </c>
      <c r="O57" s="116">
        <f>Amnt_Deposited!B52</f>
        <v>2038</v>
      </c>
      <c r="P57" s="119">
        <f>Amnt_Deposited!C52</f>
        <v>0</v>
      </c>
      <c r="Q57" s="319">
        <f>MCF!R56</f>
        <v>0.8</v>
      </c>
      <c r="R57" s="87">
        <f t="shared" si="17"/>
        <v>0</v>
      </c>
      <c r="S57" s="87">
        <f t="shared" si="7"/>
        <v>0</v>
      </c>
      <c r="T57" s="87">
        <f t="shared" si="8"/>
        <v>0</v>
      </c>
      <c r="U57" s="87">
        <f t="shared" si="9"/>
        <v>0.21480929569430765</v>
      </c>
      <c r="V57" s="87">
        <f t="shared" si="10"/>
        <v>0.10564851690538708</v>
      </c>
      <c r="W57" s="120">
        <f t="shared" si="11"/>
        <v>7.0432344603591379E-2</v>
      </c>
    </row>
    <row r="58" spans="2:23">
      <c r="B58" s="116">
        <f>Amnt_Deposited!B53</f>
        <v>2039</v>
      </c>
      <c r="C58" s="119">
        <f>Amnt_Deposited!C53</f>
        <v>0</v>
      </c>
      <c r="D58" s="453">
        <f>Dry_Matter_Content!C45</f>
        <v>0.59</v>
      </c>
      <c r="E58" s="319">
        <f>MCF!R57</f>
        <v>0.8</v>
      </c>
      <c r="F58" s="87">
        <f t="shared" si="12"/>
        <v>0</v>
      </c>
      <c r="G58" s="87">
        <f t="shared" si="13"/>
        <v>0</v>
      </c>
      <c r="H58" s="87">
        <f t="shared" si="14"/>
        <v>0</v>
      </c>
      <c r="I58" s="87">
        <f t="shared" si="15"/>
        <v>0.21521851359081764</v>
      </c>
      <c r="J58" s="87">
        <f t="shared" si="16"/>
        <v>0.10584978037360751</v>
      </c>
      <c r="K58" s="120">
        <f t="shared" si="6"/>
        <v>7.0566520249071674E-2</v>
      </c>
      <c r="O58" s="116">
        <f>Amnt_Deposited!B53</f>
        <v>2039</v>
      </c>
      <c r="P58" s="119">
        <f>Amnt_Deposited!C53</f>
        <v>0</v>
      </c>
      <c r="Q58" s="319">
        <f>MCF!R57</f>
        <v>0.8</v>
      </c>
      <c r="R58" s="87">
        <f t="shared" si="17"/>
        <v>0</v>
      </c>
      <c r="S58" s="87">
        <f t="shared" si="7"/>
        <v>0</v>
      </c>
      <c r="T58" s="87">
        <f t="shared" si="8"/>
        <v>0</v>
      </c>
      <c r="U58" s="87">
        <f t="shared" si="9"/>
        <v>0.14399097697869156</v>
      </c>
      <c r="V58" s="87">
        <f t="shared" si="10"/>
        <v>7.0818318715616085E-2</v>
      </c>
      <c r="W58" s="120">
        <f t="shared" si="11"/>
        <v>4.7212212477077388E-2</v>
      </c>
    </row>
    <row r="59" spans="2:23">
      <c r="B59" s="116">
        <f>Amnt_Deposited!B54</f>
        <v>2040</v>
      </c>
      <c r="C59" s="119">
        <f>Amnt_Deposited!C54</f>
        <v>0</v>
      </c>
      <c r="D59" s="453">
        <f>Dry_Matter_Content!C46</f>
        <v>0.59</v>
      </c>
      <c r="E59" s="319">
        <f>MCF!R58</f>
        <v>0.8</v>
      </c>
      <c r="F59" s="87">
        <f t="shared" si="12"/>
        <v>0</v>
      </c>
      <c r="G59" s="87">
        <f t="shared" si="13"/>
        <v>0</v>
      </c>
      <c r="H59" s="87">
        <f t="shared" si="14"/>
        <v>0</v>
      </c>
      <c r="I59" s="87">
        <f t="shared" si="15"/>
        <v>0.14426528393791876</v>
      </c>
      <c r="J59" s="87">
        <f t="shared" si="16"/>
        <v>7.0953229652898894E-2</v>
      </c>
      <c r="K59" s="120">
        <f t="shared" si="6"/>
        <v>4.7302153101932594E-2</v>
      </c>
      <c r="O59" s="116">
        <f>Amnt_Deposited!B54</f>
        <v>2040</v>
      </c>
      <c r="P59" s="119">
        <f>Amnt_Deposited!C54</f>
        <v>0</v>
      </c>
      <c r="Q59" s="319">
        <f>MCF!R58</f>
        <v>0.8</v>
      </c>
      <c r="R59" s="87">
        <f t="shared" si="17"/>
        <v>0</v>
      </c>
      <c r="S59" s="87">
        <f t="shared" si="7"/>
        <v>0</v>
      </c>
      <c r="T59" s="87">
        <f t="shared" si="8"/>
        <v>0</v>
      </c>
      <c r="U59" s="87">
        <f t="shared" si="9"/>
        <v>9.6520038317073217E-2</v>
      </c>
      <c r="V59" s="87">
        <f t="shared" si="10"/>
        <v>4.7470938661618355E-2</v>
      </c>
      <c r="W59" s="120">
        <f t="shared" si="11"/>
        <v>3.1647292441078903E-2</v>
      </c>
    </row>
    <row r="60" spans="2:23">
      <c r="B60" s="116">
        <f>Amnt_Deposited!B55</f>
        <v>2041</v>
      </c>
      <c r="C60" s="119">
        <f>Amnt_Deposited!C55</f>
        <v>0</v>
      </c>
      <c r="D60" s="453">
        <f>Dry_Matter_Content!C47</f>
        <v>0.59</v>
      </c>
      <c r="E60" s="319">
        <f>MCF!R59</f>
        <v>0.8</v>
      </c>
      <c r="F60" s="87">
        <f t="shared" si="12"/>
        <v>0</v>
      </c>
      <c r="G60" s="87">
        <f t="shared" si="13"/>
        <v>0</v>
      </c>
      <c r="H60" s="87">
        <f t="shared" si="14"/>
        <v>0</v>
      </c>
      <c r="I60" s="87">
        <f t="shared" si="15"/>
        <v>9.6703911770610287E-2</v>
      </c>
      <c r="J60" s="87">
        <f t="shared" si="16"/>
        <v>4.7561372167308477E-2</v>
      </c>
      <c r="K60" s="120">
        <f t="shared" si="6"/>
        <v>3.1707581444872318E-2</v>
      </c>
      <c r="O60" s="116">
        <f>Amnt_Deposited!B55</f>
        <v>2041</v>
      </c>
      <c r="P60" s="119">
        <f>Amnt_Deposited!C55</f>
        <v>0</v>
      </c>
      <c r="Q60" s="319">
        <f>MCF!R59</f>
        <v>0.8</v>
      </c>
      <c r="R60" s="87">
        <f t="shared" si="17"/>
        <v>0</v>
      </c>
      <c r="S60" s="87">
        <f t="shared" si="7"/>
        <v>0</v>
      </c>
      <c r="T60" s="87">
        <f t="shared" si="8"/>
        <v>0</v>
      </c>
      <c r="U60" s="87">
        <f t="shared" si="9"/>
        <v>6.4699316528062184E-2</v>
      </c>
      <c r="V60" s="87">
        <f t="shared" si="10"/>
        <v>3.1820721789011026E-2</v>
      </c>
      <c r="W60" s="120">
        <f t="shared" si="11"/>
        <v>2.121381452600735E-2</v>
      </c>
    </row>
    <row r="61" spans="2:23">
      <c r="B61" s="116">
        <f>Amnt_Deposited!B56</f>
        <v>2042</v>
      </c>
      <c r="C61" s="119">
        <f>Amnt_Deposited!C56</f>
        <v>0</v>
      </c>
      <c r="D61" s="453">
        <f>Dry_Matter_Content!C48</f>
        <v>0.59</v>
      </c>
      <c r="E61" s="319">
        <f>MCF!R60</f>
        <v>0.8</v>
      </c>
      <c r="F61" s="87">
        <f t="shared" si="12"/>
        <v>0</v>
      </c>
      <c r="G61" s="87">
        <f t="shared" si="13"/>
        <v>0</v>
      </c>
      <c r="H61" s="87">
        <f t="shared" si="14"/>
        <v>0</v>
      </c>
      <c r="I61" s="87">
        <f t="shared" si="15"/>
        <v>6.4822570589901887E-2</v>
      </c>
      <c r="J61" s="87">
        <f t="shared" si="16"/>
        <v>3.1881341180708393E-2</v>
      </c>
      <c r="K61" s="120">
        <f t="shared" si="6"/>
        <v>2.1254227453805594E-2</v>
      </c>
      <c r="O61" s="116">
        <f>Amnt_Deposited!B56</f>
        <v>2042</v>
      </c>
      <c r="P61" s="119">
        <f>Amnt_Deposited!C56</f>
        <v>0</v>
      </c>
      <c r="Q61" s="319">
        <f>MCF!R60</f>
        <v>0.8</v>
      </c>
      <c r="R61" s="87">
        <f t="shared" si="17"/>
        <v>0</v>
      </c>
      <c r="S61" s="87">
        <f t="shared" si="7"/>
        <v>0</v>
      </c>
      <c r="T61" s="87">
        <f t="shared" si="8"/>
        <v>0</v>
      </c>
      <c r="U61" s="87">
        <f t="shared" si="9"/>
        <v>4.3369248833565043E-2</v>
      </c>
      <c r="V61" s="87">
        <f t="shared" si="10"/>
        <v>2.1330067694497142E-2</v>
      </c>
      <c r="W61" s="120">
        <f t="shared" si="11"/>
        <v>1.422004512966476E-2</v>
      </c>
    </row>
    <row r="62" spans="2:23">
      <c r="B62" s="116">
        <f>Amnt_Deposited!B57</f>
        <v>2043</v>
      </c>
      <c r="C62" s="119">
        <f>Amnt_Deposited!C57</f>
        <v>0</v>
      </c>
      <c r="D62" s="453">
        <f>Dry_Matter_Content!C49</f>
        <v>0.59</v>
      </c>
      <c r="E62" s="319">
        <f>MCF!R61</f>
        <v>0.8</v>
      </c>
      <c r="F62" s="87">
        <f t="shared" si="12"/>
        <v>0</v>
      </c>
      <c r="G62" s="87">
        <f t="shared" si="13"/>
        <v>0</v>
      </c>
      <c r="H62" s="87">
        <f t="shared" si="14"/>
        <v>0</v>
      </c>
      <c r="I62" s="87">
        <f t="shared" si="15"/>
        <v>4.3451868501971511E-2</v>
      </c>
      <c r="J62" s="87">
        <f t="shared" si="16"/>
        <v>2.1370702087930373E-2</v>
      </c>
      <c r="K62" s="120">
        <f t="shared" si="6"/>
        <v>1.4247134725286915E-2</v>
      </c>
      <c r="O62" s="116">
        <f>Amnt_Deposited!B57</f>
        <v>2043</v>
      </c>
      <c r="P62" s="119">
        <f>Amnt_Deposited!C57</f>
        <v>0</v>
      </c>
      <c r="Q62" s="319">
        <f>MCF!R61</f>
        <v>0.8</v>
      </c>
      <c r="R62" s="87">
        <f t="shared" si="17"/>
        <v>0</v>
      </c>
      <c r="S62" s="87">
        <f t="shared" si="7"/>
        <v>0</v>
      </c>
      <c r="T62" s="87">
        <f t="shared" si="8"/>
        <v>0</v>
      </c>
      <c r="U62" s="87">
        <f t="shared" si="9"/>
        <v>2.9071276874646418E-2</v>
      </c>
      <c r="V62" s="87">
        <f t="shared" si="10"/>
        <v>1.4297971958918626E-2</v>
      </c>
      <c r="W62" s="120">
        <f t="shared" si="11"/>
        <v>9.5319813059457498E-3</v>
      </c>
    </row>
    <row r="63" spans="2:23">
      <c r="B63" s="116">
        <f>Amnt_Deposited!B58</f>
        <v>2044</v>
      </c>
      <c r="C63" s="119">
        <f>Amnt_Deposited!C58</f>
        <v>0</v>
      </c>
      <c r="D63" s="453">
        <f>Dry_Matter_Content!C50</f>
        <v>0.59</v>
      </c>
      <c r="E63" s="319">
        <f>MCF!R62</f>
        <v>0.8</v>
      </c>
      <c r="F63" s="87">
        <f t="shared" si="12"/>
        <v>0</v>
      </c>
      <c r="G63" s="87">
        <f t="shared" si="13"/>
        <v>0</v>
      </c>
      <c r="H63" s="87">
        <f t="shared" si="14"/>
        <v>0</v>
      </c>
      <c r="I63" s="87">
        <f t="shared" si="15"/>
        <v>2.9126658494576088E-2</v>
      </c>
      <c r="J63" s="87">
        <f t="shared" si="16"/>
        <v>1.4325210007395421E-2</v>
      </c>
      <c r="K63" s="120">
        <f t="shared" si="6"/>
        <v>9.5501400049302805E-3</v>
      </c>
      <c r="O63" s="116">
        <f>Amnt_Deposited!B58</f>
        <v>2044</v>
      </c>
      <c r="P63" s="119">
        <f>Amnt_Deposited!C58</f>
        <v>0</v>
      </c>
      <c r="Q63" s="319">
        <f>MCF!R62</f>
        <v>0.8</v>
      </c>
      <c r="R63" s="87">
        <f t="shared" si="17"/>
        <v>0</v>
      </c>
      <c r="S63" s="87">
        <f t="shared" si="7"/>
        <v>0</v>
      </c>
      <c r="T63" s="87">
        <f t="shared" si="8"/>
        <v>0</v>
      </c>
      <c r="U63" s="87">
        <f t="shared" si="9"/>
        <v>1.9487059652927803E-2</v>
      </c>
      <c r="V63" s="87">
        <f t="shared" si="10"/>
        <v>9.5842172217186147E-3</v>
      </c>
      <c r="W63" s="120">
        <f t="shared" si="11"/>
        <v>6.3894781478124095E-3</v>
      </c>
    </row>
    <row r="64" spans="2:23">
      <c r="B64" s="116">
        <f>Amnt_Deposited!B59</f>
        <v>2045</v>
      </c>
      <c r="C64" s="119">
        <f>Amnt_Deposited!C59</f>
        <v>0</v>
      </c>
      <c r="D64" s="453">
        <f>Dry_Matter_Content!C51</f>
        <v>0.59</v>
      </c>
      <c r="E64" s="319">
        <f>MCF!R63</f>
        <v>0.8</v>
      </c>
      <c r="F64" s="87">
        <f t="shared" si="12"/>
        <v>0</v>
      </c>
      <c r="G64" s="87">
        <f t="shared" si="13"/>
        <v>0</v>
      </c>
      <c r="H64" s="87">
        <f t="shared" si="14"/>
        <v>0</v>
      </c>
      <c r="I64" s="87">
        <f t="shared" si="15"/>
        <v>1.9524183062948588E-2</v>
      </c>
      <c r="J64" s="87">
        <f t="shared" si="16"/>
        <v>9.6024754316275003E-3</v>
      </c>
      <c r="K64" s="120">
        <f t="shared" si="6"/>
        <v>6.4016502877516663E-3</v>
      </c>
      <c r="O64" s="116">
        <f>Amnt_Deposited!B59</f>
        <v>2045</v>
      </c>
      <c r="P64" s="119">
        <f>Amnt_Deposited!C59</f>
        <v>0</v>
      </c>
      <c r="Q64" s="319">
        <f>MCF!R63</f>
        <v>0.8</v>
      </c>
      <c r="R64" s="87">
        <f t="shared" si="17"/>
        <v>0</v>
      </c>
      <c r="S64" s="87">
        <f t="shared" si="7"/>
        <v>0</v>
      </c>
      <c r="T64" s="87">
        <f t="shared" si="8"/>
        <v>0</v>
      </c>
      <c r="U64" s="87">
        <f t="shared" si="9"/>
        <v>1.3062566723649815E-2</v>
      </c>
      <c r="V64" s="87">
        <f t="shared" si="10"/>
        <v>6.4244929292779883E-3</v>
      </c>
      <c r="W64" s="120">
        <f t="shared" si="11"/>
        <v>4.2829952861853249E-3</v>
      </c>
    </row>
    <row r="65" spans="2:23">
      <c r="B65" s="116">
        <f>Amnt_Deposited!B60</f>
        <v>2046</v>
      </c>
      <c r="C65" s="119">
        <f>Amnt_Deposited!C60</f>
        <v>0</v>
      </c>
      <c r="D65" s="453">
        <f>Dry_Matter_Content!C52</f>
        <v>0.59</v>
      </c>
      <c r="E65" s="319">
        <f>MCF!R64</f>
        <v>0.8</v>
      </c>
      <c r="F65" s="87">
        <f t="shared" si="12"/>
        <v>0</v>
      </c>
      <c r="G65" s="87">
        <f t="shared" si="13"/>
        <v>0</v>
      </c>
      <c r="H65" s="87">
        <f t="shared" si="14"/>
        <v>0</v>
      </c>
      <c r="I65" s="87">
        <f t="shared" si="15"/>
        <v>1.3087451289563947E-2</v>
      </c>
      <c r="J65" s="87">
        <f t="shared" si="16"/>
        <v>6.4367317733846404E-3</v>
      </c>
      <c r="K65" s="120">
        <f t="shared" si="6"/>
        <v>4.2911545155897603E-3</v>
      </c>
      <c r="O65" s="116">
        <f>Amnt_Deposited!B60</f>
        <v>2046</v>
      </c>
      <c r="P65" s="119">
        <f>Amnt_Deposited!C60</f>
        <v>0</v>
      </c>
      <c r="Q65" s="319">
        <f>MCF!R64</f>
        <v>0.8</v>
      </c>
      <c r="R65" s="87">
        <f t="shared" si="17"/>
        <v>0</v>
      </c>
      <c r="S65" s="87">
        <f t="shared" si="7"/>
        <v>0</v>
      </c>
      <c r="T65" s="87">
        <f t="shared" si="8"/>
        <v>0</v>
      </c>
      <c r="U65" s="87">
        <f t="shared" si="9"/>
        <v>8.7561003275405547E-3</v>
      </c>
      <c r="V65" s="87">
        <f t="shared" si="10"/>
        <v>4.306466396109261E-3</v>
      </c>
      <c r="W65" s="120">
        <f t="shared" si="11"/>
        <v>2.8709775974061738E-3</v>
      </c>
    </row>
    <row r="66" spans="2:23">
      <c r="B66" s="116">
        <f>Amnt_Deposited!B61</f>
        <v>2047</v>
      </c>
      <c r="C66" s="119">
        <f>Amnt_Deposited!C61</f>
        <v>0</v>
      </c>
      <c r="D66" s="453">
        <f>Dry_Matter_Content!C53</f>
        <v>0.59</v>
      </c>
      <c r="E66" s="319">
        <f>MCF!R65</f>
        <v>0.8</v>
      </c>
      <c r="F66" s="87">
        <f t="shared" si="12"/>
        <v>0</v>
      </c>
      <c r="G66" s="87">
        <f t="shared" si="13"/>
        <v>0</v>
      </c>
      <c r="H66" s="87">
        <f t="shared" si="14"/>
        <v>0</v>
      </c>
      <c r="I66" s="87">
        <f t="shared" si="15"/>
        <v>8.7727809509096921E-3</v>
      </c>
      <c r="J66" s="87">
        <f t="shared" si="16"/>
        <v>4.3146703386542553E-3</v>
      </c>
      <c r="K66" s="120">
        <f t="shared" si="6"/>
        <v>2.8764468924361701E-3</v>
      </c>
      <c r="O66" s="116">
        <f>Amnt_Deposited!B61</f>
        <v>2047</v>
      </c>
      <c r="P66" s="119">
        <f>Amnt_Deposited!C61</f>
        <v>0</v>
      </c>
      <c r="Q66" s="319">
        <f>MCF!R65</f>
        <v>0.8</v>
      </c>
      <c r="R66" s="87">
        <f t="shared" si="17"/>
        <v>0</v>
      </c>
      <c r="S66" s="87">
        <f t="shared" si="7"/>
        <v>0</v>
      </c>
      <c r="T66" s="87">
        <f t="shared" si="8"/>
        <v>0</v>
      </c>
      <c r="U66" s="87">
        <f t="shared" si="9"/>
        <v>5.8693895746496612E-3</v>
      </c>
      <c r="V66" s="87">
        <f t="shared" si="10"/>
        <v>2.8867107528908935E-3</v>
      </c>
      <c r="W66" s="120">
        <f t="shared" si="11"/>
        <v>1.9244738352605956E-3</v>
      </c>
    </row>
    <row r="67" spans="2:23">
      <c r="B67" s="116">
        <f>Amnt_Deposited!B62</f>
        <v>2048</v>
      </c>
      <c r="C67" s="119">
        <f>Amnt_Deposited!C62</f>
        <v>0</v>
      </c>
      <c r="D67" s="453">
        <f>Dry_Matter_Content!C54</f>
        <v>0.59</v>
      </c>
      <c r="E67" s="319">
        <f>MCF!R66</f>
        <v>0.8</v>
      </c>
      <c r="F67" s="87">
        <f t="shared" si="12"/>
        <v>0</v>
      </c>
      <c r="G67" s="87">
        <f t="shared" si="13"/>
        <v>0</v>
      </c>
      <c r="H67" s="87">
        <f t="shared" si="14"/>
        <v>0</v>
      </c>
      <c r="I67" s="87">
        <f t="shared" si="15"/>
        <v>5.8805709308743645E-3</v>
      </c>
      <c r="J67" s="87">
        <f t="shared" si="16"/>
        <v>2.8922100200353277E-3</v>
      </c>
      <c r="K67" s="120">
        <f t="shared" si="6"/>
        <v>1.9281400133568851E-3</v>
      </c>
      <c r="O67" s="116">
        <f>Amnt_Deposited!B62</f>
        <v>2048</v>
      </c>
      <c r="P67" s="119">
        <f>Amnt_Deposited!C62</f>
        <v>0</v>
      </c>
      <c r="Q67" s="319">
        <f>MCF!R66</f>
        <v>0.8</v>
      </c>
      <c r="R67" s="87">
        <f t="shared" si="17"/>
        <v>0</v>
      </c>
      <c r="S67" s="87">
        <f t="shared" si="7"/>
        <v>0</v>
      </c>
      <c r="T67" s="87">
        <f t="shared" si="8"/>
        <v>0</v>
      </c>
      <c r="U67" s="87">
        <f t="shared" si="9"/>
        <v>3.9343694898802623E-3</v>
      </c>
      <c r="V67" s="87">
        <f t="shared" si="10"/>
        <v>1.9350200847693987E-3</v>
      </c>
      <c r="W67" s="120">
        <f t="shared" si="11"/>
        <v>1.2900133898462657E-3</v>
      </c>
    </row>
    <row r="68" spans="2:23">
      <c r="B68" s="116">
        <f>Amnt_Deposited!B63</f>
        <v>2049</v>
      </c>
      <c r="C68" s="119">
        <f>Amnt_Deposited!C63</f>
        <v>0</v>
      </c>
      <c r="D68" s="453">
        <f>Dry_Matter_Content!C55</f>
        <v>0.59</v>
      </c>
      <c r="E68" s="319">
        <f>MCF!R67</f>
        <v>0.8</v>
      </c>
      <c r="F68" s="87">
        <f t="shared" si="12"/>
        <v>0</v>
      </c>
      <c r="G68" s="87">
        <f t="shared" si="13"/>
        <v>0</v>
      </c>
      <c r="H68" s="87">
        <f t="shared" si="14"/>
        <v>0</v>
      </c>
      <c r="I68" s="87">
        <f t="shared" si="15"/>
        <v>3.9418645770995468E-3</v>
      </c>
      <c r="J68" s="87">
        <f t="shared" si="16"/>
        <v>1.9387063537748181E-3</v>
      </c>
      <c r="K68" s="120">
        <f t="shared" si="6"/>
        <v>1.2924709025165454E-3</v>
      </c>
      <c r="O68" s="116">
        <f>Amnt_Deposited!B63</f>
        <v>2049</v>
      </c>
      <c r="P68" s="119">
        <f>Amnt_Deposited!C63</f>
        <v>0</v>
      </c>
      <c r="Q68" s="319">
        <f>MCF!R67</f>
        <v>0.8</v>
      </c>
      <c r="R68" s="87">
        <f t="shared" si="17"/>
        <v>0</v>
      </c>
      <c r="S68" s="87">
        <f t="shared" si="7"/>
        <v>0</v>
      </c>
      <c r="T68" s="87">
        <f t="shared" si="8"/>
        <v>0</v>
      </c>
      <c r="U68" s="87">
        <f t="shared" si="9"/>
        <v>2.6372867375777523E-3</v>
      </c>
      <c r="V68" s="87">
        <f t="shared" si="10"/>
        <v>1.29708275230251E-3</v>
      </c>
      <c r="W68" s="120">
        <f t="shared" si="11"/>
        <v>8.6472183486833998E-4</v>
      </c>
    </row>
    <row r="69" spans="2:23">
      <c r="B69" s="116">
        <f>Amnt_Deposited!B64</f>
        <v>2050</v>
      </c>
      <c r="C69" s="119">
        <f>Amnt_Deposited!C64</f>
        <v>0</v>
      </c>
      <c r="D69" s="453">
        <f>Dry_Matter_Content!C56</f>
        <v>0.59</v>
      </c>
      <c r="E69" s="319">
        <f>MCF!R68</f>
        <v>0.8</v>
      </c>
      <c r="F69" s="87">
        <f t="shared" si="12"/>
        <v>0</v>
      </c>
      <c r="G69" s="87">
        <f t="shared" si="13"/>
        <v>0</v>
      </c>
      <c r="H69" s="87">
        <f t="shared" si="14"/>
        <v>0</v>
      </c>
      <c r="I69" s="87">
        <f t="shared" si="15"/>
        <v>2.6423108447876241E-3</v>
      </c>
      <c r="J69" s="87">
        <f t="shared" si="16"/>
        <v>1.2995537323119226E-3</v>
      </c>
      <c r="K69" s="120">
        <f t="shared" si="6"/>
        <v>8.6636915487461506E-4</v>
      </c>
      <c r="O69" s="116">
        <f>Amnt_Deposited!B64</f>
        <v>2050</v>
      </c>
      <c r="P69" s="119">
        <f>Amnt_Deposited!C64</f>
        <v>0</v>
      </c>
      <c r="Q69" s="319">
        <f>MCF!R68</f>
        <v>0.8</v>
      </c>
      <c r="R69" s="87">
        <f t="shared" si="17"/>
        <v>0</v>
      </c>
      <c r="S69" s="87">
        <f t="shared" si="7"/>
        <v>0</v>
      </c>
      <c r="T69" s="87">
        <f t="shared" si="8"/>
        <v>0</v>
      </c>
      <c r="U69" s="87">
        <f t="shared" si="9"/>
        <v>1.7678261673423001E-3</v>
      </c>
      <c r="V69" s="87">
        <f t="shared" si="10"/>
        <v>8.6946057023545235E-4</v>
      </c>
      <c r="W69" s="120">
        <f t="shared" si="11"/>
        <v>5.7964038015696816E-4</v>
      </c>
    </row>
    <row r="70" spans="2:23">
      <c r="B70" s="116">
        <f>Amnt_Deposited!B65</f>
        <v>2051</v>
      </c>
      <c r="C70" s="119">
        <f>Amnt_Deposited!C65</f>
        <v>0</v>
      </c>
      <c r="D70" s="453">
        <f>Dry_Matter_Content!C57</f>
        <v>0.59</v>
      </c>
      <c r="E70" s="319">
        <f>MCF!R69</f>
        <v>0.8</v>
      </c>
      <c r="F70" s="87">
        <f t="shared" si="12"/>
        <v>0</v>
      </c>
      <c r="G70" s="87">
        <f t="shared" si="13"/>
        <v>0</v>
      </c>
      <c r="H70" s="87">
        <f t="shared" si="14"/>
        <v>0</v>
      </c>
      <c r="I70" s="87">
        <f t="shared" si="15"/>
        <v>1.7711939271185093E-3</v>
      </c>
      <c r="J70" s="87">
        <f t="shared" si="16"/>
        <v>8.7111691766911486E-4</v>
      </c>
      <c r="K70" s="120">
        <f t="shared" si="6"/>
        <v>5.8074461177940991E-4</v>
      </c>
      <c r="O70" s="116">
        <f>Amnt_Deposited!B65</f>
        <v>2051</v>
      </c>
      <c r="P70" s="119">
        <f>Amnt_Deposited!C65</f>
        <v>0</v>
      </c>
      <c r="Q70" s="319">
        <f>MCF!R69</f>
        <v>0.8</v>
      </c>
      <c r="R70" s="87">
        <f t="shared" si="17"/>
        <v>0</v>
      </c>
      <c r="S70" s="87">
        <f t="shared" si="7"/>
        <v>0</v>
      </c>
      <c r="T70" s="87">
        <f t="shared" si="8"/>
        <v>0</v>
      </c>
      <c r="U70" s="87">
        <f t="shared" si="9"/>
        <v>1.1850093178758985E-3</v>
      </c>
      <c r="V70" s="87">
        <f t="shared" si="10"/>
        <v>5.8281684946640162E-4</v>
      </c>
      <c r="W70" s="120">
        <f t="shared" si="11"/>
        <v>3.885445663109344E-4</v>
      </c>
    </row>
    <row r="71" spans="2:23">
      <c r="B71" s="116">
        <f>Amnt_Deposited!B66</f>
        <v>2052</v>
      </c>
      <c r="C71" s="119">
        <f>Amnt_Deposited!C66</f>
        <v>0</v>
      </c>
      <c r="D71" s="453">
        <f>Dry_Matter_Content!C58</f>
        <v>0.59</v>
      </c>
      <c r="E71" s="319">
        <f>MCF!R70</f>
        <v>0.8</v>
      </c>
      <c r="F71" s="87">
        <f t="shared" si="12"/>
        <v>0</v>
      </c>
      <c r="G71" s="87">
        <f t="shared" si="13"/>
        <v>0</v>
      </c>
      <c r="H71" s="87">
        <f t="shared" si="14"/>
        <v>0</v>
      </c>
      <c r="I71" s="87">
        <f t="shared" si="15"/>
        <v>1.1872667947641238E-3</v>
      </c>
      <c r="J71" s="87">
        <f t="shared" si="16"/>
        <v>5.839271323543853E-4</v>
      </c>
      <c r="K71" s="120">
        <f t="shared" si="6"/>
        <v>3.8928475490292353E-4</v>
      </c>
      <c r="O71" s="116">
        <f>Amnt_Deposited!B66</f>
        <v>2052</v>
      </c>
      <c r="P71" s="119">
        <f>Amnt_Deposited!C66</f>
        <v>0</v>
      </c>
      <c r="Q71" s="319">
        <f>MCF!R70</f>
        <v>0.8</v>
      </c>
      <c r="R71" s="87">
        <f t="shared" si="17"/>
        <v>0</v>
      </c>
      <c r="S71" s="87">
        <f t="shared" si="7"/>
        <v>0</v>
      </c>
      <c r="T71" s="87">
        <f t="shared" si="8"/>
        <v>0</v>
      </c>
      <c r="U71" s="87">
        <f t="shared" si="9"/>
        <v>7.9433550051123377E-4</v>
      </c>
      <c r="V71" s="87">
        <f t="shared" si="10"/>
        <v>3.9067381736466463E-4</v>
      </c>
      <c r="W71" s="120">
        <f t="shared" si="11"/>
        <v>2.6044921157644305E-4</v>
      </c>
    </row>
    <row r="72" spans="2:23">
      <c r="B72" s="116">
        <f>Amnt_Deposited!B67</f>
        <v>2053</v>
      </c>
      <c r="C72" s="119">
        <f>Amnt_Deposited!C67</f>
        <v>0</v>
      </c>
      <c r="D72" s="453">
        <f>Dry_Matter_Content!C59</f>
        <v>0.59</v>
      </c>
      <c r="E72" s="319">
        <f>MCF!R71</f>
        <v>0.8</v>
      </c>
      <c r="F72" s="87">
        <f t="shared" si="12"/>
        <v>0</v>
      </c>
      <c r="G72" s="87">
        <f t="shared" si="13"/>
        <v>0</v>
      </c>
      <c r="H72" s="87">
        <f t="shared" si="14"/>
        <v>0</v>
      </c>
      <c r="I72" s="87">
        <f t="shared" si="15"/>
        <v>7.9584873252287346E-4</v>
      </c>
      <c r="J72" s="87">
        <f t="shared" si="16"/>
        <v>3.9141806224125039E-4</v>
      </c>
      <c r="K72" s="120">
        <f t="shared" si="6"/>
        <v>2.6094537482750026E-4</v>
      </c>
      <c r="O72" s="116">
        <f>Amnt_Deposited!B67</f>
        <v>2053</v>
      </c>
      <c r="P72" s="119">
        <f>Amnt_Deposited!C67</f>
        <v>0</v>
      </c>
      <c r="Q72" s="319">
        <f>MCF!R71</f>
        <v>0.8</v>
      </c>
      <c r="R72" s="87">
        <f t="shared" si="17"/>
        <v>0</v>
      </c>
      <c r="S72" s="87">
        <f t="shared" si="7"/>
        <v>0</v>
      </c>
      <c r="T72" s="87">
        <f t="shared" si="8"/>
        <v>0</v>
      </c>
      <c r="U72" s="87">
        <f t="shared" si="9"/>
        <v>5.3245900927043283E-4</v>
      </c>
      <c r="V72" s="87">
        <f t="shared" si="10"/>
        <v>2.6187649124080094E-4</v>
      </c>
      <c r="W72" s="120">
        <f t="shared" si="11"/>
        <v>1.7458432749386729E-4</v>
      </c>
    </row>
    <row r="73" spans="2:23">
      <c r="B73" s="116">
        <f>Amnt_Deposited!B68</f>
        <v>2054</v>
      </c>
      <c r="C73" s="119">
        <f>Amnt_Deposited!C68</f>
        <v>0</v>
      </c>
      <c r="D73" s="453">
        <f>Dry_Matter_Content!C60</f>
        <v>0.59</v>
      </c>
      <c r="E73" s="319">
        <f>MCF!R72</f>
        <v>0.8</v>
      </c>
      <c r="F73" s="87">
        <f t="shared" si="12"/>
        <v>0</v>
      </c>
      <c r="G73" s="87">
        <f t="shared" si="13"/>
        <v>0</v>
      </c>
      <c r="H73" s="87">
        <f t="shared" si="14"/>
        <v>0</v>
      </c>
      <c r="I73" s="87">
        <f t="shared" si="15"/>
        <v>5.3347335902213778E-4</v>
      </c>
      <c r="J73" s="87">
        <f t="shared" si="16"/>
        <v>2.6237537350073573E-4</v>
      </c>
      <c r="K73" s="120">
        <f t="shared" si="6"/>
        <v>1.7491691566715715E-4</v>
      </c>
      <c r="O73" s="116">
        <f>Amnt_Deposited!B68</f>
        <v>2054</v>
      </c>
      <c r="P73" s="119">
        <f>Amnt_Deposited!C68</f>
        <v>0</v>
      </c>
      <c r="Q73" s="319">
        <f>MCF!R72</f>
        <v>0.8</v>
      </c>
      <c r="R73" s="87">
        <f t="shared" si="17"/>
        <v>0</v>
      </c>
      <c r="S73" s="87">
        <f t="shared" si="7"/>
        <v>0</v>
      </c>
      <c r="T73" s="87">
        <f t="shared" si="8"/>
        <v>0</v>
      </c>
      <c r="U73" s="87">
        <f t="shared" si="9"/>
        <v>3.5691794760624743E-4</v>
      </c>
      <c r="V73" s="87">
        <f t="shared" si="10"/>
        <v>1.755410616641854E-4</v>
      </c>
      <c r="W73" s="120">
        <f t="shared" si="11"/>
        <v>1.1702737444279027E-4</v>
      </c>
    </row>
    <row r="74" spans="2:23">
      <c r="B74" s="116">
        <f>Amnt_Deposited!B69</f>
        <v>2055</v>
      </c>
      <c r="C74" s="119">
        <f>Amnt_Deposited!C69</f>
        <v>0</v>
      </c>
      <c r="D74" s="453">
        <f>Dry_Matter_Content!C61</f>
        <v>0.59</v>
      </c>
      <c r="E74" s="319">
        <f>MCF!R73</f>
        <v>0.8</v>
      </c>
      <c r="F74" s="87">
        <f t="shared" si="12"/>
        <v>0</v>
      </c>
      <c r="G74" s="87">
        <f t="shared" si="13"/>
        <v>0</v>
      </c>
      <c r="H74" s="87">
        <f t="shared" si="14"/>
        <v>0</v>
      </c>
      <c r="I74" s="87">
        <f t="shared" si="15"/>
        <v>3.5759788657850654E-4</v>
      </c>
      <c r="J74" s="87">
        <f t="shared" si="16"/>
        <v>1.7587547244363123E-4</v>
      </c>
      <c r="K74" s="120">
        <f t="shared" si="6"/>
        <v>1.1725031496242081E-4</v>
      </c>
      <c r="O74" s="116">
        <f>Amnt_Deposited!B69</f>
        <v>2055</v>
      </c>
      <c r="P74" s="119">
        <f>Amnt_Deposited!C69</f>
        <v>0</v>
      </c>
      <c r="Q74" s="319">
        <f>MCF!R73</f>
        <v>0.8</v>
      </c>
      <c r="R74" s="87">
        <f t="shared" si="17"/>
        <v>0</v>
      </c>
      <c r="S74" s="87">
        <f t="shared" si="7"/>
        <v>0</v>
      </c>
      <c r="T74" s="87">
        <f t="shared" si="8"/>
        <v>0</v>
      </c>
      <c r="U74" s="87">
        <f t="shared" si="9"/>
        <v>2.3924925507036568E-4</v>
      </c>
      <c r="V74" s="87">
        <f t="shared" si="10"/>
        <v>1.1766869253588175E-4</v>
      </c>
      <c r="W74" s="120">
        <f t="shared" si="11"/>
        <v>7.8445795023921166E-5</v>
      </c>
    </row>
    <row r="75" spans="2:23">
      <c r="B75" s="116">
        <f>Amnt_Deposited!B70</f>
        <v>2056</v>
      </c>
      <c r="C75" s="119">
        <f>Amnt_Deposited!C70</f>
        <v>0</v>
      </c>
      <c r="D75" s="453">
        <f>Dry_Matter_Content!C62</f>
        <v>0.59</v>
      </c>
      <c r="E75" s="319">
        <f>MCF!R74</f>
        <v>0.8</v>
      </c>
      <c r="F75" s="87">
        <f t="shared" si="12"/>
        <v>0</v>
      </c>
      <c r="G75" s="87">
        <f t="shared" si="13"/>
        <v>0</v>
      </c>
      <c r="H75" s="87">
        <f t="shared" si="14"/>
        <v>0</v>
      </c>
      <c r="I75" s="87">
        <f t="shared" si="15"/>
        <v>2.3970503179355184E-4</v>
      </c>
      <c r="J75" s="87">
        <f t="shared" si="16"/>
        <v>1.1789285478495471E-4</v>
      </c>
      <c r="K75" s="120">
        <f t="shared" si="6"/>
        <v>7.8595236523303129E-5</v>
      </c>
      <c r="O75" s="116">
        <f>Amnt_Deposited!B70</f>
        <v>2056</v>
      </c>
      <c r="P75" s="119">
        <f>Amnt_Deposited!C70</f>
        <v>0</v>
      </c>
      <c r="Q75" s="319">
        <f>MCF!R74</f>
        <v>0.8</v>
      </c>
      <c r="R75" s="87">
        <f t="shared" si="17"/>
        <v>0</v>
      </c>
      <c r="S75" s="87">
        <f t="shared" si="7"/>
        <v>0</v>
      </c>
      <c r="T75" s="87">
        <f t="shared" si="8"/>
        <v>0</v>
      </c>
      <c r="U75" s="87">
        <f t="shared" si="9"/>
        <v>1.6037357167275994E-4</v>
      </c>
      <c r="V75" s="87">
        <f t="shared" si="10"/>
        <v>7.8875683397605737E-5</v>
      </c>
      <c r="W75" s="120">
        <f t="shared" si="11"/>
        <v>5.2583788931737153E-5</v>
      </c>
    </row>
    <row r="76" spans="2:23">
      <c r="B76" s="116">
        <f>Amnt_Deposited!B71</f>
        <v>2057</v>
      </c>
      <c r="C76" s="119">
        <f>Amnt_Deposited!C71</f>
        <v>0</v>
      </c>
      <c r="D76" s="453">
        <f>Dry_Matter_Content!C63</f>
        <v>0.59</v>
      </c>
      <c r="E76" s="319">
        <f>MCF!R75</f>
        <v>0.8</v>
      </c>
      <c r="F76" s="87">
        <f t="shared" si="12"/>
        <v>0</v>
      </c>
      <c r="G76" s="87">
        <f t="shared" si="13"/>
        <v>0</v>
      </c>
      <c r="H76" s="87">
        <f t="shared" si="14"/>
        <v>0</v>
      </c>
      <c r="I76" s="87">
        <f t="shared" si="15"/>
        <v>1.6067908794682807E-4</v>
      </c>
      <c r="J76" s="87">
        <f t="shared" si="16"/>
        <v>7.9025943846723783E-5</v>
      </c>
      <c r="K76" s="120">
        <f t="shared" si="6"/>
        <v>5.2683962564482517E-5</v>
      </c>
      <c r="O76" s="116">
        <f>Amnt_Deposited!B71</f>
        <v>2057</v>
      </c>
      <c r="P76" s="119">
        <f>Amnt_Deposited!C71</f>
        <v>0</v>
      </c>
      <c r="Q76" s="319">
        <f>MCF!R75</f>
        <v>0.8</v>
      </c>
      <c r="R76" s="87">
        <f t="shared" si="17"/>
        <v>0</v>
      </c>
      <c r="S76" s="87">
        <f t="shared" si="7"/>
        <v>0</v>
      </c>
      <c r="T76" s="87">
        <f t="shared" si="8"/>
        <v>0</v>
      </c>
      <c r="U76" s="87">
        <f t="shared" si="9"/>
        <v>1.0750161994658434E-4</v>
      </c>
      <c r="V76" s="87">
        <f t="shared" si="10"/>
        <v>5.2871951726175593E-5</v>
      </c>
      <c r="W76" s="120">
        <f t="shared" si="11"/>
        <v>3.5247967817450391E-5</v>
      </c>
    </row>
    <row r="77" spans="2:23">
      <c r="B77" s="116">
        <f>Amnt_Deposited!B72</f>
        <v>2058</v>
      </c>
      <c r="C77" s="119">
        <f>Amnt_Deposited!C72</f>
        <v>0</v>
      </c>
      <c r="D77" s="453">
        <f>Dry_Matter_Content!C64</f>
        <v>0.59</v>
      </c>
      <c r="E77" s="319">
        <f>MCF!R76</f>
        <v>0.8</v>
      </c>
      <c r="F77" s="87">
        <f t="shared" si="12"/>
        <v>0</v>
      </c>
      <c r="G77" s="87">
        <f t="shared" si="13"/>
        <v>0</v>
      </c>
      <c r="H77" s="87">
        <f t="shared" si="14"/>
        <v>0</v>
      </c>
      <c r="I77" s="87">
        <f t="shared" si="15"/>
        <v>1.0770641362948232E-4</v>
      </c>
      <c r="J77" s="87">
        <f t="shared" si="16"/>
        <v>5.2972674317345736E-5</v>
      </c>
      <c r="K77" s="120">
        <f t="shared" si="6"/>
        <v>3.531511621156382E-5</v>
      </c>
      <c r="O77" s="116">
        <f>Amnt_Deposited!B72</f>
        <v>2058</v>
      </c>
      <c r="P77" s="119">
        <f>Amnt_Deposited!C72</f>
        <v>0</v>
      </c>
      <c r="Q77" s="319">
        <f>MCF!R76</f>
        <v>0.8</v>
      </c>
      <c r="R77" s="87">
        <f t="shared" si="17"/>
        <v>0</v>
      </c>
      <c r="S77" s="87">
        <f t="shared" si="7"/>
        <v>0</v>
      </c>
      <c r="T77" s="87">
        <f t="shared" si="8"/>
        <v>0</v>
      </c>
      <c r="U77" s="87">
        <f t="shared" si="9"/>
        <v>7.2060490831500225E-5</v>
      </c>
      <c r="V77" s="87">
        <f t="shared" si="10"/>
        <v>3.5441129115084125E-5</v>
      </c>
      <c r="W77" s="120">
        <f t="shared" si="11"/>
        <v>2.3627419410056082E-5</v>
      </c>
    </row>
    <row r="78" spans="2:23">
      <c r="B78" s="116">
        <f>Amnt_Deposited!B73</f>
        <v>2059</v>
      </c>
      <c r="C78" s="119">
        <f>Amnt_Deposited!C73</f>
        <v>0</v>
      </c>
      <c r="D78" s="453">
        <f>Dry_Matter_Content!C65</f>
        <v>0.59</v>
      </c>
      <c r="E78" s="319">
        <f>MCF!R77</f>
        <v>0.8</v>
      </c>
      <c r="F78" s="87">
        <f t="shared" si="12"/>
        <v>0</v>
      </c>
      <c r="G78" s="87">
        <f t="shared" si="13"/>
        <v>0</v>
      </c>
      <c r="H78" s="87">
        <f t="shared" si="14"/>
        <v>0</v>
      </c>
      <c r="I78" s="87">
        <f t="shared" si="15"/>
        <v>7.2197768142448208E-5</v>
      </c>
      <c r="J78" s="87">
        <f t="shared" si="16"/>
        <v>3.5508645487034123E-5</v>
      </c>
      <c r="K78" s="120">
        <f t="shared" si="6"/>
        <v>2.3672430324689415E-5</v>
      </c>
      <c r="O78" s="116">
        <f>Amnt_Deposited!B73</f>
        <v>2059</v>
      </c>
      <c r="P78" s="119">
        <f>Amnt_Deposited!C73</f>
        <v>0</v>
      </c>
      <c r="Q78" s="319">
        <f>MCF!R77</f>
        <v>0.8</v>
      </c>
      <c r="R78" s="87">
        <f t="shared" si="17"/>
        <v>0</v>
      </c>
      <c r="S78" s="87">
        <f t="shared" si="7"/>
        <v>0</v>
      </c>
      <c r="T78" s="87">
        <f t="shared" si="8"/>
        <v>0</v>
      </c>
      <c r="U78" s="87">
        <f t="shared" si="9"/>
        <v>4.8303591531521995E-5</v>
      </c>
      <c r="V78" s="87">
        <f t="shared" si="10"/>
        <v>2.3756899299978229E-5</v>
      </c>
      <c r="W78" s="120">
        <f t="shared" si="11"/>
        <v>1.5837932866652152E-5</v>
      </c>
    </row>
    <row r="79" spans="2:23">
      <c r="B79" s="116">
        <f>Amnt_Deposited!B74</f>
        <v>2060</v>
      </c>
      <c r="C79" s="119">
        <f>Amnt_Deposited!C74</f>
        <v>0</v>
      </c>
      <c r="D79" s="453">
        <f>Dry_Matter_Content!C66</f>
        <v>0.59</v>
      </c>
      <c r="E79" s="319">
        <f>MCF!R78</f>
        <v>0.8</v>
      </c>
      <c r="F79" s="87">
        <f t="shared" si="12"/>
        <v>0</v>
      </c>
      <c r="G79" s="87">
        <f t="shared" si="13"/>
        <v>0</v>
      </c>
      <c r="H79" s="87">
        <f t="shared" si="14"/>
        <v>0</v>
      </c>
      <c r="I79" s="87">
        <f t="shared" si="15"/>
        <v>4.8395611264916295E-5</v>
      </c>
      <c r="J79" s="87">
        <f t="shared" si="16"/>
        <v>2.380215687753191E-5</v>
      </c>
      <c r="K79" s="120">
        <f t="shared" si="6"/>
        <v>1.5868104585021271E-5</v>
      </c>
      <c r="O79" s="116">
        <f>Amnt_Deposited!B74</f>
        <v>2060</v>
      </c>
      <c r="P79" s="119">
        <f>Amnt_Deposited!C74</f>
        <v>0</v>
      </c>
      <c r="Q79" s="319">
        <f>MCF!R78</f>
        <v>0.8</v>
      </c>
      <c r="R79" s="87">
        <f t="shared" si="17"/>
        <v>0</v>
      </c>
      <c r="S79" s="87">
        <f t="shared" si="7"/>
        <v>0</v>
      </c>
      <c r="T79" s="87">
        <f t="shared" si="8"/>
        <v>0</v>
      </c>
      <c r="U79" s="87">
        <f t="shared" si="9"/>
        <v>3.2378865699096543E-5</v>
      </c>
      <c r="V79" s="87">
        <f t="shared" si="10"/>
        <v>1.5924725832425453E-5</v>
      </c>
      <c r="W79" s="120">
        <f t="shared" si="11"/>
        <v>1.0616483888283634E-5</v>
      </c>
    </row>
    <row r="80" spans="2:23">
      <c r="B80" s="116">
        <f>Amnt_Deposited!B75</f>
        <v>2061</v>
      </c>
      <c r="C80" s="119">
        <f>Amnt_Deposited!C75</f>
        <v>0</v>
      </c>
      <c r="D80" s="453">
        <f>Dry_Matter_Content!C67</f>
        <v>0.59</v>
      </c>
      <c r="E80" s="319">
        <f>MCF!R79</f>
        <v>0.8</v>
      </c>
      <c r="F80" s="87">
        <f t="shared" si="12"/>
        <v>0</v>
      </c>
      <c r="G80" s="87">
        <f t="shared" si="13"/>
        <v>0</v>
      </c>
      <c r="H80" s="87">
        <f t="shared" si="14"/>
        <v>0</v>
      </c>
      <c r="I80" s="87">
        <f t="shared" si="15"/>
        <v>3.2440548371021593E-5</v>
      </c>
      <c r="J80" s="87">
        <f t="shared" si="16"/>
        <v>1.5955062893894698E-5</v>
      </c>
      <c r="K80" s="120">
        <f t="shared" si="6"/>
        <v>1.0636708595929797E-5</v>
      </c>
      <c r="O80" s="116">
        <f>Amnt_Deposited!B75</f>
        <v>2061</v>
      </c>
      <c r="P80" s="119">
        <f>Amnt_Deposited!C75</f>
        <v>0</v>
      </c>
      <c r="Q80" s="319">
        <f>MCF!R79</f>
        <v>0.8</v>
      </c>
      <c r="R80" s="87">
        <f t="shared" si="17"/>
        <v>0</v>
      </c>
      <c r="S80" s="87">
        <f t="shared" si="7"/>
        <v>0</v>
      </c>
      <c r="T80" s="87">
        <f t="shared" si="8"/>
        <v>0</v>
      </c>
      <c r="U80" s="87">
        <f t="shared" si="9"/>
        <v>2.1704202746000179E-5</v>
      </c>
      <c r="V80" s="87">
        <f t="shared" si="10"/>
        <v>1.0674662953096365E-5</v>
      </c>
      <c r="W80" s="120">
        <f t="shared" si="11"/>
        <v>7.1164419687309098E-6</v>
      </c>
    </row>
    <row r="81" spans="2:23">
      <c r="B81" s="116">
        <f>Amnt_Deposited!B76</f>
        <v>2062</v>
      </c>
      <c r="C81" s="119">
        <f>Amnt_Deposited!C76</f>
        <v>0</v>
      </c>
      <c r="D81" s="453">
        <f>Dry_Matter_Content!C68</f>
        <v>0.59</v>
      </c>
      <c r="E81" s="319">
        <f>MCF!R80</f>
        <v>0.8</v>
      </c>
      <c r="F81" s="87">
        <f t="shared" si="12"/>
        <v>0</v>
      </c>
      <c r="G81" s="87">
        <f t="shared" si="13"/>
        <v>0</v>
      </c>
      <c r="H81" s="87">
        <f t="shared" si="14"/>
        <v>0</v>
      </c>
      <c r="I81" s="87">
        <f t="shared" si="15"/>
        <v>2.1745549877484579E-5</v>
      </c>
      <c r="J81" s="87">
        <f t="shared" si="16"/>
        <v>1.0694998493537014E-5</v>
      </c>
      <c r="K81" s="120">
        <f t="shared" si="6"/>
        <v>7.1299989956913426E-6</v>
      </c>
      <c r="O81" s="116">
        <f>Amnt_Deposited!B76</f>
        <v>2062</v>
      </c>
      <c r="P81" s="119">
        <f>Amnt_Deposited!C76</f>
        <v>0</v>
      </c>
      <c r="Q81" s="319">
        <f>MCF!R80</f>
        <v>0.8</v>
      </c>
      <c r="R81" s="87">
        <f t="shared" si="17"/>
        <v>0</v>
      </c>
      <c r="S81" s="87">
        <f t="shared" si="7"/>
        <v>0</v>
      </c>
      <c r="T81" s="87">
        <f t="shared" si="8"/>
        <v>0</v>
      </c>
      <c r="U81" s="87">
        <f t="shared" si="9"/>
        <v>1.4548762183865689E-5</v>
      </c>
      <c r="V81" s="87">
        <f t="shared" si="10"/>
        <v>7.155440562134489E-6</v>
      </c>
      <c r="W81" s="120">
        <f t="shared" si="11"/>
        <v>4.7702937080896588E-6</v>
      </c>
    </row>
    <row r="82" spans="2:23">
      <c r="B82" s="116">
        <f>Amnt_Deposited!B77</f>
        <v>2063</v>
      </c>
      <c r="C82" s="119">
        <f>Amnt_Deposited!C77</f>
        <v>0</v>
      </c>
      <c r="D82" s="453">
        <f>Dry_Matter_Content!C69</f>
        <v>0.59</v>
      </c>
      <c r="E82" s="319">
        <f>MCF!R81</f>
        <v>0.8</v>
      </c>
      <c r="F82" s="87">
        <f t="shared" si="12"/>
        <v>0</v>
      </c>
      <c r="G82" s="87">
        <f t="shared" si="13"/>
        <v>0</v>
      </c>
      <c r="H82" s="87">
        <f t="shared" si="14"/>
        <v>0</v>
      </c>
      <c r="I82" s="87">
        <f t="shared" si="15"/>
        <v>1.4576477994945754E-5</v>
      </c>
      <c r="J82" s="87">
        <f t="shared" si="16"/>
        <v>7.1690718825388247E-6</v>
      </c>
      <c r="K82" s="120">
        <f t="shared" si="6"/>
        <v>4.7793812550258826E-6</v>
      </c>
      <c r="O82" s="116">
        <f>Amnt_Deposited!B77</f>
        <v>2063</v>
      </c>
      <c r="P82" s="119">
        <f>Amnt_Deposited!C77</f>
        <v>0</v>
      </c>
      <c r="Q82" s="319">
        <f>MCF!R81</f>
        <v>0.8</v>
      </c>
      <c r="R82" s="87">
        <f t="shared" si="17"/>
        <v>0</v>
      </c>
      <c r="S82" s="87">
        <f t="shared" si="7"/>
        <v>0</v>
      </c>
      <c r="T82" s="87">
        <f t="shared" si="8"/>
        <v>0</v>
      </c>
      <c r="U82" s="87">
        <f t="shared" si="9"/>
        <v>9.7523269368504178E-6</v>
      </c>
      <c r="V82" s="87">
        <f t="shared" si="10"/>
        <v>4.796435247015272E-6</v>
      </c>
      <c r="W82" s="120">
        <f t="shared" si="11"/>
        <v>3.1976234980101813E-6</v>
      </c>
    </row>
    <row r="83" spans="2:23">
      <c r="B83" s="116">
        <f>Amnt_Deposited!B78</f>
        <v>2064</v>
      </c>
      <c r="C83" s="119">
        <f>Amnt_Deposited!C78</f>
        <v>0</v>
      </c>
      <c r="D83" s="453">
        <f>Dry_Matter_Content!C70</f>
        <v>0.59</v>
      </c>
      <c r="E83" s="319">
        <f>MCF!R82</f>
        <v>0.8</v>
      </c>
      <c r="F83" s="87">
        <f t="shared" ref="F83:F99" si="18">C83*D83*$K$6*DOCF*E83</f>
        <v>0</v>
      </c>
      <c r="G83" s="87">
        <f t="shared" ref="G83:G99" si="19">F83*$K$12</f>
        <v>0</v>
      </c>
      <c r="H83" s="87">
        <f t="shared" ref="H83:H99" si="20">F83*(1-$K$12)</f>
        <v>0</v>
      </c>
      <c r="I83" s="87">
        <f t="shared" ref="I83:I99" si="21">G83+I82*$K$10</f>
        <v>9.7709054006095215E-6</v>
      </c>
      <c r="J83" s="87">
        <f t="shared" ref="J83:J99" si="22">I82*(1-$K$10)+H83</f>
        <v>4.8055725943362328E-6</v>
      </c>
      <c r="K83" s="120">
        <f t="shared" si="6"/>
        <v>3.2037150628908217E-6</v>
      </c>
      <c r="O83" s="116">
        <f>Amnt_Deposited!B78</f>
        <v>2064</v>
      </c>
      <c r="P83" s="119">
        <f>Amnt_Deposited!C78</f>
        <v>0</v>
      </c>
      <c r="Q83" s="319">
        <f>MCF!R82</f>
        <v>0.8</v>
      </c>
      <c r="R83" s="87">
        <f t="shared" ref="R83:R99" si="23">P83*$W$6*DOCF*Q83</f>
        <v>0</v>
      </c>
      <c r="S83" s="87">
        <f t="shared" si="7"/>
        <v>0</v>
      </c>
      <c r="T83" s="87">
        <f t="shared" si="8"/>
        <v>0</v>
      </c>
      <c r="U83" s="87">
        <f t="shared" si="9"/>
        <v>6.5371802412641774E-6</v>
      </c>
      <c r="V83" s="87">
        <f t="shared" si="10"/>
        <v>3.2151466955862404E-6</v>
      </c>
      <c r="W83" s="120">
        <f t="shared" si="11"/>
        <v>2.1434311303908267E-6</v>
      </c>
    </row>
    <row r="84" spans="2:23">
      <c r="B84" s="116">
        <f>Amnt_Deposited!B79</f>
        <v>2065</v>
      </c>
      <c r="C84" s="119">
        <f>Amnt_Deposited!C79</f>
        <v>0</v>
      </c>
      <c r="D84" s="453">
        <f>Dry_Matter_Content!C71</f>
        <v>0.59</v>
      </c>
      <c r="E84" s="319">
        <f>MCF!R83</f>
        <v>0.8</v>
      </c>
      <c r="F84" s="87">
        <f t="shared" si="18"/>
        <v>0</v>
      </c>
      <c r="G84" s="87">
        <f t="shared" si="19"/>
        <v>0</v>
      </c>
      <c r="H84" s="87">
        <f t="shared" si="20"/>
        <v>0</v>
      </c>
      <c r="I84" s="87">
        <f t="shared" si="21"/>
        <v>6.5496337579464512E-6</v>
      </c>
      <c r="J84" s="87">
        <f t="shared" si="22"/>
        <v>3.2212716426630703E-6</v>
      </c>
      <c r="K84" s="120">
        <f t="shared" si="6"/>
        <v>2.1475144284420466E-6</v>
      </c>
      <c r="O84" s="116">
        <f>Amnt_Deposited!B79</f>
        <v>2065</v>
      </c>
      <c r="P84" s="119">
        <f>Amnt_Deposited!C79</f>
        <v>0</v>
      </c>
      <c r="Q84" s="319">
        <f>MCF!R83</f>
        <v>0.8</v>
      </c>
      <c r="R84" s="87">
        <f t="shared" si="23"/>
        <v>0</v>
      </c>
      <c r="S84" s="87">
        <f t="shared" si="7"/>
        <v>0</v>
      </c>
      <c r="T84" s="87">
        <f t="shared" si="8"/>
        <v>0</v>
      </c>
      <c r="U84" s="87">
        <f t="shared" si="9"/>
        <v>4.3820029602674755E-6</v>
      </c>
      <c r="V84" s="87">
        <f t="shared" si="10"/>
        <v>2.1551772809967023E-6</v>
      </c>
      <c r="W84" s="120">
        <f t="shared" si="11"/>
        <v>1.4367848539978014E-6</v>
      </c>
    </row>
    <row r="85" spans="2:23">
      <c r="B85" s="116">
        <f>Amnt_Deposited!B80</f>
        <v>2066</v>
      </c>
      <c r="C85" s="119">
        <f>Amnt_Deposited!C80</f>
        <v>0</v>
      </c>
      <c r="D85" s="453">
        <f>Dry_Matter_Content!C72</f>
        <v>0.59</v>
      </c>
      <c r="E85" s="319">
        <f>MCF!R84</f>
        <v>0.8</v>
      </c>
      <c r="F85" s="87">
        <f t="shared" si="18"/>
        <v>0</v>
      </c>
      <c r="G85" s="87">
        <f t="shared" si="19"/>
        <v>0</v>
      </c>
      <c r="H85" s="87">
        <f t="shared" si="20"/>
        <v>0</v>
      </c>
      <c r="I85" s="87">
        <f t="shared" si="21"/>
        <v>4.390350802143243E-6</v>
      </c>
      <c r="J85" s="87">
        <f t="shared" si="22"/>
        <v>2.1592829558032086E-6</v>
      </c>
      <c r="K85" s="120">
        <f t="shared" ref="K85:K99" si="24">J85*CH4_fraction*conv</f>
        <v>1.4395219705354724E-6</v>
      </c>
      <c r="O85" s="116">
        <f>Amnt_Deposited!B80</f>
        <v>2066</v>
      </c>
      <c r="P85" s="119">
        <f>Amnt_Deposited!C80</f>
        <v>0</v>
      </c>
      <c r="Q85" s="319">
        <f>MCF!R84</f>
        <v>0.8</v>
      </c>
      <c r="R85" s="87">
        <f t="shared" si="23"/>
        <v>0</v>
      </c>
      <c r="S85" s="87">
        <f t="shared" ref="S85:S98" si="25">R85*$W$12</f>
        <v>0</v>
      </c>
      <c r="T85" s="87">
        <f t="shared" ref="T85:T98" si="26">R85*(1-$W$12)</f>
        <v>0</v>
      </c>
      <c r="U85" s="87">
        <f t="shared" ref="U85:U98" si="27">S85+U84*$W$10</f>
        <v>2.937344426054802E-6</v>
      </c>
      <c r="V85" s="87">
        <f t="shared" ref="V85:V98" si="28">U84*(1-$W$10)+T85</f>
        <v>1.4446585342126735E-6</v>
      </c>
      <c r="W85" s="120">
        <f t="shared" ref="W85:W99" si="29">V85*CH4_fraction*conv</f>
        <v>9.6310568947511553E-7</v>
      </c>
    </row>
    <row r="86" spans="2:23">
      <c r="B86" s="116">
        <f>Amnt_Deposited!B81</f>
        <v>2067</v>
      </c>
      <c r="C86" s="119">
        <f>Amnt_Deposited!C81</f>
        <v>0</v>
      </c>
      <c r="D86" s="453">
        <f>Dry_Matter_Content!C73</f>
        <v>0.59</v>
      </c>
      <c r="E86" s="319">
        <f>MCF!R85</f>
        <v>0.8</v>
      </c>
      <c r="F86" s="87">
        <f t="shared" si="18"/>
        <v>0</v>
      </c>
      <c r="G86" s="87">
        <f t="shared" si="19"/>
        <v>0</v>
      </c>
      <c r="H86" s="87">
        <f t="shared" si="20"/>
        <v>0</v>
      </c>
      <c r="I86" s="87">
        <f t="shared" si="21"/>
        <v>2.9429401518052648E-6</v>
      </c>
      <c r="J86" s="87">
        <f t="shared" si="22"/>
        <v>1.4474106503379782E-6</v>
      </c>
      <c r="K86" s="120">
        <f t="shared" si="24"/>
        <v>9.64940433558652E-7</v>
      </c>
      <c r="O86" s="116">
        <f>Amnt_Deposited!B81</f>
        <v>2067</v>
      </c>
      <c r="P86" s="119">
        <f>Amnt_Deposited!C81</f>
        <v>0</v>
      </c>
      <c r="Q86" s="319">
        <f>MCF!R85</f>
        <v>0.8</v>
      </c>
      <c r="R86" s="87">
        <f t="shared" si="23"/>
        <v>0</v>
      </c>
      <c r="S86" s="87">
        <f t="shared" si="25"/>
        <v>0</v>
      </c>
      <c r="T86" s="87">
        <f t="shared" si="26"/>
        <v>0</v>
      </c>
      <c r="U86" s="87">
        <f t="shared" si="27"/>
        <v>1.9689608508955834E-6</v>
      </c>
      <c r="V86" s="87">
        <f t="shared" si="28"/>
        <v>9.6838357515921863E-7</v>
      </c>
      <c r="W86" s="120">
        <f t="shared" si="29"/>
        <v>6.4558905010614572E-7</v>
      </c>
    </row>
    <row r="87" spans="2:23">
      <c r="B87" s="116">
        <f>Amnt_Deposited!B82</f>
        <v>2068</v>
      </c>
      <c r="C87" s="119">
        <f>Amnt_Deposited!C82</f>
        <v>0</v>
      </c>
      <c r="D87" s="453">
        <f>Dry_Matter_Content!C74</f>
        <v>0.59</v>
      </c>
      <c r="E87" s="319">
        <f>MCF!R86</f>
        <v>0.8</v>
      </c>
      <c r="F87" s="87">
        <f t="shared" si="18"/>
        <v>0</v>
      </c>
      <c r="G87" s="87">
        <f t="shared" si="19"/>
        <v>0</v>
      </c>
      <c r="H87" s="87">
        <f t="shared" si="20"/>
        <v>0</v>
      </c>
      <c r="I87" s="87">
        <f t="shared" si="21"/>
        <v>1.9727117780382367E-6</v>
      </c>
      <c r="J87" s="87">
        <f t="shared" si="22"/>
        <v>9.702283737670283E-7</v>
      </c>
      <c r="K87" s="120">
        <f t="shared" si="24"/>
        <v>6.468189158446855E-7</v>
      </c>
      <c r="O87" s="116">
        <f>Amnt_Deposited!B82</f>
        <v>2068</v>
      </c>
      <c r="P87" s="119">
        <f>Amnt_Deposited!C82</f>
        <v>0</v>
      </c>
      <c r="Q87" s="319">
        <f>MCF!R86</f>
        <v>0.8</v>
      </c>
      <c r="R87" s="87">
        <f t="shared" si="23"/>
        <v>0</v>
      </c>
      <c r="S87" s="87">
        <f t="shared" si="25"/>
        <v>0</v>
      </c>
      <c r="T87" s="87">
        <f t="shared" si="26"/>
        <v>0</v>
      </c>
      <c r="U87" s="87">
        <f t="shared" si="27"/>
        <v>1.319833928214699E-6</v>
      </c>
      <c r="V87" s="87">
        <f t="shared" si="28"/>
        <v>6.4912692268088436E-7</v>
      </c>
      <c r="W87" s="120">
        <f t="shared" si="29"/>
        <v>4.3275128178725624E-7</v>
      </c>
    </row>
    <row r="88" spans="2:23">
      <c r="B88" s="116">
        <f>Amnt_Deposited!B83</f>
        <v>2069</v>
      </c>
      <c r="C88" s="119">
        <f>Amnt_Deposited!C83</f>
        <v>0</v>
      </c>
      <c r="D88" s="453">
        <f>Dry_Matter_Content!C75</f>
        <v>0.59</v>
      </c>
      <c r="E88" s="319">
        <f>MCF!R87</f>
        <v>0.8</v>
      </c>
      <c r="F88" s="87">
        <f t="shared" si="18"/>
        <v>0</v>
      </c>
      <c r="G88" s="87">
        <f t="shared" si="19"/>
        <v>0</v>
      </c>
      <c r="H88" s="87">
        <f t="shared" si="20"/>
        <v>0</v>
      </c>
      <c r="I88" s="87">
        <f t="shared" si="21"/>
        <v>1.3223482498696388E-6</v>
      </c>
      <c r="J88" s="87">
        <f t="shared" si="22"/>
        <v>6.5036352816859799E-7</v>
      </c>
      <c r="K88" s="120">
        <f t="shared" si="24"/>
        <v>4.3357568544573199E-7</v>
      </c>
      <c r="O88" s="116">
        <f>Amnt_Deposited!B83</f>
        <v>2069</v>
      </c>
      <c r="P88" s="119">
        <f>Amnt_Deposited!C83</f>
        <v>0</v>
      </c>
      <c r="Q88" s="319">
        <f>MCF!R87</f>
        <v>0.8</v>
      </c>
      <c r="R88" s="87">
        <f t="shared" si="23"/>
        <v>0</v>
      </c>
      <c r="S88" s="87">
        <f t="shared" si="25"/>
        <v>0</v>
      </c>
      <c r="T88" s="87">
        <f t="shared" si="26"/>
        <v>0</v>
      </c>
      <c r="U88" s="87">
        <f t="shared" si="27"/>
        <v>8.8471113952027574E-7</v>
      </c>
      <c r="V88" s="87">
        <f t="shared" si="28"/>
        <v>4.3512278869442328E-7</v>
      </c>
      <c r="W88" s="120">
        <f t="shared" si="29"/>
        <v>2.900818591296155E-7</v>
      </c>
    </row>
    <row r="89" spans="2:23">
      <c r="B89" s="116">
        <f>Amnt_Deposited!B84</f>
        <v>2070</v>
      </c>
      <c r="C89" s="119">
        <f>Amnt_Deposited!C84</f>
        <v>0</v>
      </c>
      <c r="D89" s="453">
        <f>Dry_Matter_Content!C76</f>
        <v>0.59</v>
      </c>
      <c r="E89" s="319">
        <f>MCF!R88</f>
        <v>0.8</v>
      </c>
      <c r="F89" s="87">
        <f t="shared" si="18"/>
        <v>0</v>
      </c>
      <c r="G89" s="87">
        <f t="shared" si="19"/>
        <v>0</v>
      </c>
      <c r="H89" s="87">
        <f t="shared" si="20"/>
        <v>0</v>
      </c>
      <c r="I89" s="87">
        <f t="shared" si="21"/>
        <v>8.8639653972776334E-7</v>
      </c>
      <c r="J89" s="87">
        <f t="shared" si="22"/>
        <v>4.3595171014187542E-7</v>
      </c>
      <c r="K89" s="120">
        <f t="shared" si="24"/>
        <v>2.9063447342791694E-7</v>
      </c>
      <c r="O89" s="116">
        <f>Amnt_Deposited!B84</f>
        <v>2070</v>
      </c>
      <c r="P89" s="119">
        <f>Amnt_Deposited!C84</f>
        <v>0</v>
      </c>
      <c r="Q89" s="319">
        <f>MCF!R88</f>
        <v>0.8</v>
      </c>
      <c r="R89" s="87">
        <f t="shared" si="23"/>
        <v>0</v>
      </c>
      <c r="S89" s="87">
        <f t="shared" si="25"/>
        <v>0</v>
      </c>
      <c r="T89" s="87">
        <f t="shared" si="26"/>
        <v>0</v>
      </c>
      <c r="U89" s="87">
        <f t="shared" si="27"/>
        <v>5.9303961177147421E-7</v>
      </c>
      <c r="V89" s="87">
        <f t="shared" si="28"/>
        <v>2.9167152774880158E-7</v>
      </c>
      <c r="W89" s="120">
        <f t="shared" si="29"/>
        <v>1.944476851658677E-7</v>
      </c>
    </row>
    <row r="90" spans="2:23">
      <c r="B90" s="116">
        <f>Amnt_Deposited!B85</f>
        <v>2071</v>
      </c>
      <c r="C90" s="119">
        <f>Amnt_Deposited!C85</f>
        <v>0</v>
      </c>
      <c r="D90" s="453">
        <f>Dry_Matter_Content!C77</f>
        <v>0.59</v>
      </c>
      <c r="E90" s="319">
        <f>MCF!R89</f>
        <v>0.8</v>
      </c>
      <c r="F90" s="87">
        <f t="shared" si="18"/>
        <v>0</v>
      </c>
      <c r="G90" s="87">
        <f t="shared" si="19"/>
        <v>0</v>
      </c>
      <c r="H90" s="87">
        <f t="shared" si="20"/>
        <v>0</v>
      </c>
      <c r="I90" s="87">
        <f t="shared" si="21"/>
        <v>5.9416936931614575E-7</v>
      </c>
      <c r="J90" s="87">
        <f t="shared" si="22"/>
        <v>2.9222717041161759E-7</v>
      </c>
      <c r="K90" s="120">
        <f t="shared" si="24"/>
        <v>1.9481811360774506E-7</v>
      </c>
      <c r="O90" s="116">
        <f>Amnt_Deposited!B85</f>
        <v>2071</v>
      </c>
      <c r="P90" s="119">
        <f>Amnt_Deposited!C85</f>
        <v>0</v>
      </c>
      <c r="Q90" s="319">
        <f>MCF!R89</f>
        <v>0.8</v>
      </c>
      <c r="R90" s="87">
        <f t="shared" si="23"/>
        <v>0</v>
      </c>
      <c r="S90" s="87">
        <f t="shared" si="25"/>
        <v>0</v>
      </c>
      <c r="T90" s="87">
        <f t="shared" si="26"/>
        <v>0</v>
      </c>
      <c r="U90" s="87">
        <f t="shared" si="27"/>
        <v>3.9752633986361229E-7</v>
      </c>
      <c r="V90" s="87">
        <f t="shared" si="28"/>
        <v>1.9551327190786195E-7</v>
      </c>
      <c r="W90" s="120">
        <f t="shared" si="29"/>
        <v>1.3034218127190796E-7</v>
      </c>
    </row>
    <row r="91" spans="2:23">
      <c r="B91" s="116">
        <f>Amnt_Deposited!B86</f>
        <v>2072</v>
      </c>
      <c r="C91" s="119">
        <f>Amnt_Deposited!C86</f>
        <v>0</v>
      </c>
      <c r="D91" s="453">
        <f>Dry_Matter_Content!C78</f>
        <v>0.59</v>
      </c>
      <c r="E91" s="319">
        <f>MCF!R90</f>
        <v>0.8</v>
      </c>
      <c r="F91" s="87">
        <f t="shared" si="18"/>
        <v>0</v>
      </c>
      <c r="G91" s="87">
        <f t="shared" si="19"/>
        <v>0</v>
      </c>
      <c r="H91" s="87">
        <f t="shared" si="20"/>
        <v>0</v>
      </c>
      <c r="I91" s="87">
        <f t="shared" si="21"/>
        <v>3.9828363899296561E-7</v>
      </c>
      <c r="J91" s="87">
        <f t="shared" si="22"/>
        <v>1.9588573032318014E-7</v>
      </c>
      <c r="K91" s="120">
        <f t="shared" si="24"/>
        <v>1.3059048688212009E-7</v>
      </c>
      <c r="O91" s="116">
        <f>Amnt_Deposited!B86</f>
        <v>2072</v>
      </c>
      <c r="P91" s="119">
        <f>Amnt_Deposited!C86</f>
        <v>0</v>
      </c>
      <c r="Q91" s="319">
        <f>MCF!R90</f>
        <v>0.8</v>
      </c>
      <c r="R91" s="87">
        <f t="shared" si="23"/>
        <v>0</v>
      </c>
      <c r="S91" s="87">
        <f t="shared" si="25"/>
        <v>0</v>
      </c>
      <c r="T91" s="87">
        <f t="shared" si="26"/>
        <v>0</v>
      </c>
      <c r="U91" s="87">
        <f t="shared" si="27"/>
        <v>2.6646987443775578E-7</v>
      </c>
      <c r="V91" s="87">
        <f t="shared" si="28"/>
        <v>1.3105646542585651E-7</v>
      </c>
      <c r="W91" s="120">
        <f t="shared" si="29"/>
        <v>8.7370976950571E-8</v>
      </c>
    </row>
    <row r="92" spans="2:23">
      <c r="B92" s="116">
        <f>Amnt_Deposited!B87</f>
        <v>2073</v>
      </c>
      <c r="C92" s="119">
        <f>Amnt_Deposited!C87</f>
        <v>0</v>
      </c>
      <c r="D92" s="453">
        <f>Dry_Matter_Content!C79</f>
        <v>0.59</v>
      </c>
      <c r="E92" s="319">
        <f>MCF!R91</f>
        <v>0.8</v>
      </c>
      <c r="F92" s="87">
        <f t="shared" si="18"/>
        <v>0</v>
      </c>
      <c r="G92" s="87">
        <f t="shared" si="19"/>
        <v>0</v>
      </c>
      <c r="H92" s="87">
        <f t="shared" si="20"/>
        <v>0</v>
      </c>
      <c r="I92" s="87">
        <f t="shared" si="21"/>
        <v>2.6697750722500666E-7</v>
      </c>
      <c r="J92" s="87">
        <f t="shared" si="22"/>
        <v>1.3130613176795895E-7</v>
      </c>
      <c r="K92" s="120">
        <f t="shared" si="24"/>
        <v>8.7537421178639292E-8</v>
      </c>
      <c r="O92" s="116">
        <f>Amnt_Deposited!B87</f>
        <v>2073</v>
      </c>
      <c r="P92" s="119">
        <f>Amnt_Deposited!C87</f>
        <v>0</v>
      </c>
      <c r="Q92" s="319">
        <f>MCF!R91</f>
        <v>0.8</v>
      </c>
      <c r="R92" s="87">
        <f t="shared" si="23"/>
        <v>0</v>
      </c>
      <c r="S92" s="87">
        <f t="shared" si="25"/>
        <v>0</v>
      </c>
      <c r="T92" s="87">
        <f t="shared" si="26"/>
        <v>0</v>
      </c>
      <c r="U92" s="87">
        <f t="shared" si="27"/>
        <v>1.7862009850022749E-7</v>
      </c>
      <c r="V92" s="87">
        <f t="shared" si="28"/>
        <v>8.7849775937528293E-8</v>
      </c>
      <c r="W92" s="120">
        <f t="shared" si="29"/>
        <v>5.8566517291685529E-8</v>
      </c>
    </row>
    <row r="93" spans="2:23">
      <c r="B93" s="116">
        <f>Amnt_Deposited!B88</f>
        <v>2074</v>
      </c>
      <c r="C93" s="119">
        <f>Amnt_Deposited!C88</f>
        <v>0</v>
      </c>
      <c r="D93" s="453">
        <f>Dry_Matter_Content!C80</f>
        <v>0.59</v>
      </c>
      <c r="E93" s="319">
        <f>MCF!R92</f>
        <v>0.8</v>
      </c>
      <c r="F93" s="87">
        <f t="shared" si="18"/>
        <v>0</v>
      </c>
      <c r="G93" s="87">
        <f t="shared" si="19"/>
        <v>0</v>
      </c>
      <c r="H93" s="87">
        <f t="shared" si="20"/>
        <v>0</v>
      </c>
      <c r="I93" s="87">
        <f t="shared" si="21"/>
        <v>1.7896037493354668E-7</v>
      </c>
      <c r="J93" s="87">
        <f t="shared" si="22"/>
        <v>8.8017132291459963E-8</v>
      </c>
      <c r="K93" s="120">
        <f t="shared" si="24"/>
        <v>5.8678088194306638E-8</v>
      </c>
      <c r="O93" s="116">
        <f>Amnt_Deposited!B88</f>
        <v>2074</v>
      </c>
      <c r="P93" s="119">
        <f>Amnt_Deposited!C88</f>
        <v>0</v>
      </c>
      <c r="Q93" s="319">
        <f>MCF!R92</f>
        <v>0.8</v>
      </c>
      <c r="R93" s="87">
        <f t="shared" si="23"/>
        <v>0</v>
      </c>
      <c r="S93" s="87">
        <f t="shared" si="25"/>
        <v>0</v>
      </c>
      <c r="T93" s="87">
        <f t="shared" si="26"/>
        <v>0</v>
      </c>
      <c r="U93" s="87">
        <f t="shared" si="27"/>
        <v>1.1973263264956293E-7</v>
      </c>
      <c r="V93" s="87">
        <f t="shared" si="28"/>
        <v>5.888746585066457E-8</v>
      </c>
      <c r="W93" s="120">
        <f t="shared" si="29"/>
        <v>3.9258310567109714E-8</v>
      </c>
    </row>
    <row r="94" spans="2:23">
      <c r="B94" s="116">
        <f>Amnt_Deposited!B89</f>
        <v>2075</v>
      </c>
      <c r="C94" s="119">
        <f>Amnt_Deposited!C89</f>
        <v>0</v>
      </c>
      <c r="D94" s="453">
        <f>Dry_Matter_Content!C81</f>
        <v>0.59</v>
      </c>
      <c r="E94" s="319">
        <f>MCF!R93</f>
        <v>0.8</v>
      </c>
      <c r="F94" s="87">
        <f t="shared" si="18"/>
        <v>0</v>
      </c>
      <c r="G94" s="87">
        <f t="shared" si="19"/>
        <v>0</v>
      </c>
      <c r="H94" s="87">
        <f t="shared" si="20"/>
        <v>0</v>
      </c>
      <c r="I94" s="87">
        <f t="shared" si="21"/>
        <v>1.1996072676401028E-7</v>
      </c>
      <c r="J94" s="87">
        <f t="shared" si="22"/>
        <v>5.8999648169536396E-8</v>
      </c>
      <c r="K94" s="120">
        <f t="shared" si="24"/>
        <v>3.9333098779690927E-8</v>
      </c>
      <c r="O94" s="116">
        <f>Amnt_Deposited!B89</f>
        <v>2075</v>
      </c>
      <c r="P94" s="119">
        <f>Amnt_Deposited!C89</f>
        <v>0</v>
      </c>
      <c r="Q94" s="319">
        <f>MCF!R93</f>
        <v>0.8</v>
      </c>
      <c r="R94" s="87">
        <f t="shared" si="23"/>
        <v>0</v>
      </c>
      <c r="S94" s="87">
        <f t="shared" si="25"/>
        <v>0</v>
      </c>
      <c r="T94" s="87">
        <f t="shared" si="26"/>
        <v>0</v>
      </c>
      <c r="U94" s="87">
        <f t="shared" si="27"/>
        <v>8.0259183829623316E-8</v>
      </c>
      <c r="V94" s="87">
        <f t="shared" si="28"/>
        <v>3.9473448819939615E-8</v>
      </c>
      <c r="W94" s="120">
        <f t="shared" si="29"/>
        <v>2.631563254662641E-8</v>
      </c>
    </row>
    <row r="95" spans="2:23">
      <c r="B95" s="116">
        <f>Amnt_Deposited!B90</f>
        <v>2076</v>
      </c>
      <c r="C95" s="119">
        <f>Amnt_Deposited!C90</f>
        <v>0</v>
      </c>
      <c r="D95" s="453">
        <f>Dry_Matter_Content!C82</f>
        <v>0.59</v>
      </c>
      <c r="E95" s="319">
        <f>MCF!R94</f>
        <v>0.8</v>
      </c>
      <c r="F95" s="87">
        <f t="shared" si="18"/>
        <v>0</v>
      </c>
      <c r="G95" s="87">
        <f t="shared" si="19"/>
        <v>0</v>
      </c>
      <c r="H95" s="87">
        <f t="shared" si="20"/>
        <v>0</v>
      </c>
      <c r="I95" s="87">
        <f t="shared" si="21"/>
        <v>8.0412079886920127E-8</v>
      </c>
      <c r="J95" s="87">
        <f t="shared" si="22"/>
        <v>3.9548646877090161E-8</v>
      </c>
      <c r="K95" s="120">
        <f t="shared" si="24"/>
        <v>2.6365764584726772E-8</v>
      </c>
      <c r="O95" s="116">
        <f>Amnt_Deposited!B90</f>
        <v>2076</v>
      </c>
      <c r="P95" s="119">
        <f>Amnt_Deposited!C90</f>
        <v>0</v>
      </c>
      <c r="Q95" s="319">
        <f>MCF!R94</f>
        <v>0.8</v>
      </c>
      <c r="R95" s="87">
        <f t="shared" si="23"/>
        <v>0</v>
      </c>
      <c r="S95" s="87">
        <f t="shared" si="25"/>
        <v>0</v>
      </c>
      <c r="T95" s="87">
        <f t="shared" si="26"/>
        <v>0</v>
      </c>
      <c r="U95" s="87">
        <f t="shared" si="27"/>
        <v>5.3799339799455943E-8</v>
      </c>
      <c r="V95" s="87">
        <f t="shared" si="28"/>
        <v>2.6459844030167376E-8</v>
      </c>
      <c r="W95" s="120">
        <f t="shared" si="29"/>
        <v>1.7639896020111584E-8</v>
      </c>
    </row>
    <row r="96" spans="2:23">
      <c r="B96" s="116">
        <f>Amnt_Deposited!B91</f>
        <v>2077</v>
      </c>
      <c r="C96" s="119">
        <f>Amnt_Deposited!C91</f>
        <v>0</v>
      </c>
      <c r="D96" s="453">
        <f>Dry_Matter_Content!C83</f>
        <v>0.59</v>
      </c>
      <c r="E96" s="319">
        <f>MCF!R95</f>
        <v>0.8</v>
      </c>
      <c r="F96" s="87">
        <f t="shared" si="18"/>
        <v>0</v>
      </c>
      <c r="G96" s="87">
        <f t="shared" si="19"/>
        <v>0</v>
      </c>
      <c r="H96" s="87">
        <f t="shared" si="20"/>
        <v>0</v>
      </c>
      <c r="I96" s="87">
        <f t="shared" si="21"/>
        <v>5.3901829091621804E-8</v>
      </c>
      <c r="J96" s="87">
        <f t="shared" si="22"/>
        <v>2.651025079529832E-8</v>
      </c>
      <c r="K96" s="120">
        <f t="shared" si="24"/>
        <v>1.767350053019888E-8</v>
      </c>
      <c r="O96" s="116">
        <f>Amnt_Deposited!B91</f>
        <v>2077</v>
      </c>
      <c r="P96" s="119">
        <f>Amnt_Deposited!C91</f>
        <v>0</v>
      </c>
      <c r="Q96" s="319">
        <f>MCF!R95</f>
        <v>0.8</v>
      </c>
      <c r="R96" s="87">
        <f t="shared" si="23"/>
        <v>0</v>
      </c>
      <c r="S96" s="87">
        <f t="shared" si="25"/>
        <v>0</v>
      </c>
      <c r="T96" s="87">
        <f t="shared" si="26"/>
        <v>0</v>
      </c>
      <c r="U96" s="87">
        <f t="shared" si="27"/>
        <v>3.6062775931058312E-8</v>
      </c>
      <c r="V96" s="87">
        <f t="shared" si="28"/>
        <v>1.7736563868397631E-8</v>
      </c>
      <c r="W96" s="120">
        <f t="shared" si="29"/>
        <v>1.1824375912265086E-8</v>
      </c>
    </row>
    <row r="97" spans="2:23">
      <c r="B97" s="116">
        <f>Amnt_Deposited!B92</f>
        <v>2078</v>
      </c>
      <c r="C97" s="119">
        <f>Amnt_Deposited!C92</f>
        <v>0</v>
      </c>
      <c r="D97" s="453">
        <f>Dry_Matter_Content!C84</f>
        <v>0.59</v>
      </c>
      <c r="E97" s="319">
        <f>MCF!R96</f>
        <v>0.8</v>
      </c>
      <c r="F97" s="87">
        <f t="shared" si="18"/>
        <v>0</v>
      </c>
      <c r="G97" s="87">
        <f t="shared" si="19"/>
        <v>0</v>
      </c>
      <c r="H97" s="87">
        <f t="shared" si="20"/>
        <v>0</v>
      </c>
      <c r="I97" s="87">
        <f t="shared" si="21"/>
        <v>3.6131476558101089E-8</v>
      </c>
      <c r="J97" s="87">
        <f t="shared" si="22"/>
        <v>1.7770352533520715E-8</v>
      </c>
      <c r="K97" s="120">
        <f t="shared" si="24"/>
        <v>1.1846901689013809E-8</v>
      </c>
      <c r="O97" s="116">
        <f>Amnt_Deposited!B92</f>
        <v>2078</v>
      </c>
      <c r="P97" s="119">
        <f>Amnt_Deposited!C92</f>
        <v>0</v>
      </c>
      <c r="Q97" s="319">
        <f>MCF!R96</f>
        <v>0.8</v>
      </c>
      <c r="R97" s="87">
        <f t="shared" si="23"/>
        <v>0</v>
      </c>
      <c r="S97" s="87">
        <f t="shared" si="25"/>
        <v>0</v>
      </c>
      <c r="T97" s="87">
        <f t="shared" si="26"/>
        <v>0</v>
      </c>
      <c r="U97" s="87">
        <f t="shared" si="27"/>
        <v>2.4173601622279955E-8</v>
      </c>
      <c r="V97" s="87">
        <f t="shared" si="28"/>
        <v>1.1889174308778359E-8</v>
      </c>
      <c r="W97" s="120">
        <f t="shared" si="29"/>
        <v>7.9261162058522383E-9</v>
      </c>
    </row>
    <row r="98" spans="2:23">
      <c r="B98" s="116">
        <f>Amnt_Deposited!B93</f>
        <v>2079</v>
      </c>
      <c r="C98" s="119">
        <f>Amnt_Deposited!C93</f>
        <v>0</v>
      </c>
      <c r="D98" s="453">
        <f>Dry_Matter_Content!C85</f>
        <v>0.59</v>
      </c>
      <c r="E98" s="319">
        <f>MCF!R97</f>
        <v>0.8</v>
      </c>
      <c r="F98" s="87">
        <f t="shared" si="18"/>
        <v>0</v>
      </c>
      <c r="G98" s="87">
        <f t="shared" si="19"/>
        <v>0</v>
      </c>
      <c r="H98" s="87">
        <f t="shared" si="20"/>
        <v>0</v>
      </c>
      <c r="I98" s="87">
        <f t="shared" si="21"/>
        <v>2.4219653029761945E-8</v>
      </c>
      <c r="J98" s="87">
        <f t="shared" si="22"/>
        <v>1.1911823528339144E-8</v>
      </c>
      <c r="K98" s="120">
        <f t="shared" si="24"/>
        <v>7.941215685559429E-9</v>
      </c>
      <c r="O98" s="116">
        <f>Amnt_Deposited!B93</f>
        <v>2079</v>
      </c>
      <c r="P98" s="119">
        <f>Amnt_Deposited!C93</f>
        <v>0</v>
      </c>
      <c r="Q98" s="319">
        <f>MCF!R97</f>
        <v>0.8</v>
      </c>
      <c r="R98" s="87">
        <f t="shared" si="23"/>
        <v>0</v>
      </c>
      <c r="S98" s="87">
        <f t="shared" si="25"/>
        <v>0</v>
      </c>
      <c r="T98" s="87">
        <f t="shared" si="26"/>
        <v>0</v>
      </c>
      <c r="U98" s="87">
        <f t="shared" si="27"/>
        <v>1.6204049752293903E-8</v>
      </c>
      <c r="V98" s="87">
        <f t="shared" si="28"/>
        <v>7.9695518699860499E-9</v>
      </c>
      <c r="W98" s="120">
        <f t="shared" si="29"/>
        <v>5.3130345799906999E-9</v>
      </c>
    </row>
    <row r="99" spans="2:23" ht="13.5" thickBot="1">
      <c r="B99" s="117">
        <f>Amnt_Deposited!B94</f>
        <v>2080</v>
      </c>
      <c r="C99" s="121">
        <f>Amnt_Deposited!C94</f>
        <v>0</v>
      </c>
      <c r="D99" s="454">
        <f>Dry_Matter_Content!C86</f>
        <v>0.59</v>
      </c>
      <c r="E99" s="320">
        <f>MCF!R98</f>
        <v>0.8</v>
      </c>
      <c r="F99" s="88">
        <f t="shared" si="18"/>
        <v>0</v>
      </c>
      <c r="G99" s="88">
        <f t="shared" si="19"/>
        <v>0</v>
      </c>
      <c r="H99" s="88">
        <f t="shared" si="20"/>
        <v>0</v>
      </c>
      <c r="I99" s="88">
        <f t="shared" si="21"/>
        <v>1.623491893387724E-8</v>
      </c>
      <c r="J99" s="88">
        <f t="shared" si="22"/>
        <v>7.9847340958847066E-9</v>
      </c>
      <c r="K99" s="122">
        <f t="shared" si="24"/>
        <v>5.3231560639231372E-9</v>
      </c>
      <c r="O99" s="117">
        <f>Amnt_Deposited!B94</f>
        <v>2080</v>
      </c>
      <c r="P99" s="121">
        <f>Amnt_Deposited!C94</f>
        <v>0</v>
      </c>
      <c r="Q99" s="320">
        <f>MCF!R98</f>
        <v>0.8</v>
      </c>
      <c r="R99" s="88">
        <f t="shared" si="23"/>
        <v>0</v>
      </c>
      <c r="S99" s="88">
        <f>R99*$W$12</f>
        <v>0</v>
      </c>
      <c r="T99" s="88">
        <f>R99*(1-$W$12)</f>
        <v>0</v>
      </c>
      <c r="U99" s="88">
        <f>S99+U98*$W$10</f>
        <v>1.086189937592144E-8</v>
      </c>
      <c r="V99" s="88">
        <f>U98*(1-$W$10)+T99</f>
        <v>5.3421503763724642E-9</v>
      </c>
      <c r="W99" s="122">
        <f t="shared" si="29"/>
        <v>3.5614335842483095E-9</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0.44</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4.146777023796</v>
      </c>
      <c r="D19" s="451">
        <f>Dry_Matter_Content!D6</f>
        <v>0.44</v>
      </c>
      <c r="E19" s="318">
        <f>MCF!R18</f>
        <v>0.8</v>
      </c>
      <c r="F19" s="150">
        <f t="shared" ref="F19:F50" si="0">C19*D19*$K$6*DOCF*E19</f>
        <v>0.32112641272276227</v>
      </c>
      <c r="G19" s="85">
        <f t="shared" ref="G19:G82" si="1">F19*$K$12</f>
        <v>0.32112641272276227</v>
      </c>
      <c r="H19" s="85">
        <f t="shared" ref="H19:H82" si="2">F19*(1-$K$12)</f>
        <v>0</v>
      </c>
      <c r="I19" s="85">
        <f t="shared" ref="I19:I82" si="3">G19+I18*$K$10</f>
        <v>0.32112641272276227</v>
      </c>
      <c r="J19" s="85">
        <f t="shared" ref="J19:J82" si="4">I18*(1-$K$10)+H19</f>
        <v>0</v>
      </c>
      <c r="K19" s="86">
        <f>J19*CH4_fraction*conv</f>
        <v>0</v>
      </c>
      <c r="O19" s="115">
        <f>Amnt_Deposited!B14</f>
        <v>2000</v>
      </c>
      <c r="P19" s="118">
        <f>Amnt_Deposited!D14</f>
        <v>4.146777023796</v>
      </c>
      <c r="Q19" s="318">
        <f>MCF!R18</f>
        <v>0.8</v>
      </c>
      <c r="R19" s="150">
        <f t="shared" ref="R19:R50" si="5">P19*$W$6*DOCF*Q19</f>
        <v>0.66348432380736</v>
      </c>
      <c r="S19" s="85">
        <f>R19*$W$12</f>
        <v>0.66348432380736</v>
      </c>
      <c r="T19" s="85">
        <f>R19*(1-$W$12)</f>
        <v>0</v>
      </c>
      <c r="U19" s="85">
        <f>S19+U18*$W$10</f>
        <v>0.66348432380736</v>
      </c>
      <c r="V19" s="85">
        <f>U18*(1-$W$10)+T19</f>
        <v>0</v>
      </c>
      <c r="W19" s="86">
        <f>V19*CH4_fraction*conv</f>
        <v>0</v>
      </c>
    </row>
    <row r="20" spans="2:23">
      <c r="B20" s="116">
        <f>Amnt_Deposited!B15</f>
        <v>2001</v>
      </c>
      <c r="C20" s="119">
        <f>Amnt_Deposited!D15</f>
        <v>4.2298046493120003</v>
      </c>
      <c r="D20" s="453">
        <f>Dry_Matter_Content!D7</f>
        <v>0.44</v>
      </c>
      <c r="E20" s="319">
        <f>MCF!R19</f>
        <v>0.8</v>
      </c>
      <c r="F20" s="87">
        <f t="shared" si="0"/>
        <v>0.3275560720427213</v>
      </c>
      <c r="G20" s="87">
        <f t="shared" si="1"/>
        <v>0.3275560720427213</v>
      </c>
      <c r="H20" s="87">
        <f t="shared" si="2"/>
        <v>0</v>
      </c>
      <c r="I20" s="87">
        <f t="shared" si="3"/>
        <v>0.62697235467399171</v>
      </c>
      <c r="J20" s="87">
        <f t="shared" si="4"/>
        <v>2.171013009149185E-2</v>
      </c>
      <c r="K20" s="120">
        <f>J20*CH4_fraction*conv</f>
        <v>1.4473420060994566E-2</v>
      </c>
      <c r="M20" s="428"/>
      <c r="O20" s="116">
        <f>Amnt_Deposited!B15</f>
        <v>2001</v>
      </c>
      <c r="P20" s="119">
        <f>Amnt_Deposited!D15</f>
        <v>4.2298046493120003</v>
      </c>
      <c r="Q20" s="319">
        <f>MCF!R19</f>
        <v>0.8</v>
      </c>
      <c r="R20" s="87">
        <f t="shared" si="5"/>
        <v>0.67676874388992014</v>
      </c>
      <c r="S20" s="87">
        <f>R20*$W$12</f>
        <v>0.67676874388992014</v>
      </c>
      <c r="T20" s="87">
        <f>R20*(1-$W$12)</f>
        <v>0</v>
      </c>
      <c r="U20" s="87">
        <f>S20+U19*$W$10</f>
        <v>1.2953974270123796</v>
      </c>
      <c r="V20" s="87">
        <f>U19*(1-$W$10)+T20</f>
        <v>4.4855640684900513E-2</v>
      </c>
      <c r="W20" s="120">
        <f>V20*CH4_fraction*conv</f>
        <v>2.9903760456600342E-2</v>
      </c>
    </row>
    <row r="21" spans="2:23">
      <c r="B21" s="116">
        <f>Amnt_Deposited!B16</f>
        <v>2002</v>
      </c>
      <c r="C21" s="119">
        <f>Amnt_Deposited!D16</f>
        <v>4.3262792353440007</v>
      </c>
      <c r="D21" s="453">
        <f>Dry_Matter_Content!D8</f>
        <v>0.44</v>
      </c>
      <c r="E21" s="319">
        <f>MCF!R20</f>
        <v>0.8</v>
      </c>
      <c r="F21" s="87">
        <f t="shared" si="0"/>
        <v>0.33502706398503945</v>
      </c>
      <c r="G21" s="87">
        <f t="shared" si="1"/>
        <v>0.33502706398503945</v>
      </c>
      <c r="H21" s="87">
        <f t="shared" si="2"/>
        <v>0</v>
      </c>
      <c r="I21" s="87">
        <f t="shared" si="3"/>
        <v>0.91961221273494964</v>
      </c>
      <c r="J21" s="87">
        <f t="shared" si="4"/>
        <v>4.2387205924081559E-2</v>
      </c>
      <c r="K21" s="120">
        <f t="shared" ref="K21:K84" si="6">J21*CH4_fraction*conv</f>
        <v>2.8258137282721037E-2</v>
      </c>
      <c r="O21" s="116">
        <f>Amnt_Deposited!B16</f>
        <v>2002</v>
      </c>
      <c r="P21" s="119">
        <f>Amnt_Deposited!D16</f>
        <v>4.3262792353440007</v>
      </c>
      <c r="Q21" s="319">
        <f>MCF!R20</f>
        <v>0.8</v>
      </c>
      <c r="R21" s="87">
        <f t="shared" si="5"/>
        <v>0.69220467765504023</v>
      </c>
      <c r="S21" s="87">
        <f t="shared" ref="S21:S84" si="7">R21*$W$12</f>
        <v>0.69220467765504023</v>
      </c>
      <c r="T21" s="87">
        <f t="shared" ref="T21:T84" si="8">R21*(1-$W$12)</f>
        <v>0</v>
      </c>
      <c r="U21" s="87">
        <f t="shared" ref="U21:U84" si="9">S21+U20*$W$10</f>
        <v>1.9000252329234497</v>
      </c>
      <c r="V21" s="87">
        <f t="shared" ref="V21:V84" si="10">U20*(1-$W$10)+T21</f>
        <v>8.7576871743970164E-2</v>
      </c>
      <c r="W21" s="120">
        <f t="shared" ref="W21:W84" si="11">V21*CH4_fraction*conv</f>
        <v>5.8384581162646776E-2</v>
      </c>
    </row>
    <row r="22" spans="2:23">
      <c r="B22" s="116">
        <f>Amnt_Deposited!B17</f>
        <v>2003</v>
      </c>
      <c r="C22" s="119">
        <f>Amnt_Deposited!D17</f>
        <v>4.4648600637959994</v>
      </c>
      <c r="D22" s="453">
        <f>Dry_Matter_Content!D9</f>
        <v>0.44</v>
      </c>
      <c r="E22" s="319">
        <f>MCF!R21</f>
        <v>0.8</v>
      </c>
      <c r="F22" s="87">
        <f t="shared" si="0"/>
        <v>0.34575876334036226</v>
      </c>
      <c r="G22" s="87">
        <f t="shared" si="1"/>
        <v>0.34575876334036226</v>
      </c>
      <c r="H22" s="87">
        <f t="shared" si="2"/>
        <v>0</v>
      </c>
      <c r="I22" s="87">
        <f t="shared" si="3"/>
        <v>1.2031995072044634</v>
      </c>
      <c r="J22" s="87">
        <f t="shared" si="4"/>
        <v>6.2171468870848415E-2</v>
      </c>
      <c r="K22" s="120">
        <f t="shared" si="6"/>
        <v>4.1447645913898941E-2</v>
      </c>
      <c r="N22" s="290"/>
      <c r="O22" s="116">
        <f>Amnt_Deposited!B17</f>
        <v>2003</v>
      </c>
      <c r="P22" s="119">
        <f>Amnt_Deposited!D17</f>
        <v>4.4648600637959994</v>
      </c>
      <c r="Q22" s="319">
        <f>MCF!R21</f>
        <v>0.8</v>
      </c>
      <c r="R22" s="87">
        <f t="shared" si="5"/>
        <v>0.71437761020736001</v>
      </c>
      <c r="S22" s="87">
        <f t="shared" si="7"/>
        <v>0.71437761020736001</v>
      </c>
      <c r="T22" s="87">
        <f t="shared" si="8"/>
        <v>0</v>
      </c>
      <c r="U22" s="87">
        <f t="shared" si="9"/>
        <v>2.4859493950505445</v>
      </c>
      <c r="V22" s="87">
        <f t="shared" si="10"/>
        <v>0.12845344808026532</v>
      </c>
      <c r="W22" s="120">
        <f t="shared" si="11"/>
        <v>8.5635632053510213E-2</v>
      </c>
    </row>
    <row r="23" spans="2:23">
      <c r="B23" s="116">
        <f>Amnt_Deposited!B18</f>
        <v>2004</v>
      </c>
      <c r="C23" s="119">
        <f>Amnt_Deposited!D18</f>
        <v>4.5167553117720001</v>
      </c>
      <c r="D23" s="453">
        <f>Dry_Matter_Content!D10</f>
        <v>0.44</v>
      </c>
      <c r="E23" s="319">
        <f>MCF!R22</f>
        <v>0.8</v>
      </c>
      <c r="F23" s="87">
        <f t="shared" si="0"/>
        <v>0.34977753134362372</v>
      </c>
      <c r="G23" s="87">
        <f t="shared" si="1"/>
        <v>0.34977753134362372</v>
      </c>
      <c r="H23" s="87">
        <f t="shared" si="2"/>
        <v>0</v>
      </c>
      <c r="I23" s="87">
        <f t="shared" si="3"/>
        <v>1.471633315974948</v>
      </c>
      <c r="J23" s="87">
        <f t="shared" si="4"/>
        <v>8.1343722573139238E-2</v>
      </c>
      <c r="K23" s="120">
        <f t="shared" si="6"/>
        <v>5.4229148382092821E-2</v>
      </c>
      <c r="N23" s="290"/>
      <c r="O23" s="116">
        <f>Amnt_Deposited!B18</f>
        <v>2004</v>
      </c>
      <c r="P23" s="119">
        <f>Amnt_Deposited!D18</f>
        <v>4.5167553117720001</v>
      </c>
      <c r="Q23" s="319">
        <f>MCF!R22</f>
        <v>0.8</v>
      </c>
      <c r="R23" s="87">
        <f t="shared" si="5"/>
        <v>0.7226808498835201</v>
      </c>
      <c r="S23" s="87">
        <f t="shared" si="7"/>
        <v>0.7226808498835201</v>
      </c>
      <c r="T23" s="87">
        <f t="shared" si="8"/>
        <v>0</v>
      </c>
      <c r="U23" s="87">
        <f t="shared" si="9"/>
        <v>3.0405647024275786</v>
      </c>
      <c r="V23" s="87">
        <f t="shared" si="10"/>
        <v>0.16806554250648606</v>
      </c>
      <c r="W23" s="120">
        <f t="shared" si="11"/>
        <v>0.11204369500432404</v>
      </c>
    </row>
    <row r="24" spans="2:23">
      <c r="B24" s="116">
        <f>Amnt_Deposited!B19</f>
        <v>2005</v>
      </c>
      <c r="C24" s="119">
        <f>Amnt_Deposited!D19</f>
        <v>4.6423106397359994</v>
      </c>
      <c r="D24" s="453">
        <f>Dry_Matter_Content!D11</f>
        <v>0.44</v>
      </c>
      <c r="E24" s="319">
        <f>MCF!R23</f>
        <v>0.8</v>
      </c>
      <c r="F24" s="87">
        <f t="shared" si="0"/>
        <v>0.35950053594115583</v>
      </c>
      <c r="G24" s="87">
        <f t="shared" si="1"/>
        <v>0.35950053594115583</v>
      </c>
      <c r="H24" s="87">
        <f t="shared" si="2"/>
        <v>0</v>
      </c>
      <c r="I24" s="87">
        <f t="shared" si="3"/>
        <v>1.7316423449238949</v>
      </c>
      <c r="J24" s="87">
        <f t="shared" si="4"/>
        <v>9.9491506992208864E-2</v>
      </c>
      <c r="K24" s="120">
        <f t="shared" si="6"/>
        <v>6.6327671328139243E-2</v>
      </c>
      <c r="N24" s="290"/>
      <c r="O24" s="116">
        <f>Amnt_Deposited!B19</f>
        <v>2005</v>
      </c>
      <c r="P24" s="119">
        <f>Amnt_Deposited!D19</f>
        <v>4.6423106397359994</v>
      </c>
      <c r="Q24" s="319">
        <f>MCF!R23</f>
        <v>0.8</v>
      </c>
      <c r="R24" s="87">
        <f t="shared" si="5"/>
        <v>0.74276970235775996</v>
      </c>
      <c r="S24" s="87">
        <f t="shared" si="7"/>
        <v>0.74276970235775996</v>
      </c>
      <c r="T24" s="87">
        <f t="shared" si="8"/>
        <v>0</v>
      </c>
      <c r="U24" s="87">
        <f t="shared" si="9"/>
        <v>3.5777734399254029</v>
      </c>
      <c r="V24" s="87">
        <f t="shared" si="10"/>
        <v>0.20556096485993566</v>
      </c>
      <c r="W24" s="120">
        <f t="shared" si="11"/>
        <v>0.1370406432399571</v>
      </c>
    </row>
    <row r="25" spans="2:23">
      <c r="B25" s="116">
        <f>Amnt_Deposited!B20</f>
        <v>2006</v>
      </c>
      <c r="C25" s="119">
        <f>Amnt_Deposited!D20</f>
        <v>4.6958519674440007</v>
      </c>
      <c r="D25" s="453">
        <f>Dry_Matter_Content!D12</f>
        <v>0.44</v>
      </c>
      <c r="E25" s="319">
        <f>MCF!R24</f>
        <v>0.8</v>
      </c>
      <c r="F25" s="87">
        <f t="shared" si="0"/>
        <v>0.36364677635886344</v>
      </c>
      <c r="G25" s="87">
        <f t="shared" si="1"/>
        <v>0.36364677635886344</v>
      </c>
      <c r="H25" s="87">
        <f t="shared" si="2"/>
        <v>0</v>
      </c>
      <c r="I25" s="87">
        <f t="shared" si="3"/>
        <v>1.9782193970533473</v>
      </c>
      <c r="J25" s="87">
        <f t="shared" si="4"/>
        <v>0.11706972422941088</v>
      </c>
      <c r="K25" s="120">
        <f t="shared" si="6"/>
        <v>7.8046482819607244E-2</v>
      </c>
      <c r="N25" s="290"/>
      <c r="O25" s="116">
        <f>Amnt_Deposited!B20</f>
        <v>2006</v>
      </c>
      <c r="P25" s="119">
        <f>Amnt_Deposited!D20</f>
        <v>4.6958519674440007</v>
      </c>
      <c r="Q25" s="319">
        <f>MCF!R24</f>
        <v>0.8</v>
      </c>
      <c r="R25" s="87">
        <f t="shared" si="5"/>
        <v>0.75133631479104013</v>
      </c>
      <c r="S25" s="87">
        <f t="shared" si="7"/>
        <v>0.75133631479104013</v>
      </c>
      <c r="T25" s="87">
        <f t="shared" si="8"/>
        <v>0</v>
      </c>
      <c r="U25" s="87">
        <f t="shared" si="9"/>
        <v>4.0872301592011313</v>
      </c>
      <c r="V25" s="87">
        <f t="shared" si="10"/>
        <v>0.24187959551531174</v>
      </c>
      <c r="W25" s="120">
        <f t="shared" si="11"/>
        <v>0.16125306367687448</v>
      </c>
    </row>
    <row r="26" spans="2:23">
      <c r="B26" s="116">
        <f>Amnt_Deposited!B21</f>
        <v>2007</v>
      </c>
      <c r="C26" s="119">
        <f>Amnt_Deposited!D21</f>
        <v>4.7479857777000012</v>
      </c>
      <c r="D26" s="453">
        <f>Dry_Matter_Content!D13</f>
        <v>0.44</v>
      </c>
      <c r="E26" s="319">
        <f>MCF!R25</f>
        <v>0.8</v>
      </c>
      <c r="F26" s="87">
        <f t="shared" si="0"/>
        <v>0.36768401862508815</v>
      </c>
      <c r="G26" s="87">
        <f t="shared" si="1"/>
        <v>0.36768401862508815</v>
      </c>
      <c r="H26" s="87">
        <f t="shared" si="2"/>
        <v>0</v>
      </c>
      <c r="I26" s="87">
        <f t="shared" si="3"/>
        <v>2.2121635588557003</v>
      </c>
      <c r="J26" s="87">
        <f t="shared" si="4"/>
        <v>0.13373985682273501</v>
      </c>
      <c r="K26" s="120">
        <f t="shared" si="6"/>
        <v>8.9159904548490002E-2</v>
      </c>
      <c r="N26" s="290"/>
      <c r="O26" s="116">
        <f>Amnt_Deposited!B21</f>
        <v>2007</v>
      </c>
      <c r="P26" s="119">
        <f>Amnt_Deposited!D21</f>
        <v>4.7479857777000012</v>
      </c>
      <c r="Q26" s="319">
        <f>MCF!R25</f>
        <v>0.8</v>
      </c>
      <c r="R26" s="87">
        <f t="shared" si="5"/>
        <v>0.75967772443200021</v>
      </c>
      <c r="S26" s="87">
        <f t="shared" si="7"/>
        <v>0.75967772443200021</v>
      </c>
      <c r="T26" s="87">
        <f t="shared" si="8"/>
        <v>0</v>
      </c>
      <c r="U26" s="87">
        <f t="shared" si="9"/>
        <v>4.5705858654043405</v>
      </c>
      <c r="V26" s="87">
        <f t="shared" si="10"/>
        <v>0.27632201822879138</v>
      </c>
      <c r="W26" s="120">
        <f t="shared" si="11"/>
        <v>0.18421467881919423</v>
      </c>
    </row>
    <row r="27" spans="2:23">
      <c r="B27" s="116">
        <f>Amnt_Deposited!B22</f>
        <v>2008</v>
      </c>
      <c r="C27" s="119">
        <f>Amnt_Deposited!D22</f>
        <v>4.7981951855639995</v>
      </c>
      <c r="D27" s="453">
        <f>Dry_Matter_Content!D14</f>
        <v>0.44</v>
      </c>
      <c r="E27" s="319">
        <f>MCF!R26</f>
        <v>0.8</v>
      </c>
      <c r="F27" s="87">
        <f t="shared" si="0"/>
        <v>0.37157223517007615</v>
      </c>
      <c r="G27" s="87">
        <f t="shared" si="1"/>
        <v>0.37157223517007615</v>
      </c>
      <c r="H27" s="87">
        <f t="shared" si="2"/>
        <v>0</v>
      </c>
      <c r="I27" s="87">
        <f t="shared" si="3"/>
        <v>2.4341798660682796</v>
      </c>
      <c r="J27" s="87">
        <f t="shared" si="4"/>
        <v>0.14955592795749686</v>
      </c>
      <c r="K27" s="120">
        <f t="shared" si="6"/>
        <v>9.9703951971664567E-2</v>
      </c>
      <c r="N27" s="290"/>
      <c r="O27" s="116">
        <f>Amnt_Deposited!B22</f>
        <v>2008</v>
      </c>
      <c r="P27" s="119">
        <f>Amnt_Deposited!D22</f>
        <v>4.7981951855639995</v>
      </c>
      <c r="Q27" s="319">
        <f>MCF!R26</f>
        <v>0.8</v>
      </c>
      <c r="R27" s="87">
        <f t="shared" si="5"/>
        <v>0.76771122969023997</v>
      </c>
      <c r="S27" s="87">
        <f t="shared" si="7"/>
        <v>0.76771122969023997</v>
      </c>
      <c r="T27" s="87">
        <f t="shared" si="8"/>
        <v>0</v>
      </c>
      <c r="U27" s="87">
        <f t="shared" si="9"/>
        <v>5.029297243942727</v>
      </c>
      <c r="V27" s="87">
        <f t="shared" si="10"/>
        <v>0.30899985115185313</v>
      </c>
      <c r="W27" s="120">
        <f t="shared" si="11"/>
        <v>0.20599990076790209</v>
      </c>
    </row>
    <row r="28" spans="2:23">
      <c r="B28" s="116">
        <f>Amnt_Deposited!B23</f>
        <v>2009</v>
      </c>
      <c r="C28" s="119">
        <f>Amnt_Deposited!D23</f>
        <v>4.8458360728800001</v>
      </c>
      <c r="D28" s="453">
        <f>Dry_Matter_Content!D15</f>
        <v>0.44</v>
      </c>
      <c r="E28" s="319">
        <f>MCF!R27</f>
        <v>0.8</v>
      </c>
      <c r="F28" s="87">
        <f t="shared" si="0"/>
        <v>0.37526154548382729</v>
      </c>
      <c r="G28" s="87">
        <f t="shared" si="1"/>
        <v>0.37526154548382729</v>
      </c>
      <c r="H28" s="87">
        <f t="shared" si="2"/>
        <v>0</v>
      </c>
      <c r="I28" s="87">
        <f t="shared" si="3"/>
        <v>2.6448758091453799</v>
      </c>
      <c r="J28" s="87">
        <f t="shared" si="4"/>
        <v>0.16456560240672682</v>
      </c>
      <c r="K28" s="120">
        <f t="shared" si="6"/>
        <v>0.10971040160448454</v>
      </c>
      <c r="N28" s="290"/>
      <c r="O28" s="116">
        <f>Amnt_Deposited!B23</f>
        <v>2009</v>
      </c>
      <c r="P28" s="119">
        <f>Amnt_Deposited!D23</f>
        <v>4.8458360728800001</v>
      </c>
      <c r="Q28" s="319">
        <f>MCF!R27</f>
        <v>0.8</v>
      </c>
      <c r="R28" s="87">
        <f t="shared" si="5"/>
        <v>0.77533377166080009</v>
      </c>
      <c r="S28" s="87">
        <f t="shared" si="7"/>
        <v>0.77533377166080009</v>
      </c>
      <c r="T28" s="87">
        <f t="shared" si="8"/>
        <v>0</v>
      </c>
      <c r="U28" s="87">
        <f t="shared" si="9"/>
        <v>5.4646194403830171</v>
      </c>
      <c r="V28" s="87">
        <f t="shared" si="10"/>
        <v>0.34001157522051001</v>
      </c>
      <c r="W28" s="120">
        <f t="shared" si="11"/>
        <v>0.22667438348034</v>
      </c>
    </row>
    <row r="29" spans="2:23">
      <c r="B29" s="116">
        <f>Amnt_Deposited!B24</f>
        <v>2010</v>
      </c>
      <c r="C29" s="119">
        <f>Amnt_Deposited!D24</f>
        <v>5.7851352900000013</v>
      </c>
      <c r="D29" s="453">
        <f>Dry_Matter_Content!D16</f>
        <v>0.44</v>
      </c>
      <c r="E29" s="319">
        <f>MCF!R28</f>
        <v>0.8</v>
      </c>
      <c r="F29" s="87">
        <f t="shared" si="0"/>
        <v>0.44800087685760021</v>
      </c>
      <c r="G29" s="87">
        <f t="shared" si="1"/>
        <v>0.44800087685760021</v>
      </c>
      <c r="H29" s="87">
        <f t="shared" si="2"/>
        <v>0</v>
      </c>
      <c r="I29" s="87">
        <f t="shared" si="3"/>
        <v>2.9140667357234968</v>
      </c>
      <c r="J29" s="87">
        <f t="shared" si="4"/>
        <v>0.17880995027948335</v>
      </c>
      <c r="K29" s="120">
        <f t="shared" si="6"/>
        <v>0.11920663351965556</v>
      </c>
      <c r="O29" s="116">
        <f>Amnt_Deposited!B24</f>
        <v>2010</v>
      </c>
      <c r="P29" s="119">
        <f>Amnt_Deposited!D24</f>
        <v>5.7851352900000013</v>
      </c>
      <c r="Q29" s="319">
        <f>MCF!R28</f>
        <v>0.8</v>
      </c>
      <c r="R29" s="87">
        <f t="shared" si="5"/>
        <v>0.92562164640000033</v>
      </c>
      <c r="S29" s="87">
        <f t="shared" si="7"/>
        <v>0.92562164640000033</v>
      </c>
      <c r="T29" s="87">
        <f t="shared" si="8"/>
        <v>0</v>
      </c>
      <c r="U29" s="87">
        <f t="shared" si="9"/>
        <v>6.0207990407510277</v>
      </c>
      <c r="V29" s="87">
        <f t="shared" si="10"/>
        <v>0.36944204603199043</v>
      </c>
      <c r="W29" s="120">
        <f t="shared" si="11"/>
        <v>0.24629469735466028</v>
      </c>
    </row>
    <row r="30" spans="2:23">
      <c r="B30" s="116">
        <f>Amnt_Deposited!B25</f>
        <v>2011</v>
      </c>
      <c r="C30" s="119">
        <f>Amnt_Deposited!D25</f>
        <v>6.0173120529720006</v>
      </c>
      <c r="D30" s="453">
        <f>Dry_Matter_Content!D17</f>
        <v>0.44</v>
      </c>
      <c r="E30" s="319">
        <f>MCF!R29</f>
        <v>0.8</v>
      </c>
      <c r="F30" s="87">
        <f t="shared" si="0"/>
        <v>0.46598064538215173</v>
      </c>
      <c r="G30" s="87">
        <f t="shared" si="1"/>
        <v>0.46598064538215173</v>
      </c>
      <c r="H30" s="87">
        <f t="shared" si="2"/>
        <v>0</v>
      </c>
      <c r="I30" s="87">
        <f t="shared" si="3"/>
        <v>3.1830384605642403</v>
      </c>
      <c r="J30" s="87">
        <f t="shared" si="4"/>
        <v>0.19700892054140817</v>
      </c>
      <c r="K30" s="120">
        <f t="shared" si="6"/>
        <v>0.13133928036093878</v>
      </c>
      <c r="O30" s="116">
        <f>Amnt_Deposited!B25</f>
        <v>2011</v>
      </c>
      <c r="P30" s="119">
        <f>Amnt_Deposited!D25</f>
        <v>6.0173120529720006</v>
      </c>
      <c r="Q30" s="319">
        <f>MCF!R29</f>
        <v>0.8</v>
      </c>
      <c r="R30" s="87">
        <f t="shared" si="5"/>
        <v>0.96276992847552023</v>
      </c>
      <c r="S30" s="87">
        <f t="shared" si="7"/>
        <v>0.96276992847552023</v>
      </c>
      <c r="T30" s="87">
        <f t="shared" si="8"/>
        <v>0</v>
      </c>
      <c r="U30" s="87">
        <f t="shared" si="9"/>
        <v>6.5765257449674399</v>
      </c>
      <c r="V30" s="87">
        <f t="shared" si="10"/>
        <v>0.40704322425910788</v>
      </c>
      <c r="W30" s="120">
        <f t="shared" si="11"/>
        <v>0.2713621495060719</v>
      </c>
    </row>
    <row r="31" spans="2:23">
      <c r="B31" s="116">
        <f>Amnt_Deposited!B26</f>
        <v>2012</v>
      </c>
      <c r="C31" s="119">
        <f>Amnt_Deposited!D26</f>
        <v>6.0826065490080001</v>
      </c>
      <c r="D31" s="453">
        <f>Dry_Matter_Content!D18</f>
        <v>0.44</v>
      </c>
      <c r="E31" s="319">
        <f>MCF!R30</f>
        <v>0.8</v>
      </c>
      <c r="F31" s="87">
        <f t="shared" si="0"/>
        <v>0.47103705115517958</v>
      </c>
      <c r="G31" s="87">
        <f t="shared" si="1"/>
        <v>0.47103705115517958</v>
      </c>
      <c r="H31" s="87">
        <f t="shared" si="2"/>
        <v>0</v>
      </c>
      <c r="I31" s="87">
        <f t="shared" si="3"/>
        <v>3.4388824403082205</v>
      </c>
      <c r="J31" s="87">
        <f t="shared" si="4"/>
        <v>0.2151930714111992</v>
      </c>
      <c r="K31" s="120">
        <f t="shared" si="6"/>
        <v>0.14346204760746611</v>
      </c>
      <c r="O31" s="116">
        <f>Amnt_Deposited!B26</f>
        <v>2012</v>
      </c>
      <c r="P31" s="119">
        <f>Amnt_Deposited!D26</f>
        <v>6.0826065490080001</v>
      </c>
      <c r="Q31" s="319">
        <f>MCF!R30</f>
        <v>0.8</v>
      </c>
      <c r="R31" s="87">
        <f t="shared" si="5"/>
        <v>0.97321704784128016</v>
      </c>
      <c r="S31" s="87">
        <f t="shared" si="7"/>
        <v>0.97321704784128016</v>
      </c>
      <c r="T31" s="87">
        <f t="shared" si="8"/>
        <v>0</v>
      </c>
      <c r="U31" s="87">
        <f t="shared" si="9"/>
        <v>7.105129008901284</v>
      </c>
      <c r="V31" s="87">
        <f t="shared" si="10"/>
        <v>0.44461378390743644</v>
      </c>
      <c r="W31" s="120">
        <f t="shared" si="11"/>
        <v>0.2964091892716243</v>
      </c>
    </row>
    <row r="32" spans="2:23">
      <c r="B32" s="116">
        <f>Amnt_Deposited!B27</f>
        <v>2013</v>
      </c>
      <c r="C32" s="119">
        <f>Amnt_Deposited!D27</f>
        <v>6.2106906371399999</v>
      </c>
      <c r="D32" s="453">
        <f>Dry_Matter_Content!D19</f>
        <v>0.44</v>
      </c>
      <c r="E32" s="319">
        <f>MCF!R31</f>
        <v>0.8</v>
      </c>
      <c r="F32" s="87">
        <f t="shared" si="0"/>
        <v>0.48095588294012165</v>
      </c>
      <c r="G32" s="87">
        <f t="shared" si="1"/>
        <v>0.48095588294012165</v>
      </c>
      <c r="H32" s="87">
        <f t="shared" si="2"/>
        <v>0</v>
      </c>
      <c r="I32" s="87">
        <f t="shared" si="3"/>
        <v>3.6873486176665926</v>
      </c>
      <c r="J32" s="87">
        <f t="shared" si="4"/>
        <v>0.23248970558174964</v>
      </c>
      <c r="K32" s="120">
        <f t="shared" si="6"/>
        <v>0.15499313705449974</v>
      </c>
      <c r="O32" s="116">
        <f>Amnt_Deposited!B27</f>
        <v>2013</v>
      </c>
      <c r="P32" s="119">
        <f>Amnt_Deposited!D27</f>
        <v>6.2106906371399999</v>
      </c>
      <c r="Q32" s="319">
        <f>MCF!R31</f>
        <v>0.8</v>
      </c>
      <c r="R32" s="87">
        <f t="shared" si="5"/>
        <v>0.99371050194240018</v>
      </c>
      <c r="S32" s="87">
        <f t="shared" si="7"/>
        <v>0.99371050194240018</v>
      </c>
      <c r="T32" s="87">
        <f t="shared" si="8"/>
        <v>0</v>
      </c>
      <c r="U32" s="87">
        <f t="shared" si="9"/>
        <v>7.6184888794764323</v>
      </c>
      <c r="V32" s="87">
        <f t="shared" si="10"/>
        <v>0.48035063136725148</v>
      </c>
      <c r="W32" s="120">
        <f t="shared" si="11"/>
        <v>0.3202337542448343</v>
      </c>
    </row>
    <row r="33" spans="2:23">
      <c r="B33" s="116">
        <f>Amnt_Deposited!B28</f>
        <v>2014</v>
      </c>
      <c r="C33" s="119">
        <f>Amnt_Deposited!D28</f>
        <v>6.3378522844559999</v>
      </c>
      <c r="D33" s="453">
        <f>Dry_Matter_Content!D20</f>
        <v>0.44</v>
      </c>
      <c r="E33" s="319">
        <f>MCF!R32</f>
        <v>0.8</v>
      </c>
      <c r="F33" s="87">
        <f t="shared" si="0"/>
        <v>0.49080328090827258</v>
      </c>
      <c r="G33" s="87">
        <f t="shared" si="1"/>
        <v>0.49080328090827258</v>
      </c>
      <c r="H33" s="87">
        <f t="shared" si="2"/>
        <v>0</v>
      </c>
      <c r="I33" s="87">
        <f t="shared" si="3"/>
        <v>3.9288643438593449</v>
      </c>
      <c r="J33" s="87">
        <f t="shared" si="4"/>
        <v>0.24928755471552033</v>
      </c>
      <c r="K33" s="120">
        <f t="shared" si="6"/>
        <v>0.1661917031436802</v>
      </c>
      <c r="O33" s="116">
        <f>Amnt_Deposited!B28</f>
        <v>2014</v>
      </c>
      <c r="P33" s="119">
        <f>Amnt_Deposited!D28</f>
        <v>6.3378522844559999</v>
      </c>
      <c r="Q33" s="319">
        <f>MCF!R32</f>
        <v>0.8</v>
      </c>
      <c r="R33" s="87">
        <f t="shared" si="5"/>
        <v>1.0140563655129602</v>
      </c>
      <c r="S33" s="87">
        <f t="shared" si="7"/>
        <v>1.0140563655129602</v>
      </c>
      <c r="T33" s="87">
        <f t="shared" si="8"/>
        <v>0</v>
      </c>
      <c r="U33" s="87">
        <f t="shared" si="9"/>
        <v>8.1174883137589777</v>
      </c>
      <c r="V33" s="87">
        <f t="shared" si="10"/>
        <v>0.51505693123041407</v>
      </c>
      <c r="W33" s="120">
        <f t="shared" si="11"/>
        <v>0.34337128748694268</v>
      </c>
    </row>
    <row r="34" spans="2:23">
      <c r="B34" s="116">
        <f>Amnt_Deposited!B29</f>
        <v>2015</v>
      </c>
      <c r="C34" s="119">
        <f>Amnt_Deposited!D29</f>
        <v>6.461833101372001</v>
      </c>
      <c r="D34" s="453">
        <f>Dry_Matter_Content!D21</f>
        <v>0.44</v>
      </c>
      <c r="E34" s="319">
        <f>MCF!R33</f>
        <v>0.8</v>
      </c>
      <c r="F34" s="87">
        <f t="shared" si="0"/>
        <v>0.50040435537024786</v>
      </c>
      <c r="G34" s="87">
        <f t="shared" si="1"/>
        <v>0.50040435537024786</v>
      </c>
      <c r="H34" s="87">
        <f t="shared" si="2"/>
        <v>0</v>
      </c>
      <c r="I34" s="87">
        <f t="shared" si="3"/>
        <v>4.1636531888335391</v>
      </c>
      <c r="J34" s="87">
        <f t="shared" si="4"/>
        <v>0.26561551039605324</v>
      </c>
      <c r="K34" s="120">
        <f t="shared" si="6"/>
        <v>0.17707700693070216</v>
      </c>
      <c r="O34" s="116">
        <f>Amnt_Deposited!B29</f>
        <v>2015</v>
      </c>
      <c r="P34" s="119">
        <f>Amnt_Deposited!D29</f>
        <v>6.461833101372001</v>
      </c>
      <c r="Q34" s="319">
        <f>MCF!R33</f>
        <v>0.8</v>
      </c>
      <c r="R34" s="87">
        <f t="shared" si="5"/>
        <v>1.0338932962195202</v>
      </c>
      <c r="S34" s="87">
        <f t="shared" si="7"/>
        <v>1.0338932962195202</v>
      </c>
      <c r="T34" s="87">
        <f t="shared" si="8"/>
        <v>0</v>
      </c>
      <c r="U34" s="87">
        <f t="shared" si="9"/>
        <v>8.6025892331271478</v>
      </c>
      <c r="V34" s="87">
        <f t="shared" si="10"/>
        <v>0.54879237685134974</v>
      </c>
      <c r="W34" s="120">
        <f t="shared" si="11"/>
        <v>0.36586158456756646</v>
      </c>
    </row>
    <row r="35" spans="2:23">
      <c r="B35" s="116">
        <f>Amnt_Deposited!B30</f>
        <v>2016</v>
      </c>
      <c r="C35" s="119">
        <f>Amnt_Deposited!D30</f>
        <v>6.5867284070280006</v>
      </c>
      <c r="D35" s="453">
        <f>Dry_Matter_Content!D22</f>
        <v>0.44</v>
      </c>
      <c r="E35" s="319">
        <f>MCF!R34</f>
        <v>0.8</v>
      </c>
      <c r="F35" s="87">
        <f t="shared" si="0"/>
        <v>0.51007624784024841</v>
      </c>
      <c r="G35" s="87">
        <f t="shared" si="1"/>
        <v>0.51007624784024841</v>
      </c>
      <c r="H35" s="87">
        <f t="shared" si="2"/>
        <v>0</v>
      </c>
      <c r="I35" s="87">
        <f t="shared" si="3"/>
        <v>4.3922407493403339</v>
      </c>
      <c r="J35" s="87">
        <f t="shared" si="4"/>
        <v>0.281488687333453</v>
      </c>
      <c r="K35" s="120">
        <f t="shared" si="6"/>
        <v>0.18765912488896866</v>
      </c>
      <c r="O35" s="116">
        <f>Amnt_Deposited!B30</f>
        <v>2016</v>
      </c>
      <c r="P35" s="119">
        <f>Amnt_Deposited!D30</f>
        <v>6.5867284070280006</v>
      </c>
      <c r="Q35" s="319">
        <f>MCF!R34</f>
        <v>0.8</v>
      </c>
      <c r="R35" s="87">
        <f t="shared" si="5"/>
        <v>1.0538765451244803</v>
      </c>
      <c r="S35" s="87">
        <f t="shared" si="7"/>
        <v>1.0538765451244803</v>
      </c>
      <c r="T35" s="87">
        <f t="shared" si="8"/>
        <v>0</v>
      </c>
      <c r="U35" s="87">
        <f t="shared" si="9"/>
        <v>9.0748775812816831</v>
      </c>
      <c r="V35" s="87">
        <f t="shared" si="10"/>
        <v>0.58158819696994424</v>
      </c>
      <c r="W35" s="120">
        <f t="shared" si="11"/>
        <v>0.38772546464662949</v>
      </c>
    </row>
    <row r="36" spans="2:23">
      <c r="B36" s="116">
        <f>Amnt_Deposited!B31</f>
        <v>2017</v>
      </c>
      <c r="C36" s="119">
        <f>Amnt_Deposited!D31</f>
        <v>6.7426129528559997</v>
      </c>
      <c r="D36" s="453">
        <f>Dry_Matter_Content!D23</f>
        <v>0.44</v>
      </c>
      <c r="E36" s="319">
        <f>MCF!R35</f>
        <v>0.8</v>
      </c>
      <c r="F36" s="87">
        <f t="shared" si="0"/>
        <v>0.52214794706916867</v>
      </c>
      <c r="G36" s="87">
        <f t="shared" si="1"/>
        <v>0.52214794706916867</v>
      </c>
      <c r="H36" s="87">
        <f t="shared" si="2"/>
        <v>0</v>
      </c>
      <c r="I36" s="87">
        <f t="shared" si="3"/>
        <v>4.6174460772931667</v>
      </c>
      <c r="J36" s="87">
        <f t="shared" si="4"/>
        <v>0.29694261911633535</v>
      </c>
      <c r="K36" s="120">
        <f t="shared" si="6"/>
        <v>0.1979617460775569</v>
      </c>
      <c r="O36" s="116">
        <f>Amnt_Deposited!B31</f>
        <v>2017</v>
      </c>
      <c r="P36" s="119">
        <f>Amnt_Deposited!D31</f>
        <v>6.7426129528559997</v>
      </c>
      <c r="Q36" s="319">
        <f>MCF!R35</f>
        <v>0.8</v>
      </c>
      <c r="R36" s="87">
        <f t="shared" si="5"/>
        <v>1.07881807245696</v>
      </c>
      <c r="S36" s="87">
        <f t="shared" si="7"/>
        <v>1.07881807245696</v>
      </c>
      <c r="T36" s="87">
        <f t="shared" si="8"/>
        <v>0</v>
      </c>
      <c r="U36" s="87">
        <f t="shared" si="9"/>
        <v>9.5401778456470403</v>
      </c>
      <c r="V36" s="87">
        <f t="shared" si="10"/>
        <v>0.61351780809160206</v>
      </c>
      <c r="W36" s="120">
        <f t="shared" si="11"/>
        <v>0.40901187206106804</v>
      </c>
    </row>
    <row r="37" spans="2:23">
      <c r="B37" s="116">
        <f>Amnt_Deposited!B32</f>
        <v>2018</v>
      </c>
      <c r="C37" s="119">
        <f>Amnt_Deposited!D32</f>
        <v>6.9107675519520004</v>
      </c>
      <c r="D37" s="453">
        <f>Dry_Matter_Content!D24</f>
        <v>0.44</v>
      </c>
      <c r="E37" s="319">
        <f>MCF!R36</f>
        <v>0.8</v>
      </c>
      <c r="F37" s="87">
        <f t="shared" si="0"/>
        <v>0.53516983922316297</v>
      </c>
      <c r="G37" s="87">
        <f t="shared" si="1"/>
        <v>0.53516983922316297</v>
      </c>
      <c r="H37" s="87">
        <f t="shared" si="2"/>
        <v>0</v>
      </c>
      <c r="I37" s="87">
        <f t="shared" si="3"/>
        <v>4.8404480254402751</v>
      </c>
      <c r="J37" s="87">
        <f t="shared" si="4"/>
        <v>0.31216789107605453</v>
      </c>
      <c r="K37" s="120">
        <f t="shared" si="6"/>
        <v>0.20811192738403633</v>
      </c>
      <c r="O37" s="116">
        <f>Amnt_Deposited!B32</f>
        <v>2018</v>
      </c>
      <c r="P37" s="119">
        <f>Amnt_Deposited!D32</f>
        <v>6.9107675519520004</v>
      </c>
      <c r="Q37" s="319">
        <f>MCF!R36</f>
        <v>0.8</v>
      </c>
      <c r="R37" s="87">
        <f t="shared" si="5"/>
        <v>1.1057228083123201</v>
      </c>
      <c r="S37" s="87">
        <f t="shared" si="7"/>
        <v>1.1057228083123201</v>
      </c>
      <c r="T37" s="87">
        <f t="shared" si="8"/>
        <v>0</v>
      </c>
      <c r="U37" s="87">
        <f t="shared" si="9"/>
        <v>10.000925672397264</v>
      </c>
      <c r="V37" s="87">
        <f t="shared" si="10"/>
        <v>0.64497498156209621</v>
      </c>
      <c r="W37" s="120">
        <f t="shared" si="11"/>
        <v>0.42998332104139747</v>
      </c>
    </row>
    <row r="38" spans="2:23">
      <c r="B38" s="116">
        <f>Amnt_Deposited!B33</f>
        <v>2019</v>
      </c>
      <c r="C38" s="119">
        <f>Amnt_Deposited!D33</f>
        <v>7.0789221510480003</v>
      </c>
      <c r="D38" s="453">
        <f>Dry_Matter_Content!D25</f>
        <v>0.44</v>
      </c>
      <c r="E38" s="319">
        <f>MCF!R37</f>
        <v>0.8</v>
      </c>
      <c r="F38" s="87">
        <f t="shared" si="0"/>
        <v>0.54819173137715715</v>
      </c>
      <c r="G38" s="87">
        <f t="shared" si="1"/>
        <v>0.54819173137715715</v>
      </c>
      <c r="H38" s="87">
        <f t="shared" si="2"/>
        <v>0</v>
      </c>
      <c r="I38" s="87">
        <f t="shared" si="3"/>
        <v>5.0613955558736201</v>
      </c>
      <c r="J38" s="87">
        <f t="shared" si="4"/>
        <v>0.32724420094381229</v>
      </c>
      <c r="K38" s="120">
        <f t="shared" si="6"/>
        <v>0.21816280062920818</v>
      </c>
      <c r="O38" s="116">
        <f>Amnt_Deposited!B33</f>
        <v>2019</v>
      </c>
      <c r="P38" s="119">
        <f>Amnt_Deposited!D33</f>
        <v>7.0789221510480003</v>
      </c>
      <c r="Q38" s="319">
        <f>MCF!R37</f>
        <v>0.8</v>
      </c>
      <c r="R38" s="87">
        <f t="shared" si="5"/>
        <v>1.1326275441676801</v>
      </c>
      <c r="S38" s="87">
        <f t="shared" si="7"/>
        <v>1.1326275441676801</v>
      </c>
      <c r="T38" s="87">
        <f t="shared" si="8"/>
        <v>0</v>
      </c>
      <c r="U38" s="87">
        <f t="shared" si="9"/>
        <v>10.45742883444963</v>
      </c>
      <c r="V38" s="87">
        <f t="shared" si="10"/>
        <v>0.67612438211531478</v>
      </c>
      <c r="W38" s="120">
        <f t="shared" si="11"/>
        <v>0.45074958807687648</v>
      </c>
    </row>
    <row r="39" spans="2:23">
      <c r="B39" s="116">
        <f>Amnt_Deposited!B34</f>
        <v>2020</v>
      </c>
      <c r="C39" s="119">
        <f>Amnt_Deposited!D34</f>
        <v>7.2470767501440001</v>
      </c>
      <c r="D39" s="453">
        <f>Dry_Matter_Content!D26</f>
        <v>0.44</v>
      </c>
      <c r="E39" s="319">
        <f>MCF!R38</f>
        <v>0.8</v>
      </c>
      <c r="F39" s="87">
        <f t="shared" si="0"/>
        <v>0.56121362353115145</v>
      </c>
      <c r="G39" s="87">
        <f t="shared" si="1"/>
        <v>0.56121362353115145</v>
      </c>
      <c r="H39" s="87">
        <f t="shared" si="2"/>
        <v>0</v>
      </c>
      <c r="I39" s="87">
        <f t="shared" si="3"/>
        <v>5.2804275599271469</v>
      </c>
      <c r="J39" s="87">
        <f t="shared" si="4"/>
        <v>0.34218161947762499</v>
      </c>
      <c r="K39" s="120">
        <f t="shared" si="6"/>
        <v>0.22812107965174999</v>
      </c>
      <c r="O39" s="116">
        <f>Amnt_Deposited!B34</f>
        <v>2020</v>
      </c>
      <c r="P39" s="119">
        <f>Amnt_Deposited!D34</f>
        <v>7.2470767501440001</v>
      </c>
      <c r="Q39" s="319">
        <f>MCF!R38</f>
        <v>0.8</v>
      </c>
      <c r="R39" s="87">
        <f t="shared" si="5"/>
        <v>1.1595322800230401</v>
      </c>
      <c r="S39" s="87">
        <f t="shared" si="7"/>
        <v>1.1595322800230401</v>
      </c>
      <c r="T39" s="87">
        <f t="shared" si="8"/>
        <v>0</v>
      </c>
      <c r="U39" s="87">
        <f t="shared" si="9"/>
        <v>10.909974297370137</v>
      </c>
      <c r="V39" s="87">
        <f t="shared" si="10"/>
        <v>0.70698681710253108</v>
      </c>
      <c r="W39" s="120">
        <f t="shared" si="11"/>
        <v>0.47132454473502072</v>
      </c>
    </row>
    <row r="40" spans="2:23">
      <c r="B40" s="116">
        <f>Amnt_Deposited!B35</f>
        <v>2021</v>
      </c>
      <c r="C40" s="119">
        <f>Amnt_Deposited!D35</f>
        <v>7.4152313492399999</v>
      </c>
      <c r="D40" s="453">
        <f>Dry_Matter_Content!D27</f>
        <v>0.44</v>
      </c>
      <c r="E40" s="319">
        <f>MCF!R39</f>
        <v>0.8</v>
      </c>
      <c r="F40" s="87">
        <f t="shared" si="0"/>
        <v>0.57423551568514564</v>
      </c>
      <c r="G40" s="87">
        <f t="shared" si="1"/>
        <v>0.57423551568514564</v>
      </c>
      <c r="H40" s="87">
        <f t="shared" si="2"/>
        <v>0</v>
      </c>
      <c r="I40" s="87">
        <f t="shared" si="3"/>
        <v>5.497673539022264</v>
      </c>
      <c r="J40" s="87">
        <f t="shared" si="4"/>
        <v>0.3569895365900288</v>
      </c>
      <c r="K40" s="120">
        <f t="shared" si="6"/>
        <v>0.23799302439335251</v>
      </c>
      <c r="O40" s="116">
        <f>Amnt_Deposited!B35</f>
        <v>2021</v>
      </c>
      <c r="P40" s="119">
        <f>Amnt_Deposited!D35</f>
        <v>7.4152313492399999</v>
      </c>
      <c r="Q40" s="319">
        <f>MCF!R39</f>
        <v>0.8</v>
      </c>
      <c r="R40" s="87">
        <f t="shared" si="5"/>
        <v>1.1864370158784001</v>
      </c>
      <c r="S40" s="87">
        <f t="shared" si="7"/>
        <v>1.1864370158784001</v>
      </c>
      <c r="T40" s="87">
        <f t="shared" si="8"/>
        <v>0</v>
      </c>
      <c r="U40" s="87">
        <f t="shared" si="9"/>
        <v>11.358829626079057</v>
      </c>
      <c r="V40" s="87">
        <f t="shared" si="10"/>
        <v>0.73758168716948092</v>
      </c>
      <c r="W40" s="120">
        <f t="shared" si="11"/>
        <v>0.49172112477965391</v>
      </c>
    </row>
    <row r="41" spans="2:23">
      <c r="B41" s="116">
        <f>Amnt_Deposited!B36</f>
        <v>2022</v>
      </c>
      <c r="C41" s="119">
        <f>Amnt_Deposited!D36</f>
        <v>7.5833859483360007</v>
      </c>
      <c r="D41" s="453">
        <f>Dry_Matter_Content!D28</f>
        <v>0.44</v>
      </c>
      <c r="E41" s="319">
        <f>MCF!R40</f>
        <v>0.8</v>
      </c>
      <c r="F41" s="87">
        <f t="shared" si="0"/>
        <v>0.58725740783913993</v>
      </c>
      <c r="G41" s="87">
        <f t="shared" si="1"/>
        <v>0.58725740783913993</v>
      </c>
      <c r="H41" s="87">
        <f t="shared" si="2"/>
        <v>0</v>
      </c>
      <c r="I41" s="87">
        <f t="shared" si="3"/>
        <v>5.7132542394839625</v>
      </c>
      <c r="J41" s="87">
        <f t="shared" si="4"/>
        <v>0.37167670737744191</v>
      </c>
      <c r="K41" s="120">
        <f t="shared" si="6"/>
        <v>0.24778447158496125</v>
      </c>
      <c r="O41" s="116">
        <f>Amnt_Deposited!B36</f>
        <v>2022</v>
      </c>
      <c r="P41" s="119">
        <f>Amnt_Deposited!D36</f>
        <v>7.5833859483360007</v>
      </c>
      <c r="Q41" s="319">
        <f>MCF!R40</f>
        <v>0.8</v>
      </c>
      <c r="R41" s="87">
        <f t="shared" si="5"/>
        <v>1.2133417517337604</v>
      </c>
      <c r="S41" s="87">
        <f t="shared" si="7"/>
        <v>1.2133417517337604</v>
      </c>
      <c r="T41" s="87">
        <f t="shared" si="8"/>
        <v>0</v>
      </c>
      <c r="U41" s="87">
        <f t="shared" si="9"/>
        <v>11.804244296454467</v>
      </c>
      <c r="V41" s="87">
        <f t="shared" si="10"/>
        <v>0.76792708135835097</v>
      </c>
      <c r="W41" s="120">
        <f t="shared" si="11"/>
        <v>0.51195138757223391</v>
      </c>
    </row>
    <row r="42" spans="2:23">
      <c r="B42" s="116">
        <f>Amnt_Deposited!B37</f>
        <v>2023</v>
      </c>
      <c r="C42" s="119">
        <f>Amnt_Deposited!D37</f>
        <v>7.7515405474320005</v>
      </c>
      <c r="D42" s="453">
        <f>Dry_Matter_Content!D29</f>
        <v>0.44</v>
      </c>
      <c r="E42" s="319">
        <f>MCF!R41</f>
        <v>0.8</v>
      </c>
      <c r="F42" s="87">
        <f t="shared" si="0"/>
        <v>0.60027929999313423</v>
      </c>
      <c r="G42" s="87">
        <f t="shared" si="1"/>
        <v>0.60027929999313423</v>
      </c>
      <c r="H42" s="87">
        <f t="shared" si="2"/>
        <v>0</v>
      </c>
      <c r="I42" s="87">
        <f t="shared" si="3"/>
        <v>5.9272822444394393</v>
      </c>
      <c r="J42" s="87">
        <f t="shared" si="4"/>
        <v>0.38625129503765732</v>
      </c>
      <c r="K42" s="120">
        <f t="shared" si="6"/>
        <v>0.25750086335843819</v>
      </c>
      <c r="O42" s="116">
        <f>Amnt_Deposited!B37</f>
        <v>2023</v>
      </c>
      <c r="P42" s="119">
        <f>Amnt_Deposited!D37</f>
        <v>7.7515405474320005</v>
      </c>
      <c r="Q42" s="319">
        <f>MCF!R41</f>
        <v>0.8</v>
      </c>
      <c r="R42" s="87">
        <f t="shared" si="5"/>
        <v>1.2402464875891202</v>
      </c>
      <c r="S42" s="87">
        <f t="shared" si="7"/>
        <v>1.2402464875891202</v>
      </c>
      <c r="T42" s="87">
        <f t="shared" si="8"/>
        <v>0</v>
      </c>
      <c r="U42" s="87">
        <f t="shared" si="9"/>
        <v>12.246450918263303</v>
      </c>
      <c r="V42" s="87">
        <f t="shared" si="10"/>
        <v>0.79803986578028363</v>
      </c>
      <c r="W42" s="120">
        <f t="shared" si="11"/>
        <v>0.53202657718685575</v>
      </c>
    </row>
    <row r="43" spans="2:23">
      <c r="B43" s="116">
        <f>Amnt_Deposited!B38</f>
        <v>2024</v>
      </c>
      <c r="C43" s="119">
        <f>Amnt_Deposited!D38</f>
        <v>7.9196951465280012</v>
      </c>
      <c r="D43" s="453">
        <f>Dry_Matter_Content!D30</f>
        <v>0.44</v>
      </c>
      <c r="E43" s="319">
        <f>MCF!R42</f>
        <v>0.8</v>
      </c>
      <c r="F43" s="87">
        <f t="shared" si="0"/>
        <v>0.61330119214712842</v>
      </c>
      <c r="G43" s="87">
        <f t="shared" si="1"/>
        <v>0.61330119214712842</v>
      </c>
      <c r="H43" s="87">
        <f t="shared" si="2"/>
        <v>0</v>
      </c>
      <c r="I43" s="87">
        <f t="shared" si="3"/>
        <v>6.1398625257007193</v>
      </c>
      <c r="J43" s="87">
        <f t="shared" si="4"/>
        <v>0.40072091088584788</v>
      </c>
      <c r="K43" s="120">
        <f t="shared" si="6"/>
        <v>0.26714727392389859</v>
      </c>
      <c r="O43" s="116">
        <f>Amnt_Deposited!B38</f>
        <v>2024</v>
      </c>
      <c r="P43" s="119">
        <f>Amnt_Deposited!D38</f>
        <v>7.9196951465280012</v>
      </c>
      <c r="Q43" s="319">
        <f>MCF!R42</f>
        <v>0.8</v>
      </c>
      <c r="R43" s="87">
        <f t="shared" si="5"/>
        <v>1.2671512234444804</v>
      </c>
      <c r="S43" s="87">
        <f t="shared" si="7"/>
        <v>1.2671512234444804</v>
      </c>
      <c r="T43" s="87">
        <f t="shared" si="8"/>
        <v>0</v>
      </c>
      <c r="U43" s="87">
        <f t="shared" si="9"/>
        <v>12.68566637541471</v>
      </c>
      <c r="V43" s="87">
        <f t="shared" si="10"/>
        <v>0.82793576629307397</v>
      </c>
      <c r="W43" s="120">
        <f t="shared" si="11"/>
        <v>0.55195717752871598</v>
      </c>
    </row>
    <row r="44" spans="2:23">
      <c r="B44" s="116">
        <f>Amnt_Deposited!B39</f>
        <v>2025</v>
      </c>
      <c r="C44" s="119">
        <f>Amnt_Deposited!D39</f>
        <v>8.0878497456240002</v>
      </c>
      <c r="D44" s="453">
        <f>Dry_Matter_Content!D31</f>
        <v>0.44</v>
      </c>
      <c r="E44" s="319">
        <f>MCF!R43</f>
        <v>0.8</v>
      </c>
      <c r="F44" s="87">
        <f t="shared" si="0"/>
        <v>0.62632308430112271</v>
      </c>
      <c r="G44" s="87">
        <f t="shared" si="1"/>
        <v>0.62632308430112271</v>
      </c>
      <c r="H44" s="87">
        <f t="shared" si="2"/>
        <v>0</v>
      </c>
      <c r="I44" s="87">
        <f t="shared" si="3"/>
        <v>6.3510929583365998</v>
      </c>
      <c r="J44" s="87">
        <f t="shared" si="4"/>
        <v>0.41509265166524212</v>
      </c>
      <c r="K44" s="120">
        <f t="shared" si="6"/>
        <v>0.27672843444349471</v>
      </c>
      <c r="O44" s="116">
        <f>Amnt_Deposited!B39</f>
        <v>2025</v>
      </c>
      <c r="P44" s="119">
        <f>Amnt_Deposited!D39</f>
        <v>8.0878497456240002</v>
      </c>
      <c r="Q44" s="319">
        <f>MCF!R43</f>
        <v>0.8</v>
      </c>
      <c r="R44" s="87">
        <f t="shared" si="5"/>
        <v>1.2940559592998402</v>
      </c>
      <c r="S44" s="87">
        <f t="shared" si="7"/>
        <v>1.2940559592998402</v>
      </c>
      <c r="T44" s="87">
        <f t="shared" si="8"/>
        <v>0</v>
      </c>
      <c r="U44" s="87">
        <f t="shared" si="9"/>
        <v>13.122092889125208</v>
      </c>
      <c r="V44" s="87">
        <f t="shared" si="10"/>
        <v>0.85762944558934329</v>
      </c>
      <c r="W44" s="120">
        <f t="shared" si="11"/>
        <v>0.57175296372622886</v>
      </c>
    </row>
    <row r="45" spans="2:23">
      <c r="B45" s="116">
        <f>Amnt_Deposited!B40</f>
        <v>2026</v>
      </c>
      <c r="C45" s="119">
        <f>Amnt_Deposited!D40</f>
        <v>8.2560043447200009</v>
      </c>
      <c r="D45" s="453">
        <f>Dry_Matter_Content!D32</f>
        <v>0.44</v>
      </c>
      <c r="E45" s="319">
        <f>MCF!R44</f>
        <v>0.8</v>
      </c>
      <c r="F45" s="87">
        <f t="shared" si="0"/>
        <v>0.6393449764551169</v>
      </c>
      <c r="G45" s="87">
        <f t="shared" si="1"/>
        <v>0.6393449764551169</v>
      </c>
      <c r="H45" s="87">
        <f t="shared" si="2"/>
        <v>0</v>
      </c>
      <c r="I45" s="87">
        <f t="shared" si="3"/>
        <v>6.5610648004563492</v>
      </c>
      <c r="J45" s="87">
        <f t="shared" si="4"/>
        <v>0.42937313433536795</v>
      </c>
      <c r="K45" s="120">
        <f t="shared" si="6"/>
        <v>0.28624875622357859</v>
      </c>
      <c r="O45" s="116">
        <f>Amnt_Deposited!B40</f>
        <v>2026</v>
      </c>
      <c r="P45" s="119">
        <f>Amnt_Deposited!D40</f>
        <v>8.2560043447200009</v>
      </c>
      <c r="Q45" s="319">
        <f>MCF!R44</f>
        <v>0.8</v>
      </c>
      <c r="R45" s="87">
        <f t="shared" si="5"/>
        <v>1.3209606951552004</v>
      </c>
      <c r="S45" s="87">
        <f t="shared" si="7"/>
        <v>1.3209606951552004</v>
      </c>
      <c r="T45" s="87">
        <f t="shared" si="8"/>
        <v>0</v>
      </c>
      <c r="U45" s="87">
        <f t="shared" si="9"/>
        <v>13.555919009207333</v>
      </c>
      <c r="V45" s="87">
        <f t="shared" si="10"/>
        <v>0.88713457507307436</v>
      </c>
      <c r="W45" s="120">
        <f t="shared" si="11"/>
        <v>0.5914230500487162</v>
      </c>
    </row>
    <row r="46" spans="2:23">
      <c r="B46" s="116">
        <f>Amnt_Deposited!B41</f>
        <v>2027</v>
      </c>
      <c r="C46" s="119">
        <f>Amnt_Deposited!D41</f>
        <v>8.4241589438159998</v>
      </c>
      <c r="D46" s="453">
        <f>Dry_Matter_Content!D33</f>
        <v>0.44</v>
      </c>
      <c r="E46" s="319">
        <f>MCF!R45</f>
        <v>0.8</v>
      </c>
      <c r="F46" s="87">
        <f t="shared" si="0"/>
        <v>0.65236686860911108</v>
      </c>
      <c r="G46" s="87">
        <f t="shared" si="1"/>
        <v>0.65236686860911108</v>
      </c>
      <c r="H46" s="87">
        <f t="shared" si="2"/>
        <v>0</v>
      </c>
      <c r="I46" s="87">
        <f t="shared" si="3"/>
        <v>6.7698631405570655</v>
      </c>
      <c r="J46" s="87">
        <f t="shared" si="4"/>
        <v>0.44356852850839551</v>
      </c>
      <c r="K46" s="120">
        <f t="shared" si="6"/>
        <v>0.29571235233893034</v>
      </c>
      <c r="O46" s="116">
        <f>Amnt_Deposited!B41</f>
        <v>2027</v>
      </c>
      <c r="P46" s="119">
        <f>Amnt_Deposited!D41</f>
        <v>8.4241589438159998</v>
      </c>
      <c r="Q46" s="319">
        <f>MCF!R45</f>
        <v>0.8</v>
      </c>
      <c r="R46" s="87">
        <f t="shared" si="5"/>
        <v>1.3478654310105602</v>
      </c>
      <c r="S46" s="87">
        <f t="shared" si="7"/>
        <v>1.3478654310105602</v>
      </c>
      <c r="T46" s="87">
        <f t="shared" si="8"/>
        <v>0</v>
      </c>
      <c r="U46" s="87">
        <f t="shared" si="9"/>
        <v>13.987320538341041</v>
      </c>
      <c r="V46" s="87">
        <f t="shared" si="10"/>
        <v>0.91646390187685023</v>
      </c>
      <c r="W46" s="120">
        <f t="shared" si="11"/>
        <v>0.61097593458456678</v>
      </c>
    </row>
    <row r="47" spans="2:23">
      <c r="B47" s="116">
        <f>Amnt_Deposited!B42</f>
        <v>2028</v>
      </c>
      <c r="C47" s="119">
        <f>Amnt_Deposited!D42</f>
        <v>8.5923135429120023</v>
      </c>
      <c r="D47" s="453">
        <f>Dry_Matter_Content!D34</f>
        <v>0.44</v>
      </c>
      <c r="E47" s="319">
        <f>MCF!R46</f>
        <v>0.8</v>
      </c>
      <c r="F47" s="87">
        <f t="shared" si="0"/>
        <v>0.66538876076310549</v>
      </c>
      <c r="G47" s="87">
        <f t="shared" si="1"/>
        <v>0.66538876076310549</v>
      </c>
      <c r="H47" s="87">
        <f t="shared" si="2"/>
        <v>0</v>
      </c>
      <c r="I47" s="87">
        <f t="shared" si="3"/>
        <v>6.9775673146275867</v>
      </c>
      <c r="J47" s="87">
        <f t="shared" si="4"/>
        <v>0.45768458669258361</v>
      </c>
      <c r="K47" s="120">
        <f t="shared" si="6"/>
        <v>0.30512305779505572</v>
      </c>
      <c r="O47" s="116">
        <f>Amnt_Deposited!B42</f>
        <v>2028</v>
      </c>
      <c r="P47" s="119">
        <f>Amnt_Deposited!D42</f>
        <v>8.5923135429120023</v>
      </c>
      <c r="Q47" s="319">
        <f>MCF!R46</f>
        <v>0.8</v>
      </c>
      <c r="R47" s="87">
        <f t="shared" si="5"/>
        <v>1.3747701668659205</v>
      </c>
      <c r="S47" s="87">
        <f t="shared" si="7"/>
        <v>1.3747701668659205</v>
      </c>
      <c r="T47" s="87">
        <f t="shared" si="8"/>
        <v>0</v>
      </c>
      <c r="U47" s="87">
        <f t="shared" si="9"/>
        <v>14.416461393858649</v>
      </c>
      <c r="V47" s="87">
        <f t="shared" si="10"/>
        <v>0.94562931134831296</v>
      </c>
      <c r="W47" s="120">
        <f t="shared" si="11"/>
        <v>0.63041954089887531</v>
      </c>
    </row>
    <row r="48" spans="2:23">
      <c r="B48" s="116">
        <f>Amnt_Deposited!B43</f>
        <v>2029</v>
      </c>
      <c r="C48" s="119">
        <f>Amnt_Deposited!D43</f>
        <v>8.7604681420080013</v>
      </c>
      <c r="D48" s="453">
        <f>Dry_Matter_Content!D35</f>
        <v>0.44</v>
      </c>
      <c r="E48" s="319">
        <f>MCF!R47</f>
        <v>0.8</v>
      </c>
      <c r="F48" s="87">
        <f t="shared" si="0"/>
        <v>0.67841065291709968</v>
      </c>
      <c r="G48" s="87">
        <f t="shared" si="1"/>
        <v>0.67841065291709968</v>
      </c>
      <c r="H48" s="87">
        <f t="shared" si="2"/>
        <v>0</v>
      </c>
      <c r="I48" s="87">
        <f t="shared" si="3"/>
        <v>7.1842512950536044</v>
      </c>
      <c r="J48" s="87">
        <f t="shared" si="4"/>
        <v>0.47172667249108152</v>
      </c>
      <c r="K48" s="120">
        <f t="shared" si="6"/>
        <v>0.31448444832738764</v>
      </c>
      <c r="O48" s="116">
        <f>Amnt_Deposited!B43</f>
        <v>2029</v>
      </c>
      <c r="P48" s="119">
        <f>Amnt_Deposited!D43</f>
        <v>8.7604681420080013</v>
      </c>
      <c r="Q48" s="319">
        <f>MCF!R47</f>
        <v>0.8</v>
      </c>
      <c r="R48" s="87">
        <f t="shared" si="5"/>
        <v>1.4016749027212805</v>
      </c>
      <c r="S48" s="87">
        <f t="shared" si="7"/>
        <v>1.4016749027212805</v>
      </c>
      <c r="T48" s="87">
        <f t="shared" si="8"/>
        <v>0</v>
      </c>
      <c r="U48" s="87">
        <f t="shared" si="9"/>
        <v>14.843494411267777</v>
      </c>
      <c r="V48" s="87">
        <f t="shared" si="10"/>
        <v>0.97464188531215179</v>
      </c>
      <c r="W48" s="120">
        <f t="shared" si="11"/>
        <v>0.64976125687476782</v>
      </c>
    </row>
    <row r="49" spans="2:23">
      <c r="B49" s="116">
        <f>Amnt_Deposited!B44</f>
        <v>2030</v>
      </c>
      <c r="C49" s="119">
        <f>Amnt_Deposited!D44</f>
        <v>8.928622741104002</v>
      </c>
      <c r="D49" s="453">
        <f>Dry_Matter_Content!D36</f>
        <v>0.44</v>
      </c>
      <c r="E49" s="319">
        <f>MCF!R48</f>
        <v>0.8</v>
      </c>
      <c r="F49" s="87">
        <f t="shared" si="0"/>
        <v>0.69143254507109386</v>
      </c>
      <c r="G49" s="87">
        <f t="shared" si="1"/>
        <v>0.69143254507109386</v>
      </c>
      <c r="H49" s="87">
        <f t="shared" si="2"/>
        <v>0</v>
      </c>
      <c r="I49" s="87">
        <f t="shared" si="3"/>
        <v>7.3899840532303802</v>
      </c>
      <c r="J49" s="87">
        <f t="shared" si="4"/>
        <v>0.48569978689431831</v>
      </c>
      <c r="K49" s="120">
        <f t="shared" si="6"/>
        <v>0.32379985792954552</v>
      </c>
      <c r="O49" s="116">
        <f>Amnt_Deposited!B44</f>
        <v>2030</v>
      </c>
      <c r="P49" s="119">
        <f>Amnt_Deposited!D44</f>
        <v>8.928622741104002</v>
      </c>
      <c r="Q49" s="319">
        <f>MCF!R48</f>
        <v>0.8</v>
      </c>
      <c r="R49" s="87">
        <f t="shared" si="5"/>
        <v>1.4285796385766405</v>
      </c>
      <c r="S49" s="87">
        <f t="shared" si="7"/>
        <v>1.4285796385766405</v>
      </c>
      <c r="T49" s="87">
        <f t="shared" si="8"/>
        <v>0</v>
      </c>
      <c r="U49" s="87">
        <f t="shared" si="9"/>
        <v>15.268562093451198</v>
      </c>
      <c r="V49" s="87">
        <f t="shared" si="10"/>
        <v>1.0035119563932196</v>
      </c>
      <c r="W49" s="120">
        <f t="shared" si="11"/>
        <v>0.66900797092881303</v>
      </c>
    </row>
    <row r="50" spans="2:23">
      <c r="B50" s="116">
        <f>Amnt_Deposited!B45</f>
        <v>2031</v>
      </c>
      <c r="C50" s="119">
        <f>Amnt_Deposited!D45</f>
        <v>0</v>
      </c>
      <c r="D50" s="453">
        <f>Dry_Matter_Content!D37</f>
        <v>0.44</v>
      </c>
      <c r="E50" s="319">
        <f>MCF!R49</f>
        <v>0.8</v>
      </c>
      <c r="F50" s="87">
        <f t="shared" si="0"/>
        <v>0</v>
      </c>
      <c r="G50" s="87">
        <f t="shared" si="1"/>
        <v>0</v>
      </c>
      <c r="H50" s="87">
        <f t="shared" si="2"/>
        <v>0</v>
      </c>
      <c r="I50" s="87">
        <f t="shared" si="3"/>
        <v>6.890375460435517</v>
      </c>
      <c r="J50" s="87">
        <f t="shared" si="4"/>
        <v>0.49960859279486342</v>
      </c>
      <c r="K50" s="120">
        <f t="shared" si="6"/>
        <v>0.33307239519657561</v>
      </c>
      <c r="O50" s="116">
        <f>Amnt_Deposited!B45</f>
        <v>2031</v>
      </c>
      <c r="P50" s="119">
        <f>Amnt_Deposited!D45</f>
        <v>0</v>
      </c>
      <c r="Q50" s="319">
        <f>MCF!R49</f>
        <v>0.8</v>
      </c>
      <c r="R50" s="87">
        <f t="shared" si="5"/>
        <v>0</v>
      </c>
      <c r="S50" s="87">
        <f t="shared" si="7"/>
        <v>0</v>
      </c>
      <c r="T50" s="87">
        <f t="shared" si="8"/>
        <v>0</v>
      </c>
      <c r="U50" s="87">
        <f t="shared" si="9"/>
        <v>14.236312934784126</v>
      </c>
      <c r="V50" s="87">
        <f t="shared" si="10"/>
        <v>1.0322491586670732</v>
      </c>
      <c r="W50" s="120">
        <f t="shared" si="11"/>
        <v>0.68816610577804882</v>
      </c>
    </row>
    <row r="51" spans="2:23">
      <c r="B51" s="116">
        <f>Amnt_Deposited!B46</f>
        <v>2032</v>
      </c>
      <c r="C51" s="119">
        <f>Amnt_Deposited!D46</f>
        <v>0</v>
      </c>
      <c r="D51" s="453">
        <f>Dry_Matter_Content!D38</f>
        <v>0.44</v>
      </c>
      <c r="E51" s="319">
        <f>MCF!R50</f>
        <v>0.8</v>
      </c>
      <c r="F51" s="87">
        <f t="shared" ref="F51:F82" si="12">C51*D51*$K$6*DOCF*E51</f>
        <v>0</v>
      </c>
      <c r="G51" s="87">
        <f t="shared" si="1"/>
        <v>0</v>
      </c>
      <c r="H51" s="87">
        <f t="shared" si="2"/>
        <v>0</v>
      </c>
      <c r="I51" s="87">
        <f t="shared" si="3"/>
        <v>6.4245434961416787</v>
      </c>
      <c r="J51" s="87">
        <f t="shared" si="4"/>
        <v>0.46583196429383816</v>
      </c>
      <c r="K51" s="120">
        <f t="shared" si="6"/>
        <v>0.31055464286255874</v>
      </c>
      <c r="O51" s="116">
        <f>Amnt_Deposited!B46</f>
        <v>2032</v>
      </c>
      <c r="P51" s="119">
        <f>Amnt_Deposited!D46</f>
        <v>0</v>
      </c>
      <c r="Q51" s="319">
        <f>MCF!R50</f>
        <v>0.8</v>
      </c>
      <c r="R51" s="87">
        <f t="shared" ref="R51:R82" si="13">P51*$W$6*DOCF*Q51</f>
        <v>0</v>
      </c>
      <c r="S51" s="87">
        <f t="shared" si="7"/>
        <v>0</v>
      </c>
      <c r="T51" s="87">
        <f t="shared" si="8"/>
        <v>0</v>
      </c>
      <c r="U51" s="87">
        <f t="shared" si="9"/>
        <v>13.273850198639831</v>
      </c>
      <c r="V51" s="87">
        <f t="shared" si="10"/>
        <v>0.96246273614429367</v>
      </c>
      <c r="W51" s="120">
        <f t="shared" si="11"/>
        <v>0.64164182409619575</v>
      </c>
    </row>
    <row r="52" spans="2:23">
      <c r="B52" s="116">
        <f>Amnt_Deposited!B47</f>
        <v>2033</v>
      </c>
      <c r="C52" s="119">
        <f>Amnt_Deposited!D47</f>
        <v>0</v>
      </c>
      <c r="D52" s="453">
        <f>Dry_Matter_Content!D39</f>
        <v>0.44</v>
      </c>
      <c r="E52" s="319">
        <f>MCF!R51</f>
        <v>0.8</v>
      </c>
      <c r="F52" s="87">
        <f t="shared" si="12"/>
        <v>0</v>
      </c>
      <c r="G52" s="87">
        <f t="shared" si="1"/>
        <v>0</v>
      </c>
      <c r="H52" s="87">
        <f t="shared" si="2"/>
        <v>0</v>
      </c>
      <c r="I52" s="87">
        <f t="shared" si="3"/>
        <v>5.9902046515194556</v>
      </c>
      <c r="J52" s="87">
        <f t="shared" si="4"/>
        <v>0.43433884462222305</v>
      </c>
      <c r="K52" s="120">
        <f t="shared" si="6"/>
        <v>0.28955922974814868</v>
      </c>
      <c r="O52" s="116">
        <f>Amnt_Deposited!B47</f>
        <v>2033</v>
      </c>
      <c r="P52" s="119">
        <f>Amnt_Deposited!D47</f>
        <v>0</v>
      </c>
      <c r="Q52" s="319">
        <f>MCF!R51</f>
        <v>0.8</v>
      </c>
      <c r="R52" s="87">
        <f t="shared" si="13"/>
        <v>0</v>
      </c>
      <c r="S52" s="87">
        <f t="shared" si="7"/>
        <v>0</v>
      </c>
      <c r="T52" s="87">
        <f t="shared" si="8"/>
        <v>0</v>
      </c>
      <c r="U52" s="87">
        <f t="shared" si="9"/>
        <v>12.376455891569123</v>
      </c>
      <c r="V52" s="87">
        <f t="shared" si="10"/>
        <v>0.89739430707070866</v>
      </c>
      <c r="W52" s="120">
        <f t="shared" si="11"/>
        <v>0.59826287138047241</v>
      </c>
    </row>
    <row r="53" spans="2:23">
      <c r="B53" s="116">
        <f>Amnt_Deposited!B48</f>
        <v>2034</v>
      </c>
      <c r="C53" s="119">
        <f>Amnt_Deposited!D48</f>
        <v>0</v>
      </c>
      <c r="D53" s="453">
        <f>Dry_Matter_Content!D40</f>
        <v>0.44</v>
      </c>
      <c r="E53" s="319">
        <f>MCF!R52</f>
        <v>0.8</v>
      </c>
      <c r="F53" s="87">
        <f t="shared" si="12"/>
        <v>0</v>
      </c>
      <c r="G53" s="87">
        <f t="shared" si="1"/>
        <v>0</v>
      </c>
      <c r="H53" s="87">
        <f t="shared" si="2"/>
        <v>0</v>
      </c>
      <c r="I53" s="87">
        <f t="shared" si="3"/>
        <v>5.5852297970486049</v>
      </c>
      <c r="J53" s="87">
        <f t="shared" si="4"/>
        <v>0.40497485447085069</v>
      </c>
      <c r="K53" s="120">
        <f t="shared" si="6"/>
        <v>0.26998323631390042</v>
      </c>
      <c r="O53" s="116">
        <f>Amnt_Deposited!B48</f>
        <v>2034</v>
      </c>
      <c r="P53" s="119">
        <f>Amnt_Deposited!D48</f>
        <v>0</v>
      </c>
      <c r="Q53" s="319">
        <f>MCF!R52</f>
        <v>0.8</v>
      </c>
      <c r="R53" s="87">
        <f t="shared" si="13"/>
        <v>0</v>
      </c>
      <c r="S53" s="87">
        <f t="shared" si="7"/>
        <v>0</v>
      </c>
      <c r="T53" s="87">
        <f t="shared" si="8"/>
        <v>0</v>
      </c>
      <c r="U53" s="87">
        <f t="shared" si="9"/>
        <v>11.539730985637613</v>
      </c>
      <c r="V53" s="87">
        <f t="shared" si="10"/>
        <v>0.83672490593150961</v>
      </c>
      <c r="W53" s="120">
        <f t="shared" si="11"/>
        <v>0.55781660395433974</v>
      </c>
    </row>
    <row r="54" spans="2:23">
      <c r="B54" s="116">
        <f>Amnt_Deposited!B49</f>
        <v>2035</v>
      </c>
      <c r="C54" s="119">
        <f>Amnt_Deposited!D49</f>
        <v>0</v>
      </c>
      <c r="D54" s="453">
        <f>Dry_Matter_Content!D41</f>
        <v>0.44</v>
      </c>
      <c r="E54" s="319">
        <f>MCF!R53</f>
        <v>0.8</v>
      </c>
      <c r="F54" s="87">
        <f t="shared" si="12"/>
        <v>0</v>
      </c>
      <c r="G54" s="87">
        <f t="shared" si="1"/>
        <v>0</v>
      </c>
      <c r="H54" s="87">
        <f t="shared" si="2"/>
        <v>0</v>
      </c>
      <c r="I54" s="87">
        <f t="shared" si="3"/>
        <v>5.2076337455226733</v>
      </c>
      <c r="J54" s="87">
        <f t="shared" si="4"/>
        <v>0.37759605152593195</v>
      </c>
      <c r="K54" s="120">
        <f t="shared" si="6"/>
        <v>0.25173070101728795</v>
      </c>
      <c r="O54" s="116">
        <f>Amnt_Deposited!B49</f>
        <v>2035</v>
      </c>
      <c r="P54" s="119">
        <f>Amnt_Deposited!D49</f>
        <v>0</v>
      </c>
      <c r="Q54" s="319">
        <f>MCF!R53</f>
        <v>0.8</v>
      </c>
      <c r="R54" s="87">
        <f t="shared" si="13"/>
        <v>0</v>
      </c>
      <c r="S54" s="87">
        <f t="shared" si="7"/>
        <v>0</v>
      </c>
      <c r="T54" s="87">
        <f t="shared" si="8"/>
        <v>0</v>
      </c>
      <c r="U54" s="87">
        <f t="shared" si="9"/>
        <v>10.759573854385687</v>
      </c>
      <c r="V54" s="87">
        <f t="shared" si="10"/>
        <v>0.78015713125192554</v>
      </c>
      <c r="W54" s="120">
        <f t="shared" si="11"/>
        <v>0.52010475416795032</v>
      </c>
    </row>
    <row r="55" spans="2:23">
      <c r="B55" s="116">
        <f>Amnt_Deposited!B50</f>
        <v>2036</v>
      </c>
      <c r="C55" s="119">
        <f>Amnt_Deposited!D50</f>
        <v>0</v>
      </c>
      <c r="D55" s="453">
        <f>Dry_Matter_Content!D42</f>
        <v>0.44</v>
      </c>
      <c r="E55" s="319">
        <f>MCF!R54</f>
        <v>0.8</v>
      </c>
      <c r="F55" s="87">
        <f t="shared" si="12"/>
        <v>0</v>
      </c>
      <c r="G55" s="87">
        <f t="shared" si="1"/>
        <v>0</v>
      </c>
      <c r="H55" s="87">
        <f t="shared" si="2"/>
        <v>0</v>
      </c>
      <c r="I55" s="87">
        <f t="shared" si="3"/>
        <v>4.855565520659006</v>
      </c>
      <c r="J55" s="87">
        <f t="shared" si="4"/>
        <v>0.35206822486366701</v>
      </c>
      <c r="K55" s="120">
        <f t="shared" si="6"/>
        <v>0.23471214990911132</v>
      </c>
      <c r="O55" s="116">
        <f>Amnt_Deposited!B50</f>
        <v>2036</v>
      </c>
      <c r="P55" s="119">
        <f>Amnt_Deposited!D50</f>
        <v>0</v>
      </c>
      <c r="Q55" s="319">
        <f>MCF!R54</f>
        <v>0.8</v>
      </c>
      <c r="R55" s="87">
        <f t="shared" si="13"/>
        <v>0</v>
      </c>
      <c r="S55" s="87">
        <f t="shared" si="7"/>
        <v>0</v>
      </c>
      <c r="T55" s="87">
        <f t="shared" si="8"/>
        <v>0</v>
      </c>
      <c r="U55" s="87">
        <f t="shared" si="9"/>
        <v>10.032160166650838</v>
      </c>
      <c r="V55" s="87">
        <f t="shared" si="10"/>
        <v>0.72741368773484905</v>
      </c>
      <c r="W55" s="120">
        <f t="shared" si="11"/>
        <v>0.48494245848989936</v>
      </c>
    </row>
    <row r="56" spans="2:23">
      <c r="B56" s="116">
        <f>Amnt_Deposited!B51</f>
        <v>2037</v>
      </c>
      <c r="C56" s="119">
        <f>Amnt_Deposited!D51</f>
        <v>0</v>
      </c>
      <c r="D56" s="453">
        <f>Dry_Matter_Content!D43</f>
        <v>0.44</v>
      </c>
      <c r="E56" s="319">
        <f>MCF!R55</f>
        <v>0.8</v>
      </c>
      <c r="F56" s="87">
        <f t="shared" si="12"/>
        <v>0</v>
      </c>
      <c r="G56" s="87">
        <f t="shared" si="1"/>
        <v>0</v>
      </c>
      <c r="H56" s="87">
        <f t="shared" si="2"/>
        <v>0</v>
      </c>
      <c r="I56" s="87">
        <f t="shared" si="3"/>
        <v>4.5272992836108656</v>
      </c>
      <c r="J56" s="87">
        <f t="shared" si="4"/>
        <v>0.32826623704814079</v>
      </c>
      <c r="K56" s="120">
        <f t="shared" si="6"/>
        <v>0.21884415803209384</v>
      </c>
      <c r="O56" s="116">
        <f>Amnt_Deposited!B51</f>
        <v>2037</v>
      </c>
      <c r="P56" s="119">
        <f>Amnt_Deposited!D51</f>
        <v>0</v>
      </c>
      <c r="Q56" s="319">
        <f>MCF!R55</f>
        <v>0.8</v>
      </c>
      <c r="R56" s="87">
        <f t="shared" si="13"/>
        <v>0</v>
      </c>
      <c r="S56" s="87">
        <f t="shared" si="7"/>
        <v>0</v>
      </c>
      <c r="T56" s="87">
        <f t="shared" si="8"/>
        <v>0</v>
      </c>
      <c r="U56" s="87">
        <f t="shared" si="9"/>
        <v>9.3539241396918698</v>
      </c>
      <c r="V56" s="87">
        <f t="shared" si="10"/>
        <v>0.67823602695896856</v>
      </c>
      <c r="W56" s="120">
        <f t="shared" si="11"/>
        <v>0.45215735130597901</v>
      </c>
    </row>
    <row r="57" spans="2:23">
      <c r="B57" s="116">
        <f>Amnt_Deposited!B52</f>
        <v>2038</v>
      </c>
      <c r="C57" s="119">
        <f>Amnt_Deposited!D52</f>
        <v>0</v>
      </c>
      <c r="D57" s="453">
        <f>Dry_Matter_Content!D44</f>
        <v>0.44</v>
      </c>
      <c r="E57" s="319">
        <f>MCF!R56</f>
        <v>0.8</v>
      </c>
      <c r="F57" s="87">
        <f t="shared" si="12"/>
        <v>0</v>
      </c>
      <c r="G57" s="87">
        <f t="shared" si="1"/>
        <v>0</v>
      </c>
      <c r="H57" s="87">
        <f t="shared" si="2"/>
        <v>0</v>
      </c>
      <c r="I57" s="87">
        <f t="shared" si="3"/>
        <v>4.221225872903398</v>
      </c>
      <c r="J57" s="87">
        <f t="shared" si="4"/>
        <v>0.30607341070746752</v>
      </c>
      <c r="K57" s="120">
        <f t="shared" si="6"/>
        <v>0.20404894047164501</v>
      </c>
      <c r="O57" s="116">
        <f>Amnt_Deposited!B52</f>
        <v>2038</v>
      </c>
      <c r="P57" s="119">
        <f>Amnt_Deposited!D52</f>
        <v>0</v>
      </c>
      <c r="Q57" s="319">
        <f>MCF!R56</f>
        <v>0.8</v>
      </c>
      <c r="R57" s="87">
        <f t="shared" si="13"/>
        <v>0</v>
      </c>
      <c r="S57" s="87">
        <f t="shared" si="7"/>
        <v>0</v>
      </c>
      <c r="T57" s="87">
        <f t="shared" si="8"/>
        <v>0</v>
      </c>
      <c r="U57" s="87">
        <f t="shared" si="9"/>
        <v>8.7215410597177634</v>
      </c>
      <c r="V57" s="87">
        <f t="shared" si="10"/>
        <v>0.63238307997410637</v>
      </c>
      <c r="W57" s="120">
        <f t="shared" si="11"/>
        <v>0.42158871998273756</v>
      </c>
    </row>
    <row r="58" spans="2:23">
      <c r="B58" s="116">
        <f>Amnt_Deposited!B53</f>
        <v>2039</v>
      </c>
      <c r="C58" s="119">
        <f>Amnt_Deposited!D53</f>
        <v>0</v>
      </c>
      <c r="D58" s="453">
        <f>Dry_Matter_Content!D45</f>
        <v>0.44</v>
      </c>
      <c r="E58" s="319">
        <f>MCF!R57</f>
        <v>0.8</v>
      </c>
      <c r="F58" s="87">
        <f t="shared" si="12"/>
        <v>0</v>
      </c>
      <c r="G58" s="87">
        <f t="shared" si="1"/>
        <v>0</v>
      </c>
      <c r="H58" s="87">
        <f t="shared" si="2"/>
        <v>0</v>
      </c>
      <c r="I58" s="87">
        <f t="shared" si="3"/>
        <v>3.9358449163222202</v>
      </c>
      <c r="J58" s="87">
        <f t="shared" si="4"/>
        <v>0.28538095658117785</v>
      </c>
      <c r="K58" s="120">
        <f t="shared" si="6"/>
        <v>0.19025397105411856</v>
      </c>
      <c r="O58" s="116">
        <f>Amnt_Deposited!B53</f>
        <v>2039</v>
      </c>
      <c r="P58" s="119">
        <f>Amnt_Deposited!D53</f>
        <v>0</v>
      </c>
      <c r="Q58" s="319">
        <f>MCF!R57</f>
        <v>0.8</v>
      </c>
      <c r="R58" s="87">
        <f t="shared" si="13"/>
        <v>0</v>
      </c>
      <c r="S58" s="87">
        <f t="shared" si="7"/>
        <v>0</v>
      </c>
      <c r="T58" s="87">
        <f t="shared" si="8"/>
        <v>0</v>
      </c>
      <c r="U58" s="87">
        <f t="shared" si="9"/>
        <v>8.1319109841368178</v>
      </c>
      <c r="V58" s="87">
        <f t="shared" si="10"/>
        <v>0.58963007558094582</v>
      </c>
      <c r="W58" s="120">
        <f t="shared" si="11"/>
        <v>0.39308671705396386</v>
      </c>
    </row>
    <row r="59" spans="2:23">
      <c r="B59" s="116">
        <f>Amnt_Deposited!B54</f>
        <v>2040</v>
      </c>
      <c r="C59" s="119">
        <f>Amnt_Deposited!D54</f>
        <v>0</v>
      </c>
      <c r="D59" s="453">
        <f>Dry_Matter_Content!D46</f>
        <v>0.44</v>
      </c>
      <c r="E59" s="319">
        <f>MCF!R58</f>
        <v>0.8</v>
      </c>
      <c r="F59" s="87">
        <f t="shared" si="12"/>
        <v>0</v>
      </c>
      <c r="G59" s="87">
        <f t="shared" si="1"/>
        <v>0</v>
      </c>
      <c r="H59" s="87">
        <f t="shared" si="2"/>
        <v>0</v>
      </c>
      <c r="I59" s="87">
        <f t="shared" si="3"/>
        <v>3.6697574760870824</v>
      </c>
      <c r="J59" s="87">
        <f t="shared" si="4"/>
        <v>0.26608744023513797</v>
      </c>
      <c r="K59" s="120">
        <f t="shared" si="6"/>
        <v>0.1773916268234253</v>
      </c>
      <c r="O59" s="116">
        <f>Amnt_Deposited!B54</f>
        <v>2040</v>
      </c>
      <c r="P59" s="119">
        <f>Amnt_Deposited!D54</f>
        <v>0</v>
      </c>
      <c r="Q59" s="319">
        <f>MCF!R58</f>
        <v>0.8</v>
      </c>
      <c r="R59" s="87">
        <f t="shared" si="13"/>
        <v>0</v>
      </c>
      <c r="S59" s="87">
        <f t="shared" si="7"/>
        <v>0</v>
      </c>
      <c r="T59" s="87">
        <f t="shared" si="8"/>
        <v>0</v>
      </c>
      <c r="U59" s="87">
        <f t="shared" si="9"/>
        <v>7.5821435456344668</v>
      </c>
      <c r="V59" s="87">
        <f t="shared" si="10"/>
        <v>0.5497674385023511</v>
      </c>
      <c r="W59" s="120">
        <f t="shared" si="11"/>
        <v>0.36651162566823403</v>
      </c>
    </row>
    <row r="60" spans="2:23">
      <c r="B60" s="116">
        <f>Amnt_Deposited!B55</f>
        <v>2041</v>
      </c>
      <c r="C60" s="119">
        <f>Amnt_Deposited!D55</f>
        <v>0</v>
      </c>
      <c r="D60" s="453">
        <f>Dry_Matter_Content!D47</f>
        <v>0.44</v>
      </c>
      <c r="E60" s="319">
        <f>MCF!R59</f>
        <v>0.8</v>
      </c>
      <c r="F60" s="87">
        <f t="shared" si="12"/>
        <v>0</v>
      </c>
      <c r="G60" s="87">
        <f t="shared" si="1"/>
        <v>0</v>
      </c>
      <c r="H60" s="87">
        <f t="shared" si="2"/>
        <v>0</v>
      </c>
      <c r="I60" s="87">
        <f t="shared" si="3"/>
        <v>3.4216591912572465</v>
      </c>
      <c r="J60" s="87">
        <f t="shared" si="4"/>
        <v>0.24809828482983601</v>
      </c>
      <c r="K60" s="120">
        <f t="shared" si="6"/>
        <v>0.16539885655322401</v>
      </c>
      <c r="O60" s="116">
        <f>Amnt_Deposited!B55</f>
        <v>2041</v>
      </c>
      <c r="P60" s="119">
        <f>Amnt_Deposited!D55</f>
        <v>0</v>
      </c>
      <c r="Q60" s="319">
        <f>MCF!R59</f>
        <v>0.8</v>
      </c>
      <c r="R60" s="87">
        <f t="shared" si="13"/>
        <v>0</v>
      </c>
      <c r="S60" s="87">
        <f t="shared" si="7"/>
        <v>0</v>
      </c>
      <c r="T60" s="87">
        <f t="shared" si="8"/>
        <v>0</v>
      </c>
      <c r="U60" s="87">
        <f t="shared" si="9"/>
        <v>7.0695437835893511</v>
      </c>
      <c r="V60" s="87">
        <f t="shared" si="10"/>
        <v>0.5125997620451157</v>
      </c>
      <c r="W60" s="120">
        <f t="shared" si="11"/>
        <v>0.3417331746967438</v>
      </c>
    </row>
    <row r="61" spans="2:23">
      <c r="B61" s="116">
        <f>Amnt_Deposited!B56</f>
        <v>2042</v>
      </c>
      <c r="C61" s="119">
        <f>Amnt_Deposited!D56</f>
        <v>0</v>
      </c>
      <c r="D61" s="453">
        <f>Dry_Matter_Content!D48</f>
        <v>0.44</v>
      </c>
      <c r="E61" s="319">
        <f>MCF!R60</f>
        <v>0.8</v>
      </c>
      <c r="F61" s="87">
        <f t="shared" si="12"/>
        <v>0</v>
      </c>
      <c r="G61" s="87">
        <f t="shared" si="1"/>
        <v>0</v>
      </c>
      <c r="H61" s="87">
        <f t="shared" si="2"/>
        <v>0</v>
      </c>
      <c r="I61" s="87">
        <f t="shared" si="3"/>
        <v>3.1903338837526416</v>
      </c>
      <c r="J61" s="87">
        <f t="shared" si="4"/>
        <v>0.23132530750460478</v>
      </c>
      <c r="K61" s="120">
        <f t="shared" si="6"/>
        <v>0.15421687166973652</v>
      </c>
      <c r="O61" s="116">
        <f>Amnt_Deposited!B56</f>
        <v>2042</v>
      </c>
      <c r="P61" s="119">
        <f>Amnt_Deposited!D56</f>
        <v>0</v>
      </c>
      <c r="Q61" s="319">
        <f>MCF!R60</f>
        <v>0.8</v>
      </c>
      <c r="R61" s="87">
        <f t="shared" si="13"/>
        <v>0</v>
      </c>
      <c r="S61" s="87">
        <f t="shared" si="7"/>
        <v>0</v>
      </c>
      <c r="T61" s="87">
        <f t="shared" si="8"/>
        <v>0</v>
      </c>
      <c r="U61" s="87">
        <f t="shared" si="9"/>
        <v>6.5915989333732252</v>
      </c>
      <c r="V61" s="87">
        <f t="shared" si="10"/>
        <v>0.47794485021612554</v>
      </c>
      <c r="W61" s="120">
        <f t="shared" si="11"/>
        <v>0.31862990014408366</v>
      </c>
    </row>
    <row r="62" spans="2:23">
      <c r="B62" s="116">
        <f>Amnt_Deposited!B57</f>
        <v>2043</v>
      </c>
      <c r="C62" s="119">
        <f>Amnt_Deposited!D57</f>
        <v>0</v>
      </c>
      <c r="D62" s="453">
        <f>Dry_Matter_Content!D49</f>
        <v>0.44</v>
      </c>
      <c r="E62" s="319">
        <f>MCF!R61</f>
        <v>0.8</v>
      </c>
      <c r="F62" s="87">
        <f t="shared" si="12"/>
        <v>0</v>
      </c>
      <c r="G62" s="87">
        <f t="shared" si="1"/>
        <v>0</v>
      </c>
      <c r="H62" s="87">
        <f t="shared" si="2"/>
        <v>0</v>
      </c>
      <c r="I62" s="87">
        <f t="shared" si="3"/>
        <v>2.9746475966475052</v>
      </c>
      <c r="J62" s="87">
        <f t="shared" si="4"/>
        <v>0.21568628710513657</v>
      </c>
      <c r="K62" s="120">
        <f t="shared" si="6"/>
        <v>0.14379085807009104</v>
      </c>
      <c r="O62" s="116">
        <f>Amnt_Deposited!B57</f>
        <v>2043</v>
      </c>
      <c r="P62" s="119">
        <f>Amnt_Deposited!D57</f>
        <v>0</v>
      </c>
      <c r="Q62" s="319">
        <f>MCF!R61</f>
        <v>0.8</v>
      </c>
      <c r="R62" s="87">
        <f t="shared" si="13"/>
        <v>0</v>
      </c>
      <c r="S62" s="87">
        <f t="shared" si="7"/>
        <v>0</v>
      </c>
      <c r="T62" s="87">
        <f t="shared" si="8"/>
        <v>0</v>
      </c>
      <c r="U62" s="87">
        <f t="shared" si="9"/>
        <v>6.1459661087758359</v>
      </c>
      <c r="V62" s="87">
        <f t="shared" si="10"/>
        <v>0.44563282459738951</v>
      </c>
      <c r="W62" s="120">
        <f t="shared" si="11"/>
        <v>0.29708854973159299</v>
      </c>
    </row>
    <row r="63" spans="2:23">
      <c r="B63" s="116">
        <f>Amnt_Deposited!B58</f>
        <v>2044</v>
      </c>
      <c r="C63" s="119">
        <f>Amnt_Deposited!D58</f>
        <v>0</v>
      </c>
      <c r="D63" s="453">
        <f>Dry_Matter_Content!D50</f>
        <v>0.44</v>
      </c>
      <c r="E63" s="319">
        <f>MCF!R62</f>
        <v>0.8</v>
      </c>
      <c r="F63" s="87">
        <f t="shared" si="12"/>
        <v>0</v>
      </c>
      <c r="G63" s="87">
        <f t="shared" si="1"/>
        <v>0</v>
      </c>
      <c r="H63" s="87">
        <f t="shared" si="2"/>
        <v>0</v>
      </c>
      <c r="I63" s="87">
        <f t="shared" si="3"/>
        <v>2.7735430355122159</v>
      </c>
      <c r="J63" s="87">
        <f t="shared" si="4"/>
        <v>0.20110456113528938</v>
      </c>
      <c r="K63" s="120">
        <f t="shared" si="6"/>
        <v>0.13406970742352625</v>
      </c>
      <c r="O63" s="116">
        <f>Amnt_Deposited!B58</f>
        <v>2044</v>
      </c>
      <c r="P63" s="119">
        <f>Amnt_Deposited!D58</f>
        <v>0</v>
      </c>
      <c r="Q63" s="319">
        <f>MCF!R62</f>
        <v>0.8</v>
      </c>
      <c r="R63" s="87">
        <f t="shared" si="13"/>
        <v>0</v>
      </c>
      <c r="S63" s="87">
        <f t="shared" si="7"/>
        <v>0</v>
      </c>
      <c r="T63" s="87">
        <f t="shared" si="8"/>
        <v>0</v>
      </c>
      <c r="U63" s="87">
        <f t="shared" si="9"/>
        <v>5.7304608171739986</v>
      </c>
      <c r="V63" s="87">
        <f t="shared" si="10"/>
        <v>0.41550529160183747</v>
      </c>
      <c r="W63" s="120">
        <f t="shared" si="11"/>
        <v>0.27700352773455827</v>
      </c>
    </row>
    <row r="64" spans="2:23">
      <c r="B64" s="116">
        <f>Amnt_Deposited!B59</f>
        <v>2045</v>
      </c>
      <c r="C64" s="119">
        <f>Amnt_Deposited!D59</f>
        <v>0</v>
      </c>
      <c r="D64" s="453">
        <f>Dry_Matter_Content!D51</f>
        <v>0.44</v>
      </c>
      <c r="E64" s="319">
        <f>MCF!R63</f>
        <v>0.8</v>
      </c>
      <c r="F64" s="87">
        <f t="shared" si="12"/>
        <v>0</v>
      </c>
      <c r="G64" s="87">
        <f t="shared" si="1"/>
        <v>0</v>
      </c>
      <c r="H64" s="87">
        <f t="shared" si="2"/>
        <v>0</v>
      </c>
      <c r="I64" s="87">
        <f t="shared" si="3"/>
        <v>2.5860343855547741</v>
      </c>
      <c r="J64" s="87">
        <f t="shared" si="4"/>
        <v>0.18750864995744176</v>
      </c>
      <c r="K64" s="120">
        <f t="shared" si="6"/>
        <v>0.12500576663829449</v>
      </c>
      <c r="O64" s="116">
        <f>Amnt_Deposited!B59</f>
        <v>2045</v>
      </c>
      <c r="P64" s="119">
        <f>Amnt_Deposited!D59</f>
        <v>0</v>
      </c>
      <c r="Q64" s="319">
        <f>MCF!R63</f>
        <v>0.8</v>
      </c>
      <c r="R64" s="87">
        <f t="shared" si="13"/>
        <v>0</v>
      </c>
      <c r="S64" s="87">
        <f t="shared" si="7"/>
        <v>0</v>
      </c>
      <c r="T64" s="87">
        <f t="shared" si="8"/>
        <v>0</v>
      </c>
      <c r="U64" s="87">
        <f t="shared" si="9"/>
        <v>5.3430462511462267</v>
      </c>
      <c r="V64" s="87">
        <f t="shared" si="10"/>
        <v>0.38741456602777219</v>
      </c>
      <c r="W64" s="120">
        <f t="shared" si="11"/>
        <v>0.25827637735184811</v>
      </c>
    </row>
    <row r="65" spans="2:23">
      <c r="B65" s="116">
        <f>Amnt_Deposited!B60</f>
        <v>2046</v>
      </c>
      <c r="C65" s="119">
        <f>Amnt_Deposited!D60</f>
        <v>0</v>
      </c>
      <c r="D65" s="453">
        <f>Dry_Matter_Content!D52</f>
        <v>0.44</v>
      </c>
      <c r="E65" s="319">
        <f>MCF!R64</f>
        <v>0.8</v>
      </c>
      <c r="F65" s="87">
        <f t="shared" si="12"/>
        <v>0</v>
      </c>
      <c r="G65" s="87">
        <f t="shared" si="1"/>
        <v>0</v>
      </c>
      <c r="H65" s="87">
        <f t="shared" si="2"/>
        <v>0</v>
      </c>
      <c r="I65" s="87">
        <f t="shared" si="3"/>
        <v>2.4112024791555475</v>
      </c>
      <c r="J65" s="87">
        <f t="shared" si="4"/>
        <v>0.17483190639922647</v>
      </c>
      <c r="K65" s="120">
        <f t="shared" si="6"/>
        <v>0.11655460426615097</v>
      </c>
      <c r="O65" s="116">
        <f>Amnt_Deposited!B60</f>
        <v>2046</v>
      </c>
      <c r="P65" s="119">
        <f>Amnt_Deposited!D60</f>
        <v>0</v>
      </c>
      <c r="Q65" s="319">
        <f>MCF!R64</f>
        <v>0.8</v>
      </c>
      <c r="R65" s="87">
        <f t="shared" si="13"/>
        <v>0</v>
      </c>
      <c r="S65" s="87">
        <f t="shared" si="7"/>
        <v>0</v>
      </c>
      <c r="T65" s="87">
        <f t="shared" si="8"/>
        <v>0</v>
      </c>
      <c r="U65" s="87">
        <f t="shared" si="9"/>
        <v>4.981823304040387</v>
      </c>
      <c r="V65" s="87">
        <f t="shared" si="10"/>
        <v>0.36122294710583974</v>
      </c>
      <c r="W65" s="120">
        <f t="shared" si="11"/>
        <v>0.24081529807055982</v>
      </c>
    </row>
    <row r="66" spans="2:23">
      <c r="B66" s="116">
        <f>Amnt_Deposited!B61</f>
        <v>2047</v>
      </c>
      <c r="C66" s="119">
        <f>Amnt_Deposited!D61</f>
        <v>0</v>
      </c>
      <c r="D66" s="453">
        <f>Dry_Matter_Content!D53</f>
        <v>0.44</v>
      </c>
      <c r="E66" s="319">
        <f>MCF!R65</f>
        <v>0.8</v>
      </c>
      <c r="F66" s="87">
        <f t="shared" si="12"/>
        <v>0</v>
      </c>
      <c r="G66" s="87">
        <f t="shared" si="1"/>
        <v>0</v>
      </c>
      <c r="H66" s="87">
        <f t="shared" si="2"/>
        <v>0</v>
      </c>
      <c r="I66" s="87">
        <f t="shared" si="3"/>
        <v>2.2481902901065336</v>
      </c>
      <c r="J66" s="87">
        <f t="shared" si="4"/>
        <v>0.16301218904901396</v>
      </c>
      <c r="K66" s="120">
        <f t="shared" si="6"/>
        <v>0.10867479269934263</v>
      </c>
      <c r="O66" s="116">
        <f>Amnt_Deposited!B61</f>
        <v>2047</v>
      </c>
      <c r="P66" s="119">
        <f>Amnt_Deposited!D61</f>
        <v>0</v>
      </c>
      <c r="Q66" s="319">
        <f>MCF!R65</f>
        <v>0.8</v>
      </c>
      <c r="R66" s="87">
        <f t="shared" si="13"/>
        <v>0</v>
      </c>
      <c r="S66" s="87">
        <f t="shared" si="7"/>
        <v>0</v>
      </c>
      <c r="T66" s="87">
        <f t="shared" si="8"/>
        <v>0</v>
      </c>
      <c r="U66" s="87">
        <f t="shared" si="9"/>
        <v>4.6450212605506884</v>
      </c>
      <c r="V66" s="87">
        <f t="shared" si="10"/>
        <v>0.33680204348969822</v>
      </c>
      <c r="W66" s="120">
        <f t="shared" si="11"/>
        <v>0.22453469565979881</v>
      </c>
    </row>
    <row r="67" spans="2:23">
      <c r="B67" s="116">
        <f>Amnt_Deposited!B62</f>
        <v>2048</v>
      </c>
      <c r="C67" s="119">
        <f>Amnt_Deposited!D62</f>
        <v>0</v>
      </c>
      <c r="D67" s="453">
        <f>Dry_Matter_Content!D54</f>
        <v>0.44</v>
      </c>
      <c r="E67" s="319">
        <f>MCF!R66</f>
        <v>0.8</v>
      </c>
      <c r="F67" s="87">
        <f t="shared" si="12"/>
        <v>0</v>
      </c>
      <c r="G67" s="87">
        <f t="shared" si="1"/>
        <v>0</v>
      </c>
      <c r="H67" s="87">
        <f t="shared" si="2"/>
        <v>0</v>
      </c>
      <c r="I67" s="87">
        <f t="shared" si="3"/>
        <v>2.0961987324678928</v>
      </c>
      <c r="J67" s="87">
        <f t="shared" si="4"/>
        <v>0.1519915576386407</v>
      </c>
      <c r="K67" s="120">
        <f t="shared" si="6"/>
        <v>0.10132770509242713</v>
      </c>
      <c r="O67" s="116">
        <f>Amnt_Deposited!B62</f>
        <v>2048</v>
      </c>
      <c r="P67" s="119">
        <f>Amnt_Deposited!D62</f>
        <v>0</v>
      </c>
      <c r="Q67" s="319">
        <f>MCF!R66</f>
        <v>0.8</v>
      </c>
      <c r="R67" s="87">
        <f t="shared" si="13"/>
        <v>0</v>
      </c>
      <c r="S67" s="87">
        <f t="shared" si="7"/>
        <v>0</v>
      </c>
      <c r="T67" s="87">
        <f t="shared" si="8"/>
        <v>0</v>
      </c>
      <c r="U67" s="87">
        <f t="shared" si="9"/>
        <v>4.3309891166691994</v>
      </c>
      <c r="V67" s="87">
        <f t="shared" si="10"/>
        <v>0.31403214388148903</v>
      </c>
      <c r="W67" s="120">
        <f t="shared" si="11"/>
        <v>0.20935476258765934</v>
      </c>
    </row>
    <row r="68" spans="2:23">
      <c r="B68" s="116">
        <f>Amnt_Deposited!B63</f>
        <v>2049</v>
      </c>
      <c r="C68" s="119">
        <f>Amnt_Deposited!D63</f>
        <v>0</v>
      </c>
      <c r="D68" s="453">
        <f>Dry_Matter_Content!D55</f>
        <v>0.44</v>
      </c>
      <c r="E68" s="319">
        <f>MCF!R67</f>
        <v>0.8</v>
      </c>
      <c r="F68" s="87">
        <f t="shared" si="12"/>
        <v>0</v>
      </c>
      <c r="G68" s="87">
        <f t="shared" si="1"/>
        <v>0</v>
      </c>
      <c r="H68" s="87">
        <f t="shared" si="2"/>
        <v>0</v>
      </c>
      <c r="I68" s="87">
        <f t="shared" si="3"/>
        <v>1.9544827434477454</v>
      </c>
      <c r="J68" s="87">
        <f t="shared" si="4"/>
        <v>0.14171598902014731</v>
      </c>
      <c r="K68" s="120">
        <f t="shared" si="6"/>
        <v>9.4477326013431534E-2</v>
      </c>
      <c r="O68" s="116">
        <f>Amnt_Deposited!B63</f>
        <v>2049</v>
      </c>
      <c r="P68" s="119">
        <f>Amnt_Deposited!D63</f>
        <v>0</v>
      </c>
      <c r="Q68" s="319">
        <f>MCF!R67</f>
        <v>0.8</v>
      </c>
      <c r="R68" s="87">
        <f t="shared" si="13"/>
        <v>0</v>
      </c>
      <c r="S68" s="87">
        <f t="shared" si="7"/>
        <v>0</v>
      </c>
      <c r="T68" s="87">
        <f t="shared" si="8"/>
        <v>0</v>
      </c>
      <c r="U68" s="87">
        <f t="shared" si="9"/>
        <v>4.0381874864622835</v>
      </c>
      <c r="V68" s="87">
        <f t="shared" si="10"/>
        <v>0.29280163020691591</v>
      </c>
      <c r="W68" s="120">
        <f t="shared" si="11"/>
        <v>0.1952010868046106</v>
      </c>
    </row>
    <row r="69" spans="2:23">
      <c r="B69" s="116">
        <f>Amnt_Deposited!B64</f>
        <v>2050</v>
      </c>
      <c r="C69" s="119">
        <f>Amnt_Deposited!D64</f>
        <v>0</v>
      </c>
      <c r="D69" s="453">
        <f>Dry_Matter_Content!D56</f>
        <v>0.44</v>
      </c>
      <c r="E69" s="319">
        <f>MCF!R68</f>
        <v>0.8</v>
      </c>
      <c r="F69" s="87">
        <f t="shared" si="12"/>
        <v>0</v>
      </c>
      <c r="G69" s="87">
        <f t="shared" si="1"/>
        <v>0</v>
      </c>
      <c r="H69" s="87">
        <f t="shared" si="2"/>
        <v>0</v>
      </c>
      <c r="I69" s="87">
        <f t="shared" si="3"/>
        <v>1.822347631103501</v>
      </c>
      <c r="J69" s="87">
        <f t="shared" si="4"/>
        <v>0.13213511234424458</v>
      </c>
      <c r="K69" s="120">
        <f t="shared" si="6"/>
        <v>8.8090074896163051E-2</v>
      </c>
      <c r="O69" s="116">
        <f>Amnt_Deposited!B64</f>
        <v>2050</v>
      </c>
      <c r="P69" s="119">
        <f>Amnt_Deposited!D64</f>
        <v>0</v>
      </c>
      <c r="Q69" s="319">
        <f>MCF!R68</f>
        <v>0.8</v>
      </c>
      <c r="R69" s="87">
        <f t="shared" si="13"/>
        <v>0</v>
      </c>
      <c r="S69" s="87">
        <f t="shared" si="7"/>
        <v>0</v>
      </c>
      <c r="T69" s="87">
        <f t="shared" si="8"/>
        <v>0</v>
      </c>
      <c r="U69" s="87">
        <f t="shared" si="9"/>
        <v>3.7651810559989682</v>
      </c>
      <c r="V69" s="87">
        <f t="shared" si="10"/>
        <v>0.27300643046331519</v>
      </c>
      <c r="W69" s="120">
        <f t="shared" si="11"/>
        <v>0.18200428697554344</v>
      </c>
    </row>
    <row r="70" spans="2:23">
      <c r="B70" s="116">
        <f>Amnt_Deposited!B65</f>
        <v>2051</v>
      </c>
      <c r="C70" s="119">
        <f>Amnt_Deposited!D65</f>
        <v>0</v>
      </c>
      <c r="D70" s="453">
        <f>Dry_Matter_Content!D57</f>
        <v>0.44</v>
      </c>
      <c r="E70" s="319">
        <f>MCF!R69</f>
        <v>0.8</v>
      </c>
      <c r="F70" s="87">
        <f t="shared" si="12"/>
        <v>0</v>
      </c>
      <c r="G70" s="87">
        <f t="shared" si="1"/>
        <v>0</v>
      </c>
      <c r="H70" s="87">
        <f t="shared" si="2"/>
        <v>0</v>
      </c>
      <c r="I70" s="87">
        <f t="shared" si="3"/>
        <v>1.699145668961149</v>
      </c>
      <c r="J70" s="87">
        <f t="shared" si="4"/>
        <v>0.12320196214235182</v>
      </c>
      <c r="K70" s="120">
        <f t="shared" si="6"/>
        <v>8.2134641428234539E-2</v>
      </c>
      <c r="O70" s="116">
        <f>Amnt_Deposited!B65</f>
        <v>2051</v>
      </c>
      <c r="P70" s="119">
        <f>Amnt_Deposited!D65</f>
        <v>0</v>
      </c>
      <c r="Q70" s="319">
        <f>MCF!R69</f>
        <v>0.8</v>
      </c>
      <c r="R70" s="87">
        <f t="shared" si="13"/>
        <v>0</v>
      </c>
      <c r="S70" s="87">
        <f t="shared" si="7"/>
        <v>0</v>
      </c>
      <c r="T70" s="87">
        <f t="shared" si="8"/>
        <v>0</v>
      </c>
      <c r="U70" s="87">
        <f t="shared" si="9"/>
        <v>3.51063154744039</v>
      </c>
      <c r="V70" s="87">
        <f t="shared" si="10"/>
        <v>0.25454950855857811</v>
      </c>
      <c r="W70" s="120">
        <f t="shared" si="11"/>
        <v>0.1696996723723854</v>
      </c>
    </row>
    <row r="71" spans="2:23">
      <c r="B71" s="116">
        <f>Amnt_Deposited!B66</f>
        <v>2052</v>
      </c>
      <c r="C71" s="119">
        <f>Amnt_Deposited!D66</f>
        <v>0</v>
      </c>
      <c r="D71" s="453">
        <f>Dry_Matter_Content!D58</f>
        <v>0.44</v>
      </c>
      <c r="E71" s="319">
        <f>MCF!R70</f>
        <v>0.8</v>
      </c>
      <c r="F71" s="87">
        <f t="shared" si="12"/>
        <v>0</v>
      </c>
      <c r="G71" s="87">
        <f t="shared" si="1"/>
        <v>0</v>
      </c>
      <c r="H71" s="87">
        <f t="shared" si="2"/>
        <v>0</v>
      </c>
      <c r="I71" s="87">
        <f t="shared" si="3"/>
        <v>1.5842729208593336</v>
      </c>
      <c r="J71" s="87">
        <f t="shared" si="4"/>
        <v>0.11487274810181544</v>
      </c>
      <c r="K71" s="120">
        <f t="shared" si="6"/>
        <v>7.6581832067876957E-2</v>
      </c>
      <c r="O71" s="116">
        <f>Amnt_Deposited!B66</f>
        <v>2052</v>
      </c>
      <c r="P71" s="119">
        <f>Amnt_Deposited!D66</f>
        <v>0</v>
      </c>
      <c r="Q71" s="319">
        <f>MCF!R70</f>
        <v>0.8</v>
      </c>
      <c r="R71" s="87">
        <f t="shared" si="13"/>
        <v>0</v>
      </c>
      <c r="S71" s="87">
        <f t="shared" si="7"/>
        <v>0</v>
      </c>
      <c r="T71" s="87">
        <f t="shared" si="8"/>
        <v>0</v>
      </c>
      <c r="U71" s="87">
        <f t="shared" si="9"/>
        <v>3.2732911588002755</v>
      </c>
      <c r="V71" s="87">
        <f t="shared" si="10"/>
        <v>0.2373403886401145</v>
      </c>
      <c r="W71" s="120">
        <f t="shared" si="11"/>
        <v>0.15822692576007633</v>
      </c>
    </row>
    <row r="72" spans="2:23">
      <c r="B72" s="116">
        <f>Amnt_Deposited!B67</f>
        <v>2053</v>
      </c>
      <c r="C72" s="119">
        <f>Amnt_Deposited!D67</f>
        <v>0</v>
      </c>
      <c r="D72" s="453">
        <f>Dry_Matter_Content!D59</f>
        <v>0.44</v>
      </c>
      <c r="E72" s="319">
        <f>MCF!R71</f>
        <v>0.8</v>
      </c>
      <c r="F72" s="87">
        <f t="shared" si="12"/>
        <v>0</v>
      </c>
      <c r="G72" s="87">
        <f t="shared" si="1"/>
        <v>0</v>
      </c>
      <c r="H72" s="87">
        <f t="shared" si="2"/>
        <v>0</v>
      </c>
      <c r="I72" s="87">
        <f t="shared" si="3"/>
        <v>1.4771662804535881</v>
      </c>
      <c r="J72" s="87">
        <f t="shared" si="4"/>
        <v>0.10710664040574547</v>
      </c>
      <c r="K72" s="120">
        <f t="shared" si="6"/>
        <v>7.1404426937163645E-2</v>
      </c>
      <c r="O72" s="116">
        <f>Amnt_Deposited!B67</f>
        <v>2053</v>
      </c>
      <c r="P72" s="119">
        <f>Amnt_Deposited!D67</f>
        <v>0</v>
      </c>
      <c r="Q72" s="319">
        <f>MCF!R71</f>
        <v>0.8</v>
      </c>
      <c r="R72" s="87">
        <f t="shared" si="13"/>
        <v>0</v>
      </c>
      <c r="S72" s="87">
        <f t="shared" si="7"/>
        <v>0</v>
      </c>
      <c r="T72" s="87">
        <f t="shared" si="8"/>
        <v>0</v>
      </c>
      <c r="U72" s="87">
        <f t="shared" si="9"/>
        <v>3.0519964472181567</v>
      </c>
      <c r="V72" s="87">
        <f t="shared" si="10"/>
        <v>0.22129471158211869</v>
      </c>
      <c r="W72" s="120">
        <f t="shared" si="11"/>
        <v>0.14752980772141244</v>
      </c>
    </row>
    <row r="73" spans="2:23">
      <c r="B73" s="116">
        <f>Amnt_Deposited!B68</f>
        <v>2054</v>
      </c>
      <c r="C73" s="119">
        <f>Amnt_Deposited!D68</f>
        <v>0</v>
      </c>
      <c r="D73" s="453">
        <f>Dry_Matter_Content!D60</f>
        <v>0.44</v>
      </c>
      <c r="E73" s="319">
        <f>MCF!R72</f>
        <v>0.8</v>
      </c>
      <c r="F73" s="87">
        <f t="shared" si="12"/>
        <v>0</v>
      </c>
      <c r="G73" s="87">
        <f t="shared" si="1"/>
        <v>0</v>
      </c>
      <c r="H73" s="87">
        <f t="shared" si="2"/>
        <v>0</v>
      </c>
      <c r="I73" s="87">
        <f t="shared" si="3"/>
        <v>1.3773007108683823</v>
      </c>
      <c r="J73" s="87">
        <f t="shared" si="4"/>
        <v>9.9865569585205802E-2</v>
      </c>
      <c r="K73" s="120">
        <f t="shared" si="6"/>
        <v>6.6577046390137201E-2</v>
      </c>
      <c r="O73" s="116">
        <f>Amnt_Deposited!B68</f>
        <v>2054</v>
      </c>
      <c r="P73" s="119">
        <f>Amnt_Deposited!D68</f>
        <v>0</v>
      </c>
      <c r="Q73" s="319">
        <f>MCF!R72</f>
        <v>0.8</v>
      </c>
      <c r="R73" s="87">
        <f t="shared" si="13"/>
        <v>0</v>
      </c>
      <c r="S73" s="87">
        <f t="shared" si="7"/>
        <v>0</v>
      </c>
      <c r="T73" s="87">
        <f t="shared" si="8"/>
        <v>0</v>
      </c>
      <c r="U73" s="87">
        <f t="shared" si="9"/>
        <v>2.8456626257611197</v>
      </c>
      <c r="V73" s="87">
        <f t="shared" si="10"/>
        <v>0.20633382145703674</v>
      </c>
      <c r="W73" s="120">
        <f t="shared" si="11"/>
        <v>0.13755588097135782</v>
      </c>
    </row>
    <row r="74" spans="2:23">
      <c r="B74" s="116">
        <f>Amnt_Deposited!B69</f>
        <v>2055</v>
      </c>
      <c r="C74" s="119">
        <f>Amnt_Deposited!D69</f>
        <v>0</v>
      </c>
      <c r="D74" s="453">
        <f>Dry_Matter_Content!D61</f>
        <v>0.44</v>
      </c>
      <c r="E74" s="319">
        <f>MCF!R73</f>
        <v>0.8</v>
      </c>
      <c r="F74" s="87">
        <f t="shared" si="12"/>
        <v>0</v>
      </c>
      <c r="G74" s="87">
        <f t="shared" si="1"/>
        <v>0</v>
      </c>
      <c r="H74" s="87">
        <f t="shared" si="2"/>
        <v>0</v>
      </c>
      <c r="I74" s="87">
        <f t="shared" si="3"/>
        <v>1.284186670965749</v>
      </c>
      <c r="J74" s="87">
        <f t="shared" si="4"/>
        <v>9.3114039902633325E-2</v>
      </c>
      <c r="K74" s="120">
        <f t="shared" si="6"/>
        <v>6.2076026601755548E-2</v>
      </c>
      <c r="O74" s="116">
        <f>Amnt_Deposited!B69</f>
        <v>2055</v>
      </c>
      <c r="P74" s="119">
        <f>Amnt_Deposited!D69</f>
        <v>0</v>
      </c>
      <c r="Q74" s="319">
        <f>MCF!R73</f>
        <v>0.8</v>
      </c>
      <c r="R74" s="87">
        <f t="shared" si="13"/>
        <v>0</v>
      </c>
      <c r="S74" s="87">
        <f t="shared" si="7"/>
        <v>0</v>
      </c>
      <c r="T74" s="87">
        <f t="shared" si="8"/>
        <v>0</v>
      </c>
      <c r="U74" s="87">
        <f t="shared" si="9"/>
        <v>2.6532782457970012</v>
      </c>
      <c r="V74" s="87">
        <f t="shared" si="10"/>
        <v>0.19238437996411839</v>
      </c>
      <c r="W74" s="120">
        <f t="shared" si="11"/>
        <v>0.12825625330941226</v>
      </c>
    </row>
    <row r="75" spans="2:23">
      <c r="B75" s="116">
        <f>Amnt_Deposited!B70</f>
        <v>2056</v>
      </c>
      <c r="C75" s="119">
        <f>Amnt_Deposited!D70</f>
        <v>0</v>
      </c>
      <c r="D75" s="453">
        <f>Dry_Matter_Content!D62</f>
        <v>0.44</v>
      </c>
      <c r="E75" s="319">
        <f>MCF!R74</f>
        <v>0.8</v>
      </c>
      <c r="F75" s="87">
        <f t="shared" si="12"/>
        <v>0</v>
      </c>
      <c r="G75" s="87">
        <f t="shared" si="1"/>
        <v>0</v>
      </c>
      <c r="H75" s="87">
        <f t="shared" si="2"/>
        <v>0</v>
      </c>
      <c r="I75" s="87">
        <f t="shared" si="3"/>
        <v>1.1973677156140579</v>
      </c>
      <c r="J75" s="87">
        <f t="shared" si="4"/>
        <v>8.6818955351691179E-2</v>
      </c>
      <c r="K75" s="120">
        <f t="shared" si="6"/>
        <v>5.7879303567794117E-2</v>
      </c>
      <c r="O75" s="116">
        <f>Amnt_Deposited!B70</f>
        <v>2056</v>
      </c>
      <c r="P75" s="119">
        <f>Amnt_Deposited!D70</f>
        <v>0</v>
      </c>
      <c r="Q75" s="319">
        <f>MCF!R74</f>
        <v>0.8</v>
      </c>
      <c r="R75" s="87">
        <f t="shared" si="13"/>
        <v>0</v>
      </c>
      <c r="S75" s="87">
        <f t="shared" si="7"/>
        <v>0</v>
      </c>
      <c r="T75" s="87">
        <f t="shared" si="8"/>
        <v>0</v>
      </c>
      <c r="U75" s="87">
        <f t="shared" si="9"/>
        <v>2.4739002388720195</v>
      </c>
      <c r="V75" s="87">
        <f t="shared" si="10"/>
        <v>0.17937800692498171</v>
      </c>
      <c r="W75" s="120">
        <f t="shared" si="11"/>
        <v>0.1195853379499878</v>
      </c>
    </row>
    <row r="76" spans="2:23">
      <c r="B76" s="116">
        <f>Amnt_Deposited!B71</f>
        <v>2057</v>
      </c>
      <c r="C76" s="119">
        <f>Amnt_Deposited!D71</f>
        <v>0</v>
      </c>
      <c r="D76" s="453">
        <f>Dry_Matter_Content!D63</f>
        <v>0.44</v>
      </c>
      <c r="E76" s="319">
        <f>MCF!R75</f>
        <v>0.8</v>
      </c>
      <c r="F76" s="87">
        <f t="shared" si="12"/>
        <v>0</v>
      </c>
      <c r="G76" s="87">
        <f t="shared" si="1"/>
        <v>0</v>
      </c>
      <c r="H76" s="87">
        <f t="shared" si="2"/>
        <v>0</v>
      </c>
      <c r="I76" s="87">
        <f t="shared" si="3"/>
        <v>1.1164182581934505</v>
      </c>
      <c r="J76" s="87">
        <f t="shared" si="4"/>
        <v>8.0949457420607301E-2</v>
      </c>
      <c r="K76" s="120">
        <f t="shared" si="6"/>
        <v>5.3966304947071532E-2</v>
      </c>
      <c r="O76" s="116">
        <f>Amnt_Deposited!B71</f>
        <v>2057</v>
      </c>
      <c r="P76" s="119">
        <f>Amnt_Deposited!D71</f>
        <v>0</v>
      </c>
      <c r="Q76" s="319">
        <f>MCF!R75</f>
        <v>0.8</v>
      </c>
      <c r="R76" s="87">
        <f t="shared" si="13"/>
        <v>0</v>
      </c>
      <c r="S76" s="87">
        <f t="shared" si="7"/>
        <v>0</v>
      </c>
      <c r="T76" s="87">
        <f t="shared" si="8"/>
        <v>0</v>
      </c>
      <c r="U76" s="87">
        <f t="shared" si="9"/>
        <v>2.3066492937881202</v>
      </c>
      <c r="V76" s="87">
        <f t="shared" si="10"/>
        <v>0.16725094508389934</v>
      </c>
      <c r="W76" s="120">
        <f t="shared" si="11"/>
        <v>0.11150063005593289</v>
      </c>
    </row>
    <row r="77" spans="2:23">
      <c r="B77" s="116">
        <f>Amnt_Deposited!B72</f>
        <v>2058</v>
      </c>
      <c r="C77" s="119">
        <f>Amnt_Deposited!D72</f>
        <v>0</v>
      </c>
      <c r="D77" s="453">
        <f>Dry_Matter_Content!D64</f>
        <v>0.44</v>
      </c>
      <c r="E77" s="319">
        <f>MCF!R76</f>
        <v>0.8</v>
      </c>
      <c r="F77" s="87">
        <f t="shared" si="12"/>
        <v>0</v>
      </c>
      <c r="G77" s="87">
        <f t="shared" si="1"/>
        <v>0</v>
      </c>
      <c r="H77" s="87">
        <f t="shared" si="2"/>
        <v>0</v>
      </c>
      <c r="I77" s="87">
        <f t="shared" si="3"/>
        <v>1.0409414843697367</v>
      </c>
      <c r="J77" s="87">
        <f t="shared" si="4"/>
        <v>7.5476773823713955E-2</v>
      </c>
      <c r="K77" s="120">
        <f t="shared" si="6"/>
        <v>5.0317849215809299E-2</v>
      </c>
      <c r="O77" s="116">
        <f>Amnt_Deposited!B72</f>
        <v>2058</v>
      </c>
      <c r="P77" s="119">
        <f>Amnt_Deposited!D72</f>
        <v>0</v>
      </c>
      <c r="Q77" s="319">
        <f>MCF!R76</f>
        <v>0.8</v>
      </c>
      <c r="R77" s="87">
        <f t="shared" si="13"/>
        <v>0</v>
      </c>
      <c r="S77" s="87">
        <f t="shared" si="7"/>
        <v>0</v>
      </c>
      <c r="T77" s="87">
        <f t="shared" si="8"/>
        <v>0</v>
      </c>
      <c r="U77" s="87">
        <f t="shared" si="9"/>
        <v>2.1507055462184632</v>
      </c>
      <c r="V77" s="87">
        <f t="shared" si="10"/>
        <v>0.1559437475696569</v>
      </c>
      <c r="W77" s="120">
        <f t="shared" si="11"/>
        <v>0.10396249837977126</v>
      </c>
    </row>
    <row r="78" spans="2:23">
      <c r="B78" s="116">
        <f>Amnt_Deposited!B73</f>
        <v>2059</v>
      </c>
      <c r="C78" s="119">
        <f>Amnt_Deposited!D73</f>
        <v>0</v>
      </c>
      <c r="D78" s="453">
        <f>Dry_Matter_Content!D65</f>
        <v>0.44</v>
      </c>
      <c r="E78" s="319">
        <f>MCF!R77</f>
        <v>0.8</v>
      </c>
      <c r="F78" s="87">
        <f t="shared" si="12"/>
        <v>0</v>
      </c>
      <c r="G78" s="87">
        <f t="shared" si="1"/>
        <v>0</v>
      </c>
      <c r="H78" s="87">
        <f t="shared" si="2"/>
        <v>0</v>
      </c>
      <c r="I78" s="87">
        <f t="shared" si="3"/>
        <v>0.97056740691006671</v>
      </c>
      <c r="J78" s="87">
        <f t="shared" si="4"/>
        <v>7.0374077459669948E-2</v>
      </c>
      <c r="K78" s="120">
        <f t="shared" si="6"/>
        <v>4.6916051639779965E-2</v>
      </c>
      <c r="O78" s="116">
        <f>Amnt_Deposited!B73</f>
        <v>2059</v>
      </c>
      <c r="P78" s="119">
        <f>Amnt_Deposited!D73</f>
        <v>0</v>
      </c>
      <c r="Q78" s="319">
        <f>MCF!R77</f>
        <v>0.8</v>
      </c>
      <c r="R78" s="87">
        <f t="shared" si="13"/>
        <v>0</v>
      </c>
      <c r="S78" s="87">
        <f t="shared" si="7"/>
        <v>0</v>
      </c>
      <c r="T78" s="87">
        <f t="shared" si="8"/>
        <v>0</v>
      </c>
      <c r="U78" s="87">
        <f t="shared" si="9"/>
        <v>2.0053045597315418</v>
      </c>
      <c r="V78" s="87">
        <f t="shared" si="10"/>
        <v>0.14540098648692132</v>
      </c>
      <c r="W78" s="120">
        <f t="shared" si="11"/>
        <v>9.6933990991280874E-2</v>
      </c>
    </row>
    <row r="79" spans="2:23">
      <c r="B79" s="116">
        <f>Amnt_Deposited!B74</f>
        <v>2060</v>
      </c>
      <c r="C79" s="119">
        <f>Amnt_Deposited!D74</f>
        <v>0</v>
      </c>
      <c r="D79" s="453">
        <f>Dry_Matter_Content!D66</f>
        <v>0.44</v>
      </c>
      <c r="E79" s="319">
        <f>MCF!R78</f>
        <v>0.8</v>
      </c>
      <c r="F79" s="87">
        <f t="shared" si="12"/>
        <v>0</v>
      </c>
      <c r="G79" s="87">
        <f t="shared" si="1"/>
        <v>0</v>
      </c>
      <c r="H79" s="87">
        <f t="shared" si="2"/>
        <v>0</v>
      </c>
      <c r="I79" s="87">
        <f t="shared" si="3"/>
        <v>0.90495105200508796</v>
      </c>
      <c r="J79" s="87">
        <f t="shared" si="4"/>
        <v>6.561635490497876E-2</v>
      </c>
      <c r="K79" s="120">
        <f t="shared" si="6"/>
        <v>4.3744236603319171E-2</v>
      </c>
      <c r="O79" s="116">
        <f>Amnt_Deposited!B74</f>
        <v>2060</v>
      </c>
      <c r="P79" s="119">
        <f>Amnt_Deposited!D74</f>
        <v>0</v>
      </c>
      <c r="Q79" s="319">
        <f>MCF!R78</f>
        <v>0.8</v>
      </c>
      <c r="R79" s="87">
        <f t="shared" si="13"/>
        <v>0</v>
      </c>
      <c r="S79" s="87">
        <f t="shared" si="7"/>
        <v>0</v>
      </c>
      <c r="T79" s="87">
        <f t="shared" si="8"/>
        <v>0</v>
      </c>
      <c r="U79" s="87">
        <f t="shared" si="9"/>
        <v>1.8697335785229081</v>
      </c>
      <c r="V79" s="87">
        <f t="shared" si="10"/>
        <v>0.13557098120863373</v>
      </c>
      <c r="W79" s="120">
        <f t="shared" si="11"/>
        <v>9.0380654139089148E-2</v>
      </c>
    </row>
    <row r="80" spans="2:23">
      <c r="B80" s="116">
        <f>Amnt_Deposited!B75</f>
        <v>2061</v>
      </c>
      <c r="C80" s="119">
        <f>Amnt_Deposited!D75</f>
        <v>0</v>
      </c>
      <c r="D80" s="453">
        <f>Dry_Matter_Content!D67</f>
        <v>0.44</v>
      </c>
      <c r="E80" s="319">
        <f>MCF!R79</f>
        <v>0.8</v>
      </c>
      <c r="F80" s="87">
        <f t="shared" si="12"/>
        <v>0</v>
      </c>
      <c r="G80" s="87">
        <f t="shared" si="1"/>
        <v>0</v>
      </c>
      <c r="H80" s="87">
        <f t="shared" si="2"/>
        <v>0</v>
      </c>
      <c r="I80" s="87">
        <f t="shared" si="3"/>
        <v>0.84377076820693042</v>
      </c>
      <c r="J80" s="87">
        <f t="shared" si="4"/>
        <v>6.1180283798157549E-2</v>
      </c>
      <c r="K80" s="120">
        <f t="shared" si="6"/>
        <v>4.0786855865438364E-2</v>
      </c>
      <c r="O80" s="116">
        <f>Amnt_Deposited!B75</f>
        <v>2061</v>
      </c>
      <c r="P80" s="119">
        <f>Amnt_Deposited!D75</f>
        <v>0</v>
      </c>
      <c r="Q80" s="319">
        <f>MCF!R79</f>
        <v>0.8</v>
      </c>
      <c r="R80" s="87">
        <f t="shared" si="13"/>
        <v>0</v>
      </c>
      <c r="S80" s="87">
        <f t="shared" si="7"/>
        <v>0</v>
      </c>
      <c r="T80" s="87">
        <f t="shared" si="8"/>
        <v>0</v>
      </c>
      <c r="U80" s="87">
        <f t="shared" si="9"/>
        <v>1.7433280334853927</v>
      </c>
      <c r="V80" s="87">
        <f t="shared" si="10"/>
        <v>0.12640554503751553</v>
      </c>
      <c r="W80" s="120">
        <f t="shared" si="11"/>
        <v>8.4270363358343675E-2</v>
      </c>
    </row>
    <row r="81" spans="2:23">
      <c r="B81" s="116">
        <f>Amnt_Deposited!B76</f>
        <v>2062</v>
      </c>
      <c r="C81" s="119">
        <f>Amnt_Deposited!D76</f>
        <v>0</v>
      </c>
      <c r="D81" s="453">
        <f>Dry_Matter_Content!D68</f>
        <v>0.44</v>
      </c>
      <c r="E81" s="319">
        <f>MCF!R80</f>
        <v>0.8</v>
      </c>
      <c r="F81" s="87">
        <f t="shared" si="12"/>
        <v>0</v>
      </c>
      <c r="G81" s="87">
        <f t="shared" si="1"/>
        <v>0</v>
      </c>
      <c r="H81" s="87">
        <f t="shared" si="2"/>
        <v>0</v>
      </c>
      <c r="I81" s="87">
        <f t="shared" si="3"/>
        <v>0.78672664969343631</v>
      </c>
      <c r="J81" s="87">
        <f t="shared" si="4"/>
        <v>5.7044118513494113E-2</v>
      </c>
      <c r="K81" s="120">
        <f t="shared" si="6"/>
        <v>3.8029412342329406E-2</v>
      </c>
      <c r="O81" s="116">
        <f>Amnt_Deposited!B76</f>
        <v>2062</v>
      </c>
      <c r="P81" s="119">
        <f>Amnt_Deposited!D76</f>
        <v>0</v>
      </c>
      <c r="Q81" s="319">
        <f>MCF!R80</f>
        <v>0.8</v>
      </c>
      <c r="R81" s="87">
        <f t="shared" si="13"/>
        <v>0</v>
      </c>
      <c r="S81" s="87">
        <f t="shared" si="7"/>
        <v>0</v>
      </c>
      <c r="T81" s="87">
        <f t="shared" si="8"/>
        <v>0</v>
      </c>
      <c r="U81" s="87">
        <f t="shared" si="9"/>
        <v>1.6254682844905701</v>
      </c>
      <c r="V81" s="87">
        <f t="shared" si="10"/>
        <v>0.1178597489948225</v>
      </c>
      <c r="W81" s="120">
        <f t="shared" si="11"/>
        <v>7.857316599654833E-2</v>
      </c>
    </row>
    <row r="82" spans="2:23">
      <c r="B82" s="116">
        <f>Amnt_Deposited!B77</f>
        <v>2063</v>
      </c>
      <c r="C82" s="119">
        <f>Amnt_Deposited!D77</f>
        <v>0</v>
      </c>
      <c r="D82" s="453">
        <f>Dry_Matter_Content!D69</f>
        <v>0.44</v>
      </c>
      <c r="E82" s="319">
        <f>MCF!R81</f>
        <v>0.8</v>
      </c>
      <c r="F82" s="87">
        <f t="shared" si="12"/>
        <v>0</v>
      </c>
      <c r="G82" s="87">
        <f t="shared" si="1"/>
        <v>0</v>
      </c>
      <c r="H82" s="87">
        <f t="shared" si="2"/>
        <v>0</v>
      </c>
      <c r="I82" s="87">
        <f t="shared" si="3"/>
        <v>0.73353906612947195</v>
      </c>
      <c r="J82" s="87">
        <f t="shared" si="4"/>
        <v>5.31875835639644E-2</v>
      </c>
      <c r="K82" s="120">
        <f t="shared" si="6"/>
        <v>3.5458389042642931E-2</v>
      </c>
      <c r="O82" s="116">
        <f>Amnt_Deposited!B77</f>
        <v>2063</v>
      </c>
      <c r="P82" s="119">
        <f>Amnt_Deposited!D77</f>
        <v>0</v>
      </c>
      <c r="Q82" s="319">
        <f>MCF!R81</f>
        <v>0.8</v>
      </c>
      <c r="R82" s="87">
        <f t="shared" si="13"/>
        <v>0</v>
      </c>
      <c r="S82" s="87">
        <f t="shared" si="7"/>
        <v>0</v>
      </c>
      <c r="T82" s="87">
        <f t="shared" si="8"/>
        <v>0</v>
      </c>
      <c r="U82" s="87">
        <f t="shared" si="9"/>
        <v>1.5155765829121313</v>
      </c>
      <c r="V82" s="87">
        <f t="shared" si="10"/>
        <v>0.10989170157843879</v>
      </c>
      <c r="W82" s="120">
        <f t="shared" si="11"/>
        <v>7.3261134385625856E-2</v>
      </c>
    </row>
    <row r="83" spans="2:23">
      <c r="B83" s="116">
        <f>Amnt_Deposited!B78</f>
        <v>2064</v>
      </c>
      <c r="C83" s="119">
        <f>Amnt_Deposited!D78</f>
        <v>0</v>
      </c>
      <c r="D83" s="453">
        <f>Dry_Matter_Content!D70</f>
        <v>0.44</v>
      </c>
      <c r="E83" s="319">
        <f>MCF!R82</f>
        <v>0.8</v>
      </c>
      <c r="F83" s="87">
        <f t="shared" ref="F83:F99" si="14">C83*D83*$K$6*DOCF*E83</f>
        <v>0</v>
      </c>
      <c r="G83" s="87">
        <f t="shared" ref="G83:G99" si="15">F83*$K$12</f>
        <v>0</v>
      </c>
      <c r="H83" s="87">
        <f t="shared" ref="H83:H99" si="16">F83*(1-$K$12)</f>
        <v>0</v>
      </c>
      <c r="I83" s="87">
        <f t="shared" ref="I83:I99" si="17">G83+I82*$K$10</f>
        <v>0.68394729191870041</v>
      </c>
      <c r="J83" s="87">
        <f t="shared" ref="J83:J99" si="18">I82*(1-$K$10)+H83</f>
        <v>4.95917742107716E-2</v>
      </c>
      <c r="K83" s="120">
        <f t="shared" si="6"/>
        <v>3.3061182807181067E-2</v>
      </c>
      <c r="O83" s="116">
        <f>Amnt_Deposited!B78</f>
        <v>2064</v>
      </c>
      <c r="P83" s="119">
        <f>Amnt_Deposited!D78</f>
        <v>0</v>
      </c>
      <c r="Q83" s="319">
        <f>MCF!R82</f>
        <v>0.8</v>
      </c>
      <c r="R83" s="87">
        <f t="shared" ref="R83:R99" si="19">P83*$W$6*DOCF*Q83</f>
        <v>0</v>
      </c>
      <c r="S83" s="87">
        <f t="shared" si="7"/>
        <v>0</v>
      </c>
      <c r="T83" s="87">
        <f t="shared" si="8"/>
        <v>0</v>
      </c>
      <c r="U83" s="87">
        <f t="shared" si="9"/>
        <v>1.4131142395014462</v>
      </c>
      <c r="V83" s="87">
        <f t="shared" si="10"/>
        <v>0.10246234341068507</v>
      </c>
      <c r="W83" s="120">
        <f t="shared" si="11"/>
        <v>6.8308228940456711E-2</v>
      </c>
    </row>
    <row r="84" spans="2:23">
      <c r="B84" s="116">
        <f>Amnt_Deposited!B79</f>
        <v>2065</v>
      </c>
      <c r="C84" s="119">
        <f>Amnt_Deposited!D79</f>
        <v>0</v>
      </c>
      <c r="D84" s="453">
        <f>Dry_Matter_Content!D71</f>
        <v>0.44</v>
      </c>
      <c r="E84" s="319">
        <f>MCF!R83</f>
        <v>0.8</v>
      </c>
      <c r="F84" s="87">
        <f t="shared" si="14"/>
        <v>0</v>
      </c>
      <c r="G84" s="87">
        <f t="shared" si="15"/>
        <v>0</v>
      </c>
      <c r="H84" s="87">
        <f t="shared" si="16"/>
        <v>0</v>
      </c>
      <c r="I84" s="87">
        <f t="shared" si="17"/>
        <v>0.63770822812640582</v>
      </c>
      <c r="J84" s="87">
        <f t="shared" si="18"/>
        <v>4.623906379229463E-2</v>
      </c>
      <c r="K84" s="120">
        <f t="shared" si="6"/>
        <v>3.0826042528196419E-2</v>
      </c>
      <c r="O84" s="116">
        <f>Amnt_Deposited!B79</f>
        <v>2065</v>
      </c>
      <c r="P84" s="119">
        <f>Amnt_Deposited!D79</f>
        <v>0</v>
      </c>
      <c r="Q84" s="319">
        <f>MCF!R83</f>
        <v>0.8</v>
      </c>
      <c r="R84" s="87">
        <f t="shared" si="19"/>
        <v>0</v>
      </c>
      <c r="S84" s="87">
        <f t="shared" si="7"/>
        <v>0</v>
      </c>
      <c r="T84" s="87">
        <f t="shared" si="8"/>
        <v>0</v>
      </c>
      <c r="U84" s="87">
        <f t="shared" si="9"/>
        <v>1.3175789837322425</v>
      </c>
      <c r="V84" s="87">
        <f t="shared" si="10"/>
        <v>9.5535255769203714E-2</v>
      </c>
      <c r="W84" s="120">
        <f t="shared" si="11"/>
        <v>6.3690170512802471E-2</v>
      </c>
    </row>
    <row r="85" spans="2:23">
      <c r="B85" s="116">
        <f>Amnt_Deposited!B80</f>
        <v>2066</v>
      </c>
      <c r="C85" s="119">
        <f>Amnt_Deposited!D80</f>
        <v>0</v>
      </c>
      <c r="D85" s="453">
        <f>Dry_Matter_Content!D72</f>
        <v>0.44</v>
      </c>
      <c r="E85" s="319">
        <f>MCF!R84</f>
        <v>0.8</v>
      </c>
      <c r="F85" s="87">
        <f t="shared" si="14"/>
        <v>0</v>
      </c>
      <c r="G85" s="87">
        <f t="shared" si="15"/>
        <v>0</v>
      </c>
      <c r="H85" s="87">
        <f t="shared" si="16"/>
        <v>0</v>
      </c>
      <c r="I85" s="87">
        <f t="shared" si="17"/>
        <v>0.59459521080823341</v>
      </c>
      <c r="J85" s="87">
        <f t="shared" si="18"/>
        <v>4.3113017318172416E-2</v>
      </c>
      <c r="K85" s="120">
        <f t="shared" ref="K85:K99" si="20">J85*CH4_fraction*conv</f>
        <v>2.8742011545448275E-2</v>
      </c>
      <c r="O85" s="116">
        <f>Amnt_Deposited!B80</f>
        <v>2066</v>
      </c>
      <c r="P85" s="119">
        <f>Amnt_Deposited!D80</f>
        <v>0</v>
      </c>
      <c r="Q85" s="319">
        <f>MCF!R84</f>
        <v>0.8</v>
      </c>
      <c r="R85" s="87">
        <f t="shared" si="19"/>
        <v>0</v>
      </c>
      <c r="S85" s="87">
        <f t="shared" ref="S85:S98" si="21">R85*$W$12</f>
        <v>0</v>
      </c>
      <c r="T85" s="87">
        <f t="shared" ref="T85:T98" si="22">R85*(1-$W$12)</f>
        <v>0</v>
      </c>
      <c r="U85" s="87">
        <f t="shared" ref="U85:U98" si="23">S85+U84*$W$10</f>
        <v>1.2285025016699029</v>
      </c>
      <c r="V85" s="87">
        <f t="shared" ref="V85:V98" si="24">U84*(1-$W$10)+T85</f>
        <v>8.9076482062339632E-2</v>
      </c>
      <c r="W85" s="120">
        <f t="shared" ref="W85:W99" si="25">V85*CH4_fraction*conv</f>
        <v>5.9384321374893086E-2</v>
      </c>
    </row>
    <row r="86" spans="2:23">
      <c r="B86" s="116">
        <f>Amnt_Deposited!B81</f>
        <v>2067</v>
      </c>
      <c r="C86" s="119">
        <f>Amnt_Deposited!D81</f>
        <v>0</v>
      </c>
      <c r="D86" s="453">
        <f>Dry_Matter_Content!D73</f>
        <v>0.44</v>
      </c>
      <c r="E86" s="319">
        <f>MCF!R85</f>
        <v>0.8</v>
      </c>
      <c r="F86" s="87">
        <f t="shared" si="14"/>
        <v>0</v>
      </c>
      <c r="G86" s="87">
        <f t="shared" si="15"/>
        <v>0</v>
      </c>
      <c r="H86" s="87">
        <f t="shared" si="16"/>
        <v>0</v>
      </c>
      <c r="I86" s="87">
        <f t="shared" si="17"/>
        <v>0.55439689990327135</v>
      </c>
      <c r="J86" s="87">
        <f t="shared" si="18"/>
        <v>4.0198310904962078E-2</v>
      </c>
      <c r="K86" s="120">
        <f t="shared" si="20"/>
        <v>2.6798873936641383E-2</v>
      </c>
      <c r="O86" s="116">
        <f>Amnt_Deposited!B81</f>
        <v>2067</v>
      </c>
      <c r="P86" s="119">
        <f>Amnt_Deposited!D81</f>
        <v>0</v>
      </c>
      <c r="Q86" s="319">
        <f>MCF!R85</f>
        <v>0.8</v>
      </c>
      <c r="R86" s="87">
        <f t="shared" si="19"/>
        <v>0</v>
      </c>
      <c r="S86" s="87">
        <f t="shared" si="21"/>
        <v>0</v>
      </c>
      <c r="T86" s="87">
        <f t="shared" si="22"/>
        <v>0</v>
      </c>
      <c r="U86" s="87">
        <f t="shared" si="23"/>
        <v>1.1454481402960144</v>
      </c>
      <c r="V86" s="87">
        <f t="shared" si="24"/>
        <v>8.3054361373888538E-2</v>
      </c>
      <c r="W86" s="120">
        <f t="shared" si="25"/>
        <v>5.5369574249259021E-2</v>
      </c>
    </row>
    <row r="87" spans="2:23">
      <c r="B87" s="116">
        <f>Amnt_Deposited!B82</f>
        <v>2068</v>
      </c>
      <c r="C87" s="119">
        <f>Amnt_Deposited!D82</f>
        <v>0</v>
      </c>
      <c r="D87" s="453">
        <f>Dry_Matter_Content!D74</f>
        <v>0.44</v>
      </c>
      <c r="E87" s="319">
        <f>MCF!R86</f>
        <v>0.8</v>
      </c>
      <c r="F87" s="87">
        <f t="shared" si="14"/>
        <v>0</v>
      </c>
      <c r="G87" s="87">
        <f t="shared" si="15"/>
        <v>0</v>
      </c>
      <c r="H87" s="87">
        <f t="shared" si="16"/>
        <v>0</v>
      </c>
      <c r="I87" s="87">
        <f t="shared" si="17"/>
        <v>0.51691624324482677</v>
      </c>
      <c r="J87" s="87">
        <f t="shared" si="18"/>
        <v>3.7480656658444529E-2</v>
      </c>
      <c r="K87" s="120">
        <f t="shared" si="20"/>
        <v>2.4987104438963018E-2</v>
      </c>
      <c r="O87" s="116">
        <f>Amnt_Deposited!B82</f>
        <v>2068</v>
      </c>
      <c r="P87" s="119">
        <f>Amnt_Deposited!D82</f>
        <v>0</v>
      </c>
      <c r="Q87" s="319">
        <f>MCF!R86</f>
        <v>0.8</v>
      </c>
      <c r="R87" s="87">
        <f t="shared" si="19"/>
        <v>0</v>
      </c>
      <c r="S87" s="87">
        <f t="shared" si="21"/>
        <v>0</v>
      </c>
      <c r="T87" s="87">
        <f t="shared" si="22"/>
        <v>0</v>
      </c>
      <c r="U87" s="87">
        <f t="shared" si="23"/>
        <v>1.0680087670347653</v>
      </c>
      <c r="V87" s="87">
        <f t="shared" si="24"/>
        <v>7.7439373261248973E-2</v>
      </c>
      <c r="W87" s="120">
        <f t="shared" si="25"/>
        <v>5.1626248840832646E-2</v>
      </c>
    </row>
    <row r="88" spans="2:23">
      <c r="B88" s="116">
        <f>Amnt_Deposited!B83</f>
        <v>2069</v>
      </c>
      <c r="C88" s="119">
        <f>Amnt_Deposited!D83</f>
        <v>0</v>
      </c>
      <c r="D88" s="453">
        <f>Dry_Matter_Content!D75</f>
        <v>0.44</v>
      </c>
      <c r="E88" s="319">
        <f>MCF!R87</f>
        <v>0.8</v>
      </c>
      <c r="F88" s="87">
        <f t="shared" si="14"/>
        <v>0</v>
      </c>
      <c r="G88" s="87">
        <f t="shared" si="15"/>
        <v>0</v>
      </c>
      <c r="H88" s="87">
        <f t="shared" si="16"/>
        <v>0</v>
      </c>
      <c r="I88" s="87">
        <f t="shared" si="17"/>
        <v>0.48196951061047638</v>
      </c>
      <c r="J88" s="87">
        <f t="shared" si="18"/>
        <v>3.4946732634350407E-2</v>
      </c>
      <c r="K88" s="120">
        <f t="shared" si="20"/>
        <v>2.3297821756233603E-2</v>
      </c>
      <c r="O88" s="116">
        <f>Amnt_Deposited!B83</f>
        <v>2069</v>
      </c>
      <c r="P88" s="119">
        <f>Amnt_Deposited!D83</f>
        <v>0</v>
      </c>
      <c r="Q88" s="319">
        <f>MCF!R87</f>
        <v>0.8</v>
      </c>
      <c r="R88" s="87">
        <f t="shared" si="19"/>
        <v>0</v>
      </c>
      <c r="S88" s="87">
        <f t="shared" si="21"/>
        <v>0</v>
      </c>
      <c r="T88" s="87">
        <f t="shared" si="22"/>
        <v>0</v>
      </c>
      <c r="U88" s="87">
        <f t="shared" si="23"/>
        <v>0.9958047739885868</v>
      </c>
      <c r="V88" s="87">
        <f t="shared" si="24"/>
        <v>7.2203993046178486E-2</v>
      </c>
      <c r="W88" s="120">
        <f t="shared" si="25"/>
        <v>4.8135995364118986E-2</v>
      </c>
    </row>
    <row r="89" spans="2:23">
      <c r="B89" s="116">
        <f>Amnt_Deposited!B84</f>
        <v>2070</v>
      </c>
      <c r="C89" s="119">
        <f>Amnt_Deposited!D84</f>
        <v>0</v>
      </c>
      <c r="D89" s="453">
        <f>Dry_Matter_Content!D76</f>
        <v>0.44</v>
      </c>
      <c r="E89" s="319">
        <f>MCF!R88</f>
        <v>0.8</v>
      </c>
      <c r="F89" s="87">
        <f t="shared" si="14"/>
        <v>0</v>
      </c>
      <c r="G89" s="87">
        <f t="shared" si="15"/>
        <v>0</v>
      </c>
      <c r="H89" s="87">
        <f t="shared" si="16"/>
        <v>0</v>
      </c>
      <c r="I89" s="87">
        <f t="shared" si="17"/>
        <v>0.44938539307630254</v>
      </c>
      <c r="J89" s="87">
        <f t="shared" si="18"/>
        <v>3.258411753417384E-2</v>
      </c>
      <c r="K89" s="120">
        <f t="shared" si="20"/>
        <v>2.1722745022782559E-2</v>
      </c>
      <c r="O89" s="116">
        <f>Amnt_Deposited!B84</f>
        <v>2070</v>
      </c>
      <c r="P89" s="119">
        <f>Amnt_Deposited!D84</f>
        <v>0</v>
      </c>
      <c r="Q89" s="319">
        <f>MCF!R88</f>
        <v>0.8</v>
      </c>
      <c r="R89" s="87">
        <f t="shared" si="19"/>
        <v>0</v>
      </c>
      <c r="S89" s="87">
        <f t="shared" si="21"/>
        <v>0</v>
      </c>
      <c r="T89" s="87">
        <f t="shared" si="22"/>
        <v>0</v>
      </c>
      <c r="U89" s="87">
        <f t="shared" si="23"/>
        <v>0.92848221709979795</v>
      </c>
      <c r="V89" s="87">
        <f t="shared" si="24"/>
        <v>6.7322556888788881E-2</v>
      </c>
      <c r="W89" s="120">
        <f t="shared" si="25"/>
        <v>4.4881704592525919E-2</v>
      </c>
    </row>
    <row r="90" spans="2:23">
      <c r="B90" s="116">
        <f>Amnt_Deposited!B85</f>
        <v>2071</v>
      </c>
      <c r="C90" s="119">
        <f>Amnt_Deposited!D85</f>
        <v>0</v>
      </c>
      <c r="D90" s="453">
        <f>Dry_Matter_Content!D77</f>
        <v>0.44</v>
      </c>
      <c r="E90" s="319">
        <f>MCF!R89</f>
        <v>0.8</v>
      </c>
      <c r="F90" s="87">
        <f t="shared" si="14"/>
        <v>0</v>
      </c>
      <c r="G90" s="87">
        <f t="shared" si="15"/>
        <v>0</v>
      </c>
      <c r="H90" s="87">
        <f t="shared" si="16"/>
        <v>0</v>
      </c>
      <c r="I90" s="87">
        <f t="shared" si="17"/>
        <v>0.41900416326034978</v>
      </c>
      <c r="J90" s="87">
        <f t="shared" si="18"/>
        <v>3.0381229815952735E-2</v>
      </c>
      <c r="K90" s="120">
        <f t="shared" si="20"/>
        <v>2.0254153210635156E-2</v>
      </c>
      <c r="O90" s="116">
        <f>Amnt_Deposited!B85</f>
        <v>2071</v>
      </c>
      <c r="P90" s="119">
        <f>Amnt_Deposited!D85</f>
        <v>0</v>
      </c>
      <c r="Q90" s="319">
        <f>MCF!R89</f>
        <v>0.8</v>
      </c>
      <c r="R90" s="87">
        <f t="shared" si="19"/>
        <v>0</v>
      </c>
      <c r="S90" s="87">
        <f t="shared" si="21"/>
        <v>0</v>
      </c>
      <c r="T90" s="87">
        <f t="shared" si="22"/>
        <v>0</v>
      </c>
      <c r="U90" s="87">
        <f t="shared" si="23"/>
        <v>0.86571108111642459</v>
      </c>
      <c r="V90" s="87">
        <f t="shared" si="24"/>
        <v>6.2771135983373375E-2</v>
      </c>
      <c r="W90" s="120">
        <f t="shared" si="25"/>
        <v>4.1847423988915583E-2</v>
      </c>
    </row>
    <row r="91" spans="2:23">
      <c r="B91" s="116">
        <f>Amnt_Deposited!B86</f>
        <v>2072</v>
      </c>
      <c r="C91" s="119">
        <f>Amnt_Deposited!D86</f>
        <v>0</v>
      </c>
      <c r="D91" s="453">
        <f>Dry_Matter_Content!D78</f>
        <v>0.44</v>
      </c>
      <c r="E91" s="319">
        <f>MCF!R90</f>
        <v>0.8</v>
      </c>
      <c r="F91" s="87">
        <f t="shared" si="14"/>
        <v>0</v>
      </c>
      <c r="G91" s="87">
        <f t="shared" si="15"/>
        <v>0</v>
      </c>
      <c r="H91" s="87">
        <f t="shared" si="16"/>
        <v>0</v>
      </c>
      <c r="I91" s="87">
        <f t="shared" si="17"/>
        <v>0.39067689233881314</v>
      </c>
      <c r="J91" s="87">
        <f t="shared" si="18"/>
        <v>2.8327270921536658E-2</v>
      </c>
      <c r="K91" s="120">
        <f t="shared" si="20"/>
        <v>1.8884847281024436E-2</v>
      </c>
      <c r="O91" s="116">
        <f>Amnt_Deposited!B86</f>
        <v>2072</v>
      </c>
      <c r="P91" s="119">
        <f>Amnt_Deposited!D86</f>
        <v>0</v>
      </c>
      <c r="Q91" s="319">
        <f>MCF!R90</f>
        <v>0.8</v>
      </c>
      <c r="R91" s="87">
        <f t="shared" si="19"/>
        <v>0</v>
      </c>
      <c r="S91" s="87">
        <f t="shared" si="21"/>
        <v>0</v>
      </c>
      <c r="T91" s="87">
        <f t="shared" si="22"/>
        <v>0</v>
      </c>
      <c r="U91" s="87">
        <f t="shared" si="23"/>
        <v>0.80718366185705137</v>
      </c>
      <c r="V91" s="87">
        <f t="shared" si="24"/>
        <v>5.8527419259373221E-2</v>
      </c>
      <c r="W91" s="120">
        <f t="shared" si="25"/>
        <v>3.901827950624881E-2</v>
      </c>
    </row>
    <row r="92" spans="2:23">
      <c r="B92" s="116">
        <f>Amnt_Deposited!B87</f>
        <v>2073</v>
      </c>
      <c r="C92" s="119">
        <f>Amnt_Deposited!D87</f>
        <v>0</v>
      </c>
      <c r="D92" s="453">
        <f>Dry_Matter_Content!D79</f>
        <v>0.44</v>
      </c>
      <c r="E92" s="319">
        <f>MCF!R91</f>
        <v>0.8</v>
      </c>
      <c r="F92" s="87">
        <f t="shared" si="14"/>
        <v>0</v>
      </c>
      <c r="G92" s="87">
        <f t="shared" si="15"/>
        <v>0</v>
      </c>
      <c r="H92" s="87">
        <f t="shared" si="16"/>
        <v>0</v>
      </c>
      <c r="I92" s="87">
        <f t="shared" si="17"/>
        <v>0.3642647199967709</v>
      </c>
      <c r="J92" s="87">
        <f t="shared" si="18"/>
        <v>2.641217234204226E-2</v>
      </c>
      <c r="K92" s="120">
        <f t="shared" si="20"/>
        <v>1.760811489469484E-2</v>
      </c>
      <c r="O92" s="116">
        <f>Amnt_Deposited!B87</f>
        <v>2073</v>
      </c>
      <c r="P92" s="119">
        <f>Amnt_Deposited!D87</f>
        <v>0</v>
      </c>
      <c r="Q92" s="319">
        <f>MCF!R91</f>
        <v>0.8</v>
      </c>
      <c r="R92" s="87">
        <f t="shared" si="19"/>
        <v>0</v>
      </c>
      <c r="S92" s="87">
        <f t="shared" si="21"/>
        <v>0</v>
      </c>
      <c r="T92" s="87">
        <f t="shared" si="22"/>
        <v>0</v>
      </c>
      <c r="U92" s="87">
        <f t="shared" si="23"/>
        <v>0.75261305784456745</v>
      </c>
      <c r="V92" s="87">
        <f t="shared" si="24"/>
        <v>5.4570604012483967E-2</v>
      </c>
      <c r="W92" s="120">
        <f t="shared" si="25"/>
        <v>3.6380402674989307E-2</v>
      </c>
    </row>
    <row r="93" spans="2:23">
      <c r="B93" s="116">
        <f>Amnt_Deposited!B88</f>
        <v>2074</v>
      </c>
      <c r="C93" s="119">
        <f>Amnt_Deposited!D88</f>
        <v>0</v>
      </c>
      <c r="D93" s="453">
        <f>Dry_Matter_Content!D80</f>
        <v>0.44</v>
      </c>
      <c r="E93" s="319">
        <f>MCF!R92</f>
        <v>0.8</v>
      </c>
      <c r="F93" s="87">
        <f t="shared" si="14"/>
        <v>0</v>
      </c>
      <c r="G93" s="87">
        <f t="shared" si="15"/>
        <v>0</v>
      </c>
      <c r="H93" s="87">
        <f t="shared" si="16"/>
        <v>0</v>
      </c>
      <c r="I93" s="87">
        <f t="shared" si="17"/>
        <v>0.33963817373475991</v>
      </c>
      <c r="J93" s="87">
        <f t="shared" si="18"/>
        <v>2.462654626201102E-2</v>
      </c>
      <c r="K93" s="120">
        <f t="shared" si="20"/>
        <v>1.6417697508007346E-2</v>
      </c>
      <c r="O93" s="116">
        <f>Amnt_Deposited!B88</f>
        <v>2074</v>
      </c>
      <c r="P93" s="119">
        <f>Amnt_Deposited!D88</f>
        <v>0</v>
      </c>
      <c r="Q93" s="319">
        <f>MCF!R92</f>
        <v>0.8</v>
      </c>
      <c r="R93" s="87">
        <f t="shared" si="19"/>
        <v>0</v>
      </c>
      <c r="S93" s="87">
        <f t="shared" si="21"/>
        <v>0</v>
      </c>
      <c r="T93" s="87">
        <f t="shared" si="22"/>
        <v>0</v>
      </c>
      <c r="U93" s="87">
        <f t="shared" si="23"/>
        <v>0.70173176391479264</v>
      </c>
      <c r="V93" s="87">
        <f t="shared" si="24"/>
        <v>5.0881293929774793E-2</v>
      </c>
      <c r="W93" s="120">
        <f t="shared" si="25"/>
        <v>3.3920862619849862E-2</v>
      </c>
    </row>
    <row r="94" spans="2:23">
      <c r="B94" s="116">
        <f>Amnt_Deposited!B89</f>
        <v>2075</v>
      </c>
      <c r="C94" s="119">
        <f>Amnt_Deposited!D89</f>
        <v>0</v>
      </c>
      <c r="D94" s="453">
        <f>Dry_Matter_Content!D81</f>
        <v>0.44</v>
      </c>
      <c r="E94" s="319">
        <f>MCF!R93</f>
        <v>0.8</v>
      </c>
      <c r="F94" s="87">
        <f t="shared" si="14"/>
        <v>0</v>
      </c>
      <c r="G94" s="87">
        <f t="shared" si="15"/>
        <v>0</v>
      </c>
      <c r="H94" s="87">
        <f t="shared" si="16"/>
        <v>0</v>
      </c>
      <c r="I94" s="87">
        <f t="shared" si="17"/>
        <v>0.31667653419443292</v>
      </c>
      <c r="J94" s="87">
        <f t="shared" si="18"/>
        <v>2.2961639540327008E-2</v>
      </c>
      <c r="K94" s="120">
        <f t="shared" si="20"/>
        <v>1.5307759693551339E-2</v>
      </c>
      <c r="O94" s="116">
        <f>Amnt_Deposited!B89</f>
        <v>2075</v>
      </c>
      <c r="P94" s="119">
        <f>Amnt_Deposited!D89</f>
        <v>0</v>
      </c>
      <c r="Q94" s="319">
        <f>MCF!R93</f>
        <v>0.8</v>
      </c>
      <c r="R94" s="87">
        <f t="shared" si="19"/>
        <v>0</v>
      </c>
      <c r="S94" s="87">
        <f t="shared" si="21"/>
        <v>0</v>
      </c>
      <c r="T94" s="87">
        <f t="shared" si="22"/>
        <v>0</v>
      </c>
      <c r="U94" s="87">
        <f t="shared" si="23"/>
        <v>0.6542903599058526</v>
      </c>
      <c r="V94" s="87">
        <f t="shared" si="24"/>
        <v>4.7441404008940057E-2</v>
      </c>
      <c r="W94" s="120">
        <f t="shared" si="25"/>
        <v>3.1627602672626702E-2</v>
      </c>
    </row>
    <row r="95" spans="2:23">
      <c r="B95" s="116">
        <f>Amnt_Deposited!B90</f>
        <v>2076</v>
      </c>
      <c r="C95" s="119">
        <f>Amnt_Deposited!D90</f>
        <v>0</v>
      </c>
      <c r="D95" s="453">
        <f>Dry_Matter_Content!D82</f>
        <v>0.44</v>
      </c>
      <c r="E95" s="319">
        <f>MCF!R94</f>
        <v>0.8</v>
      </c>
      <c r="F95" s="87">
        <f t="shared" si="14"/>
        <v>0</v>
      </c>
      <c r="G95" s="87">
        <f t="shared" si="15"/>
        <v>0</v>
      </c>
      <c r="H95" s="87">
        <f t="shared" si="16"/>
        <v>0</v>
      </c>
      <c r="I95" s="87">
        <f t="shared" si="17"/>
        <v>0.29526724339212396</v>
      </c>
      <c r="J95" s="87">
        <f t="shared" si="18"/>
        <v>2.1409290802308963E-2</v>
      </c>
      <c r="K95" s="120">
        <f t="shared" si="20"/>
        <v>1.4272860534872641E-2</v>
      </c>
      <c r="O95" s="116">
        <f>Amnt_Deposited!B90</f>
        <v>2076</v>
      </c>
      <c r="P95" s="119">
        <f>Amnt_Deposited!D90</f>
        <v>0</v>
      </c>
      <c r="Q95" s="319">
        <f>MCF!R94</f>
        <v>0.8</v>
      </c>
      <c r="R95" s="87">
        <f t="shared" si="19"/>
        <v>0</v>
      </c>
      <c r="S95" s="87">
        <f t="shared" si="21"/>
        <v>0</v>
      </c>
      <c r="T95" s="87">
        <f t="shared" si="22"/>
        <v>0</v>
      </c>
      <c r="U95" s="87">
        <f t="shared" si="23"/>
        <v>0.61005628800025558</v>
      </c>
      <c r="V95" s="87">
        <f t="shared" si="24"/>
        <v>4.4234071905596993E-2</v>
      </c>
      <c r="W95" s="120">
        <f t="shared" si="25"/>
        <v>2.9489381270397994E-2</v>
      </c>
    </row>
    <row r="96" spans="2:23">
      <c r="B96" s="116">
        <f>Amnt_Deposited!B91</f>
        <v>2077</v>
      </c>
      <c r="C96" s="119">
        <f>Amnt_Deposited!D91</f>
        <v>0</v>
      </c>
      <c r="D96" s="453">
        <f>Dry_Matter_Content!D83</f>
        <v>0.44</v>
      </c>
      <c r="E96" s="319">
        <f>MCF!R95</f>
        <v>0.8</v>
      </c>
      <c r="F96" s="87">
        <f t="shared" si="14"/>
        <v>0</v>
      </c>
      <c r="G96" s="87">
        <f t="shared" si="15"/>
        <v>0</v>
      </c>
      <c r="H96" s="87">
        <f t="shared" si="16"/>
        <v>0</v>
      </c>
      <c r="I96" s="87">
        <f t="shared" si="17"/>
        <v>0.27530535295948183</v>
      </c>
      <c r="J96" s="87">
        <f t="shared" si="18"/>
        <v>1.9961890432642137E-2</v>
      </c>
      <c r="K96" s="120">
        <f t="shared" si="20"/>
        <v>1.3307926955094758E-2</v>
      </c>
      <c r="O96" s="116">
        <f>Amnt_Deposited!B91</f>
        <v>2077</v>
      </c>
      <c r="P96" s="119">
        <f>Amnt_Deposited!D91</f>
        <v>0</v>
      </c>
      <c r="Q96" s="319">
        <f>MCF!R95</f>
        <v>0.8</v>
      </c>
      <c r="R96" s="87">
        <f t="shared" si="19"/>
        <v>0</v>
      </c>
      <c r="S96" s="87">
        <f t="shared" si="21"/>
        <v>0</v>
      </c>
      <c r="T96" s="87">
        <f t="shared" si="22"/>
        <v>0</v>
      </c>
      <c r="U96" s="87">
        <f t="shared" si="23"/>
        <v>0.5688127127262016</v>
      </c>
      <c r="V96" s="87">
        <f t="shared" si="24"/>
        <v>4.1243575274053965E-2</v>
      </c>
      <c r="W96" s="120">
        <f t="shared" si="25"/>
        <v>2.7495716849369307E-2</v>
      </c>
    </row>
    <row r="97" spans="2:23">
      <c r="B97" s="116">
        <f>Amnt_Deposited!B92</f>
        <v>2078</v>
      </c>
      <c r="C97" s="119">
        <f>Amnt_Deposited!D92</f>
        <v>0</v>
      </c>
      <c r="D97" s="453">
        <f>Dry_Matter_Content!D84</f>
        <v>0.44</v>
      </c>
      <c r="E97" s="319">
        <f>MCF!R96</f>
        <v>0.8</v>
      </c>
      <c r="F97" s="87">
        <f t="shared" si="14"/>
        <v>0</v>
      </c>
      <c r="G97" s="87">
        <f t="shared" si="15"/>
        <v>0</v>
      </c>
      <c r="H97" s="87">
        <f t="shared" si="16"/>
        <v>0</v>
      </c>
      <c r="I97" s="87">
        <f t="shared" si="17"/>
        <v>0.25669300968644665</v>
      </c>
      <c r="J97" s="87">
        <f t="shared" si="18"/>
        <v>1.8612343273035205E-2</v>
      </c>
      <c r="K97" s="120">
        <f t="shared" si="20"/>
        <v>1.2408228848690136E-2</v>
      </c>
      <c r="O97" s="116">
        <f>Amnt_Deposited!B92</f>
        <v>2078</v>
      </c>
      <c r="P97" s="119">
        <f>Amnt_Deposited!D92</f>
        <v>0</v>
      </c>
      <c r="Q97" s="319">
        <f>MCF!R96</f>
        <v>0.8</v>
      </c>
      <c r="R97" s="87">
        <f t="shared" si="19"/>
        <v>0</v>
      </c>
      <c r="S97" s="87">
        <f t="shared" si="21"/>
        <v>0</v>
      </c>
      <c r="T97" s="87">
        <f t="shared" si="22"/>
        <v>0</v>
      </c>
      <c r="U97" s="87">
        <f t="shared" si="23"/>
        <v>0.53035745802984791</v>
      </c>
      <c r="V97" s="87">
        <f t="shared" si="24"/>
        <v>3.8455254696353691E-2</v>
      </c>
      <c r="W97" s="120">
        <f t="shared" si="25"/>
        <v>2.5636836464235792E-2</v>
      </c>
    </row>
    <row r="98" spans="2:23">
      <c r="B98" s="116">
        <f>Amnt_Deposited!B93</f>
        <v>2079</v>
      </c>
      <c r="C98" s="119">
        <f>Amnt_Deposited!D93</f>
        <v>0</v>
      </c>
      <c r="D98" s="453">
        <f>Dry_Matter_Content!D85</f>
        <v>0.44</v>
      </c>
      <c r="E98" s="319">
        <f>MCF!R97</f>
        <v>0.8</v>
      </c>
      <c r="F98" s="87">
        <f t="shared" si="14"/>
        <v>0</v>
      </c>
      <c r="G98" s="87">
        <f t="shared" si="15"/>
        <v>0</v>
      </c>
      <c r="H98" s="87">
        <f t="shared" si="16"/>
        <v>0</v>
      </c>
      <c r="I98" s="87">
        <f t="shared" si="17"/>
        <v>0.23933897584470057</v>
      </c>
      <c r="J98" s="87">
        <f t="shared" si="18"/>
        <v>1.7354033841746077E-2</v>
      </c>
      <c r="K98" s="120">
        <f t="shared" si="20"/>
        <v>1.1569355894497384E-2</v>
      </c>
      <c r="O98" s="116">
        <f>Amnt_Deposited!B93</f>
        <v>2079</v>
      </c>
      <c r="P98" s="119">
        <f>Amnt_Deposited!D93</f>
        <v>0</v>
      </c>
      <c r="Q98" s="319">
        <f>MCF!R97</f>
        <v>0.8</v>
      </c>
      <c r="R98" s="87">
        <f t="shared" si="19"/>
        <v>0</v>
      </c>
      <c r="S98" s="87">
        <f t="shared" si="21"/>
        <v>0</v>
      </c>
      <c r="T98" s="87">
        <f t="shared" si="22"/>
        <v>0</v>
      </c>
      <c r="U98" s="87">
        <f t="shared" si="23"/>
        <v>0.4945020162080585</v>
      </c>
      <c r="V98" s="87">
        <f t="shared" si="24"/>
        <v>3.5855441821789374E-2</v>
      </c>
      <c r="W98" s="120">
        <f t="shared" si="25"/>
        <v>2.3903627881192914E-2</v>
      </c>
    </row>
    <row r="99" spans="2:23" ht="13.5" thickBot="1">
      <c r="B99" s="117">
        <f>Amnt_Deposited!B94</f>
        <v>2080</v>
      </c>
      <c r="C99" s="121">
        <f>Amnt_Deposited!D94</f>
        <v>0</v>
      </c>
      <c r="D99" s="454">
        <f>Dry_Matter_Content!D86</f>
        <v>0.44</v>
      </c>
      <c r="E99" s="320">
        <f>MCF!R98</f>
        <v>0.8</v>
      </c>
      <c r="F99" s="88">
        <f t="shared" si="14"/>
        <v>0</v>
      </c>
      <c r="G99" s="88">
        <f t="shared" si="15"/>
        <v>0</v>
      </c>
      <c r="H99" s="88">
        <f t="shared" si="16"/>
        <v>0</v>
      </c>
      <c r="I99" s="88">
        <f t="shared" si="17"/>
        <v>0.22315818194021786</v>
      </c>
      <c r="J99" s="88">
        <f t="shared" si="18"/>
        <v>1.6180793904482724E-2</v>
      </c>
      <c r="K99" s="122">
        <f t="shared" si="20"/>
        <v>1.0787195936321815E-2</v>
      </c>
      <c r="O99" s="117">
        <f>Amnt_Deposited!B94</f>
        <v>2080</v>
      </c>
      <c r="P99" s="121">
        <f>Amnt_Deposited!D94</f>
        <v>0</v>
      </c>
      <c r="Q99" s="320">
        <f>MCF!R98</f>
        <v>0.8</v>
      </c>
      <c r="R99" s="88">
        <f t="shared" si="19"/>
        <v>0</v>
      </c>
      <c r="S99" s="88">
        <f>R99*$W$12</f>
        <v>0</v>
      </c>
      <c r="T99" s="88">
        <f>R99*(1-$W$12)</f>
        <v>0</v>
      </c>
      <c r="U99" s="88">
        <f>S99+U98*$W$10</f>
        <v>0.46107062384342479</v>
      </c>
      <c r="V99" s="88">
        <f>U98*(1-$W$10)+T99</f>
        <v>3.3431392364633689E-2</v>
      </c>
      <c r="W99" s="122">
        <f t="shared" si="25"/>
        <v>2.2287594909755792E-2</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0.6</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4.146777023796</v>
      </c>
      <c r="D19" s="451">
        <f>Dry_Matter_Content!E6</f>
        <v>0.44</v>
      </c>
      <c r="E19" s="318">
        <f>MCF!R18</f>
        <v>0.8</v>
      </c>
      <c r="F19" s="150">
        <f t="shared" ref="F19:F82" si="0">C19*D19*$K$6*DOCF*E19</f>
        <v>0.43789965371285766</v>
      </c>
      <c r="G19" s="85">
        <f t="shared" ref="G19:G82" si="1">F19*$K$12</f>
        <v>0.43789965371285766</v>
      </c>
      <c r="H19" s="85">
        <f t="shared" ref="H19:H82" si="2">F19*(1-$K$12)</f>
        <v>0</v>
      </c>
      <c r="I19" s="85">
        <f t="shared" ref="I19:I82" si="3">G19+I18*$K$10</f>
        <v>0.43789965371285766</v>
      </c>
      <c r="J19" s="85">
        <f t="shared" ref="J19:J82" si="4">I18*(1-$K$10)+H19</f>
        <v>0</v>
      </c>
      <c r="K19" s="86">
        <f>J19*CH4_fraction*conv</f>
        <v>0</v>
      </c>
      <c r="O19" s="115">
        <f>Amnt_Deposited!B14</f>
        <v>2000</v>
      </c>
      <c r="P19" s="118">
        <f>Amnt_Deposited!E14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4.2298046493120003</v>
      </c>
      <c r="D20" s="453">
        <f>Dry_Matter_Content!E7</f>
        <v>0.44</v>
      </c>
      <c r="E20" s="319">
        <f>MCF!R19</f>
        <v>0.8</v>
      </c>
      <c r="F20" s="87">
        <f t="shared" si="0"/>
        <v>0.44666737096734721</v>
      </c>
      <c r="G20" s="87">
        <f t="shared" si="1"/>
        <v>0.44666737096734721</v>
      </c>
      <c r="H20" s="87">
        <f t="shared" si="2"/>
        <v>0</v>
      </c>
      <c r="I20" s="87">
        <f t="shared" si="3"/>
        <v>0.81610790200462513</v>
      </c>
      <c r="J20" s="87">
        <f t="shared" si="4"/>
        <v>6.8459122675579673E-2</v>
      </c>
      <c r="K20" s="120">
        <f>J20*CH4_fraction*conv</f>
        <v>4.5639415117053113E-2</v>
      </c>
      <c r="M20" s="428"/>
      <c r="O20" s="116">
        <f>Amnt_Deposited!B15</f>
        <v>2001</v>
      </c>
      <c r="P20" s="119">
        <f>Amnt_Deposited!E15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4.3262792353440007</v>
      </c>
      <c r="D21" s="453">
        <f>Dry_Matter_Content!E8</f>
        <v>0.44</v>
      </c>
      <c r="E21" s="319">
        <f>MCF!R20</f>
        <v>0.8</v>
      </c>
      <c r="F21" s="87">
        <f t="shared" si="0"/>
        <v>0.45685508725232649</v>
      </c>
      <c r="G21" s="87">
        <f t="shared" si="1"/>
        <v>0.45685508725232649</v>
      </c>
      <c r="H21" s="87">
        <f t="shared" si="2"/>
        <v>0</v>
      </c>
      <c r="I21" s="87">
        <f t="shared" si="3"/>
        <v>1.1453766107199179</v>
      </c>
      <c r="J21" s="87">
        <f t="shared" si="4"/>
        <v>0.12758637853703358</v>
      </c>
      <c r="K21" s="120">
        <f t="shared" ref="K21:K84" si="6">J21*CH4_fraction*conv</f>
        <v>8.5057585691355714E-2</v>
      </c>
      <c r="O21" s="116">
        <f>Amnt_Deposited!B16</f>
        <v>2002</v>
      </c>
      <c r="P21" s="119">
        <f>Amnt_Deposited!E16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4.4648600637959994</v>
      </c>
      <c r="D22" s="453">
        <f>Dry_Matter_Content!E9</f>
        <v>0.44</v>
      </c>
      <c r="E22" s="319">
        <f>MCF!R21</f>
        <v>0.8</v>
      </c>
      <c r="F22" s="87">
        <f t="shared" si="0"/>
        <v>0.47148922273685756</v>
      </c>
      <c r="G22" s="87">
        <f t="shared" si="1"/>
        <v>0.47148922273685756</v>
      </c>
      <c r="H22" s="87">
        <f t="shared" si="2"/>
        <v>0</v>
      </c>
      <c r="I22" s="87">
        <f t="shared" si="3"/>
        <v>1.4378031709536647</v>
      </c>
      <c r="J22" s="87">
        <f t="shared" si="4"/>
        <v>0.17906266250311079</v>
      </c>
      <c r="K22" s="120">
        <f t="shared" si="6"/>
        <v>0.11937510833540718</v>
      </c>
      <c r="N22" s="290"/>
      <c r="O22" s="116">
        <f>Amnt_Deposited!B17</f>
        <v>2003</v>
      </c>
      <c r="P22" s="119">
        <f>Amnt_Deposited!E17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4.5167553117720001</v>
      </c>
      <c r="D23" s="453">
        <f>Dry_Matter_Content!E10</f>
        <v>0.44</v>
      </c>
      <c r="E23" s="319">
        <f>MCF!R22</f>
        <v>0.8</v>
      </c>
      <c r="F23" s="87">
        <f t="shared" si="0"/>
        <v>0.4769693609231232</v>
      </c>
      <c r="G23" s="87">
        <f t="shared" si="1"/>
        <v>0.4769693609231232</v>
      </c>
      <c r="H23" s="87">
        <f t="shared" si="2"/>
        <v>0</v>
      </c>
      <c r="I23" s="87">
        <f t="shared" si="3"/>
        <v>1.6899933094474455</v>
      </c>
      <c r="J23" s="87">
        <f t="shared" si="4"/>
        <v>0.22477922242934226</v>
      </c>
      <c r="K23" s="120">
        <f t="shared" si="6"/>
        <v>0.14985281495289482</v>
      </c>
      <c r="N23" s="290"/>
      <c r="O23" s="116">
        <f>Amnt_Deposited!B18</f>
        <v>2004</v>
      </c>
      <c r="P23" s="119">
        <f>Amnt_Deposited!E18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4.6423106397359994</v>
      </c>
      <c r="D24" s="453">
        <f>Dry_Matter_Content!E11</f>
        <v>0.44</v>
      </c>
      <c r="E24" s="319">
        <f>MCF!R23</f>
        <v>0.8</v>
      </c>
      <c r="F24" s="87">
        <f t="shared" si="0"/>
        <v>0.49022800355612156</v>
      </c>
      <c r="G24" s="87">
        <f t="shared" si="1"/>
        <v>0.49022800355612156</v>
      </c>
      <c r="H24" s="87">
        <f t="shared" si="2"/>
        <v>0</v>
      </c>
      <c r="I24" s="87">
        <f t="shared" si="3"/>
        <v>1.9160158990202161</v>
      </c>
      <c r="J24" s="87">
        <f t="shared" si="4"/>
        <v>0.26420541398335085</v>
      </c>
      <c r="K24" s="120">
        <f t="shared" si="6"/>
        <v>0.17613694265556723</v>
      </c>
      <c r="N24" s="290"/>
      <c r="O24" s="116">
        <f>Amnt_Deposited!B19</f>
        <v>2005</v>
      </c>
      <c r="P24" s="119">
        <f>Amnt_Deposited!E19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4.6958519674440007</v>
      </c>
      <c r="D25" s="453">
        <f>Dry_Matter_Content!E12</f>
        <v>0.44</v>
      </c>
      <c r="E25" s="319">
        <f>MCF!R24</f>
        <v>0.8</v>
      </c>
      <c r="F25" s="87">
        <f t="shared" si="0"/>
        <v>0.49588196776208654</v>
      </c>
      <c r="G25" s="87">
        <f t="shared" si="1"/>
        <v>0.49588196776208654</v>
      </c>
      <c r="H25" s="87">
        <f t="shared" si="2"/>
        <v>0</v>
      </c>
      <c r="I25" s="87">
        <f t="shared" si="3"/>
        <v>2.1123571698047323</v>
      </c>
      <c r="J25" s="87">
        <f t="shared" si="4"/>
        <v>0.29954069697757024</v>
      </c>
      <c r="K25" s="120">
        <f t="shared" si="6"/>
        <v>0.19969379798504683</v>
      </c>
      <c r="N25" s="290"/>
      <c r="O25" s="116">
        <f>Amnt_Deposited!B20</f>
        <v>2006</v>
      </c>
      <c r="P25" s="119">
        <f>Amnt_Deposited!E20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4.7479857777000012</v>
      </c>
      <c r="D26" s="453">
        <f>Dry_Matter_Content!E13</f>
        <v>0.44</v>
      </c>
      <c r="E26" s="319">
        <f>MCF!R25</f>
        <v>0.8</v>
      </c>
      <c r="F26" s="87">
        <f t="shared" si="0"/>
        <v>0.50138729812512017</v>
      </c>
      <c r="G26" s="87">
        <f t="shared" si="1"/>
        <v>0.50138729812512017</v>
      </c>
      <c r="H26" s="87">
        <f t="shared" si="2"/>
        <v>0</v>
      </c>
      <c r="I26" s="87">
        <f t="shared" si="3"/>
        <v>2.2835087223744859</v>
      </c>
      <c r="J26" s="87">
        <f t="shared" si="4"/>
        <v>0.33023574555536667</v>
      </c>
      <c r="K26" s="120">
        <f t="shared" si="6"/>
        <v>0.22015716370357777</v>
      </c>
      <c r="N26" s="290"/>
      <c r="O26" s="116">
        <f>Amnt_Deposited!B21</f>
        <v>2007</v>
      </c>
      <c r="P26" s="119">
        <f>Amnt_Deposited!E21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4.7981951855639995</v>
      </c>
      <c r="D27" s="453">
        <f>Dry_Matter_Content!E14</f>
        <v>0.44</v>
      </c>
      <c r="E27" s="319">
        <f>MCF!R26</f>
        <v>0.8</v>
      </c>
      <c r="F27" s="87">
        <f t="shared" si="0"/>
        <v>0.50668941159555836</v>
      </c>
      <c r="G27" s="87">
        <f t="shared" si="1"/>
        <v>0.50668941159555836</v>
      </c>
      <c r="H27" s="87">
        <f t="shared" si="2"/>
        <v>0</v>
      </c>
      <c r="I27" s="87">
        <f t="shared" si="3"/>
        <v>2.4332053790538715</v>
      </c>
      <c r="J27" s="87">
        <f t="shared" si="4"/>
        <v>0.35699275491617277</v>
      </c>
      <c r="K27" s="120">
        <f t="shared" si="6"/>
        <v>0.23799516994411518</v>
      </c>
      <c r="N27" s="290"/>
      <c r="O27" s="116">
        <f>Amnt_Deposited!B22</f>
        <v>2008</v>
      </c>
      <c r="P27" s="119">
        <f>Amnt_Deposited!E22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4.8458360728800001</v>
      </c>
      <c r="D28" s="453">
        <f>Dry_Matter_Content!E15</f>
        <v>0.44</v>
      </c>
      <c r="E28" s="319">
        <f>MCF!R27</f>
        <v>0.8</v>
      </c>
      <c r="F28" s="87">
        <f t="shared" si="0"/>
        <v>0.51172028929612801</v>
      </c>
      <c r="G28" s="87">
        <f t="shared" si="1"/>
        <v>0.51172028929612801</v>
      </c>
      <c r="H28" s="87">
        <f t="shared" si="2"/>
        <v>0</v>
      </c>
      <c r="I28" s="87">
        <f t="shared" si="3"/>
        <v>2.5645300591569469</v>
      </c>
      <c r="J28" s="87">
        <f t="shared" si="4"/>
        <v>0.38039560919305271</v>
      </c>
      <c r="K28" s="120">
        <f t="shared" si="6"/>
        <v>0.25359707279536847</v>
      </c>
      <c r="N28" s="290"/>
      <c r="O28" s="116">
        <f>Amnt_Deposited!B23</f>
        <v>2009</v>
      </c>
      <c r="P28" s="119">
        <f>Amnt_Deposited!E23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5.7851352900000013</v>
      </c>
      <c r="D29" s="453">
        <f>Dry_Matter_Content!E16</f>
        <v>0.44</v>
      </c>
      <c r="E29" s="319">
        <f>MCF!R28</f>
        <v>0.8</v>
      </c>
      <c r="F29" s="87">
        <f t="shared" si="0"/>
        <v>0.61091028662400015</v>
      </c>
      <c r="G29" s="87">
        <f t="shared" si="1"/>
        <v>0.61091028662400015</v>
      </c>
      <c r="H29" s="87">
        <f t="shared" si="2"/>
        <v>0</v>
      </c>
      <c r="I29" s="87">
        <f t="shared" si="3"/>
        <v>2.7745140686385588</v>
      </c>
      <c r="J29" s="87">
        <f t="shared" si="4"/>
        <v>0.40092627714238827</v>
      </c>
      <c r="K29" s="120">
        <f t="shared" si="6"/>
        <v>0.26728418476159216</v>
      </c>
      <c r="O29" s="116">
        <f>Amnt_Deposited!B24</f>
        <v>2010</v>
      </c>
      <c r="P29" s="119">
        <f>Amnt_Deposited!E24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6.0173120529720006</v>
      </c>
      <c r="D30" s="453">
        <f>Dry_Matter_Content!E17</f>
        <v>0.44</v>
      </c>
      <c r="E30" s="319">
        <f>MCF!R29</f>
        <v>0.8</v>
      </c>
      <c r="F30" s="87">
        <f t="shared" si="0"/>
        <v>0.63542815279384324</v>
      </c>
      <c r="G30" s="87">
        <f t="shared" si="1"/>
        <v>0.63542815279384324</v>
      </c>
      <c r="H30" s="87">
        <f t="shared" si="2"/>
        <v>0</v>
      </c>
      <c r="I30" s="87">
        <f t="shared" si="3"/>
        <v>2.9761880556558795</v>
      </c>
      <c r="J30" s="87">
        <f t="shared" si="4"/>
        <v>0.43375416577652276</v>
      </c>
      <c r="K30" s="120">
        <f t="shared" si="6"/>
        <v>0.28916944385101517</v>
      </c>
      <c r="O30" s="116">
        <f>Amnt_Deposited!B25</f>
        <v>2011</v>
      </c>
      <c r="P30" s="119">
        <f>Amnt_Deposited!E25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6.0826065490080001</v>
      </c>
      <c r="D31" s="453">
        <f>Dry_Matter_Content!E18</f>
        <v>0.44</v>
      </c>
      <c r="E31" s="319">
        <f>MCF!R30</f>
        <v>0.8</v>
      </c>
      <c r="F31" s="87">
        <f t="shared" si="0"/>
        <v>0.64232325157524484</v>
      </c>
      <c r="G31" s="87">
        <f t="shared" si="1"/>
        <v>0.64232325157524484</v>
      </c>
      <c r="H31" s="87">
        <f t="shared" si="2"/>
        <v>0</v>
      </c>
      <c r="I31" s="87">
        <f t="shared" si="3"/>
        <v>3.1532284017065102</v>
      </c>
      <c r="J31" s="87">
        <f t="shared" si="4"/>
        <v>0.4652829055246141</v>
      </c>
      <c r="K31" s="120">
        <f t="shared" si="6"/>
        <v>0.31018860368307605</v>
      </c>
      <c r="O31" s="116">
        <f>Amnt_Deposited!B26</f>
        <v>2012</v>
      </c>
      <c r="P31" s="119">
        <f>Amnt_Deposited!E26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6.2106906371399999</v>
      </c>
      <c r="D32" s="453">
        <f>Dry_Matter_Content!E19</f>
        <v>0.44</v>
      </c>
      <c r="E32" s="319">
        <f>MCF!R31</f>
        <v>0.8</v>
      </c>
      <c r="F32" s="87">
        <f t="shared" si="0"/>
        <v>0.65584893128198407</v>
      </c>
      <c r="G32" s="87">
        <f t="shared" si="1"/>
        <v>0.65584893128198407</v>
      </c>
      <c r="H32" s="87">
        <f t="shared" si="2"/>
        <v>0</v>
      </c>
      <c r="I32" s="87">
        <f t="shared" si="3"/>
        <v>3.3161167924942152</v>
      </c>
      <c r="J32" s="87">
        <f t="shared" si="4"/>
        <v>0.49296054049427918</v>
      </c>
      <c r="K32" s="120">
        <f t="shared" si="6"/>
        <v>0.32864036032951943</v>
      </c>
      <c r="O32" s="116">
        <f>Amnt_Deposited!B27</f>
        <v>2013</v>
      </c>
      <c r="P32" s="119">
        <f>Amnt_Deposited!E27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6.3378522844559999</v>
      </c>
      <c r="D33" s="453">
        <f>Dry_Matter_Content!E20</f>
        <v>0.44</v>
      </c>
      <c r="E33" s="319">
        <f>MCF!R32</f>
        <v>0.8</v>
      </c>
      <c r="F33" s="87">
        <f t="shared" si="0"/>
        <v>0.6692772012385535</v>
      </c>
      <c r="G33" s="87">
        <f t="shared" si="1"/>
        <v>0.6692772012385535</v>
      </c>
      <c r="H33" s="87">
        <f t="shared" si="2"/>
        <v>0</v>
      </c>
      <c r="I33" s="87">
        <f t="shared" si="3"/>
        <v>3.4669682667903738</v>
      </c>
      <c r="J33" s="87">
        <f t="shared" si="4"/>
        <v>0.51842572694239497</v>
      </c>
      <c r="K33" s="120">
        <f t="shared" si="6"/>
        <v>0.34561715129492998</v>
      </c>
      <c r="O33" s="116">
        <f>Amnt_Deposited!B28</f>
        <v>2014</v>
      </c>
      <c r="P33" s="119">
        <f>Amnt_Deposited!E28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6.461833101372001</v>
      </c>
      <c r="D34" s="453">
        <f>Dry_Matter_Content!E21</f>
        <v>0.44</v>
      </c>
      <c r="E34" s="319">
        <f>MCF!R33</f>
        <v>0.8</v>
      </c>
      <c r="F34" s="87">
        <f t="shared" si="0"/>
        <v>0.68236957550488331</v>
      </c>
      <c r="G34" s="87">
        <f t="shared" si="1"/>
        <v>0.68236957550488331</v>
      </c>
      <c r="H34" s="87">
        <f t="shared" si="2"/>
        <v>0</v>
      </c>
      <c r="I34" s="87">
        <f t="shared" si="3"/>
        <v>3.6073287224520665</v>
      </c>
      <c r="J34" s="87">
        <f t="shared" si="4"/>
        <v>0.54200911984319078</v>
      </c>
      <c r="K34" s="120">
        <f t="shared" si="6"/>
        <v>0.36133941322879382</v>
      </c>
      <c r="O34" s="116">
        <f>Amnt_Deposited!B29</f>
        <v>2015</v>
      </c>
      <c r="P34" s="119">
        <f>Amnt_Deposited!E29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6.5867284070280006</v>
      </c>
      <c r="D35" s="453">
        <f>Dry_Matter_Content!E22</f>
        <v>0.44</v>
      </c>
      <c r="E35" s="319">
        <f>MCF!R34</f>
        <v>0.8</v>
      </c>
      <c r="F35" s="87">
        <f t="shared" si="0"/>
        <v>0.69555851978215688</v>
      </c>
      <c r="G35" s="87">
        <f t="shared" si="1"/>
        <v>0.69555851978215688</v>
      </c>
      <c r="H35" s="87">
        <f t="shared" si="2"/>
        <v>0</v>
      </c>
      <c r="I35" s="87">
        <f t="shared" si="3"/>
        <v>3.738934844812547</v>
      </c>
      <c r="J35" s="87">
        <f t="shared" si="4"/>
        <v>0.56395239742167669</v>
      </c>
      <c r="K35" s="120">
        <f t="shared" si="6"/>
        <v>0.37596826494778446</v>
      </c>
      <c r="O35" s="116">
        <f>Amnt_Deposited!B30</f>
        <v>2016</v>
      </c>
      <c r="P35" s="119">
        <f>Amnt_Deposited!E30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6.7426129528559997</v>
      </c>
      <c r="D36" s="453">
        <f>Dry_Matter_Content!E23</f>
        <v>0.44</v>
      </c>
      <c r="E36" s="319">
        <f>MCF!R35</f>
        <v>0.8</v>
      </c>
      <c r="F36" s="87">
        <f t="shared" si="0"/>
        <v>0.71201992782159351</v>
      </c>
      <c r="G36" s="87">
        <f t="shared" si="1"/>
        <v>0.71201992782159351</v>
      </c>
      <c r="H36" s="87">
        <f t="shared" si="2"/>
        <v>0</v>
      </c>
      <c r="I36" s="87">
        <f t="shared" si="3"/>
        <v>3.8664277079361993</v>
      </c>
      <c r="J36" s="87">
        <f t="shared" si="4"/>
        <v>0.58452706469794113</v>
      </c>
      <c r="K36" s="120">
        <f t="shared" si="6"/>
        <v>0.3896847097986274</v>
      </c>
      <c r="O36" s="116">
        <f>Amnt_Deposited!B31</f>
        <v>2017</v>
      </c>
      <c r="P36" s="119">
        <f>Amnt_Deposited!E31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6.9107675519520004</v>
      </c>
      <c r="D37" s="453">
        <f>Dry_Matter_Content!E24</f>
        <v>0.44</v>
      </c>
      <c r="E37" s="319">
        <f>MCF!R36</f>
        <v>0.8</v>
      </c>
      <c r="F37" s="87">
        <f t="shared" si="0"/>
        <v>0.72977705348613131</v>
      </c>
      <c r="G37" s="87">
        <f t="shared" si="1"/>
        <v>0.72977705348613131</v>
      </c>
      <c r="H37" s="87">
        <f t="shared" si="2"/>
        <v>0</v>
      </c>
      <c r="I37" s="87">
        <f t="shared" si="3"/>
        <v>3.9917460765853012</v>
      </c>
      <c r="J37" s="87">
        <f t="shared" si="4"/>
        <v>0.60445868483702947</v>
      </c>
      <c r="K37" s="120">
        <f t="shared" si="6"/>
        <v>0.40297245655801961</v>
      </c>
      <c r="O37" s="116">
        <f>Amnt_Deposited!B32</f>
        <v>2018</v>
      </c>
      <c r="P37" s="119">
        <f>Amnt_Deposited!E32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7.0789221510480003</v>
      </c>
      <c r="D38" s="453">
        <f>Dry_Matter_Content!E25</f>
        <v>0.44</v>
      </c>
      <c r="E38" s="319">
        <f>MCF!R37</f>
        <v>0.8</v>
      </c>
      <c r="F38" s="87">
        <f t="shared" si="0"/>
        <v>0.74753417915066889</v>
      </c>
      <c r="G38" s="87">
        <f t="shared" si="1"/>
        <v>0.74753417915066889</v>
      </c>
      <c r="H38" s="87">
        <f t="shared" si="2"/>
        <v>0</v>
      </c>
      <c r="I38" s="87">
        <f t="shared" si="3"/>
        <v>4.1152299007523414</v>
      </c>
      <c r="J38" s="87">
        <f t="shared" si="4"/>
        <v>0.62405035498362882</v>
      </c>
      <c r="K38" s="120">
        <f t="shared" si="6"/>
        <v>0.41603356998908586</v>
      </c>
      <c r="O38" s="116">
        <f>Amnt_Deposited!B33</f>
        <v>2019</v>
      </c>
      <c r="P38" s="119">
        <f>Amnt_Deposited!E33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7.2470767501440001</v>
      </c>
      <c r="D39" s="453">
        <f>Dry_Matter_Content!E26</f>
        <v>0.44</v>
      </c>
      <c r="E39" s="319">
        <f>MCF!R38</f>
        <v>0.8</v>
      </c>
      <c r="F39" s="87">
        <f t="shared" si="0"/>
        <v>0.76529130481520635</v>
      </c>
      <c r="G39" s="87">
        <f t="shared" si="1"/>
        <v>0.76529130481520635</v>
      </c>
      <c r="H39" s="87">
        <f t="shared" si="2"/>
        <v>0</v>
      </c>
      <c r="I39" s="87">
        <f t="shared" si="3"/>
        <v>4.2371659842853848</v>
      </c>
      <c r="J39" s="87">
        <f t="shared" si="4"/>
        <v>0.64335522128216294</v>
      </c>
      <c r="K39" s="120">
        <f t="shared" si="6"/>
        <v>0.42890348085477525</v>
      </c>
      <c r="O39" s="116">
        <f>Amnt_Deposited!B34</f>
        <v>2020</v>
      </c>
      <c r="P39" s="119">
        <f>Amnt_Deposited!E34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7.4152313492399999</v>
      </c>
      <c r="D40" s="453">
        <f>Dry_Matter_Content!E27</f>
        <v>0.44</v>
      </c>
      <c r="E40" s="319">
        <f>MCF!R39</f>
        <v>0.8</v>
      </c>
      <c r="F40" s="87">
        <f t="shared" si="0"/>
        <v>0.78304843047974404</v>
      </c>
      <c r="G40" s="87">
        <f t="shared" si="1"/>
        <v>0.78304843047974404</v>
      </c>
      <c r="H40" s="87">
        <f t="shared" si="2"/>
        <v>0</v>
      </c>
      <c r="I40" s="87">
        <f t="shared" si="3"/>
        <v>4.3577962935003089</v>
      </c>
      <c r="J40" s="87">
        <f t="shared" si="4"/>
        <v>0.66241812126482003</v>
      </c>
      <c r="K40" s="120">
        <f t="shared" si="6"/>
        <v>0.44161208084321335</v>
      </c>
      <c r="O40" s="116">
        <f>Amnt_Deposited!B35</f>
        <v>2021</v>
      </c>
      <c r="P40" s="119">
        <f>Amnt_Deposited!E35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7.5833859483360007</v>
      </c>
      <c r="D41" s="453">
        <f>Dry_Matter_Content!E28</f>
        <v>0.44</v>
      </c>
      <c r="E41" s="319">
        <f>MCF!R40</f>
        <v>0.8</v>
      </c>
      <c r="F41" s="87">
        <f t="shared" si="0"/>
        <v>0.80080555614428173</v>
      </c>
      <c r="G41" s="87">
        <f t="shared" si="1"/>
        <v>0.80080555614428173</v>
      </c>
      <c r="H41" s="87">
        <f t="shared" si="2"/>
        <v>0</v>
      </c>
      <c r="I41" s="87">
        <f t="shared" si="3"/>
        <v>4.4773249668646207</v>
      </c>
      <c r="J41" s="87">
        <f t="shared" si="4"/>
        <v>0.68127688277997012</v>
      </c>
      <c r="K41" s="120">
        <f t="shared" si="6"/>
        <v>0.45418458851998006</v>
      </c>
      <c r="O41" s="116">
        <f>Amnt_Deposited!B36</f>
        <v>2022</v>
      </c>
      <c r="P41" s="119">
        <f>Amnt_Deposited!E36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7.7515405474320005</v>
      </c>
      <c r="D42" s="453">
        <f>Dry_Matter_Content!E29</f>
        <v>0.44</v>
      </c>
      <c r="E42" s="319">
        <f>MCF!R41</f>
        <v>0.8</v>
      </c>
      <c r="F42" s="87">
        <f t="shared" si="0"/>
        <v>0.81856268180881919</v>
      </c>
      <c r="G42" s="87">
        <f t="shared" si="1"/>
        <v>0.81856268180881919</v>
      </c>
      <c r="H42" s="87">
        <f t="shared" si="2"/>
        <v>0</v>
      </c>
      <c r="I42" s="87">
        <f t="shared" si="3"/>
        <v>4.5959242288210689</v>
      </c>
      <c r="J42" s="87">
        <f t="shared" si="4"/>
        <v>0.69996341985237076</v>
      </c>
      <c r="K42" s="120">
        <f t="shared" si="6"/>
        <v>0.46664227990158047</v>
      </c>
      <c r="O42" s="116">
        <f>Amnt_Deposited!B37</f>
        <v>2023</v>
      </c>
      <c r="P42" s="119">
        <f>Amnt_Deposited!E37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7.9196951465280012</v>
      </c>
      <c r="D43" s="453">
        <f>Dry_Matter_Content!E30</f>
        <v>0.44</v>
      </c>
      <c r="E43" s="319">
        <f>MCF!R42</f>
        <v>0.8</v>
      </c>
      <c r="F43" s="87">
        <f t="shared" si="0"/>
        <v>0.83631980747335699</v>
      </c>
      <c r="G43" s="87">
        <f t="shared" si="1"/>
        <v>0.83631980747335699</v>
      </c>
      <c r="H43" s="87">
        <f t="shared" si="2"/>
        <v>0</v>
      </c>
      <c r="I43" s="87">
        <f t="shared" si="3"/>
        <v>4.7137393790725604</v>
      </c>
      <c r="J43" s="87">
        <f t="shared" si="4"/>
        <v>0.71850465722186563</v>
      </c>
      <c r="K43" s="120">
        <f t="shared" si="6"/>
        <v>0.47900310481457709</v>
      </c>
      <c r="O43" s="116">
        <f>Amnt_Deposited!B38</f>
        <v>2024</v>
      </c>
      <c r="P43" s="119">
        <f>Amnt_Deposited!E38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8.0878497456240002</v>
      </c>
      <c r="D44" s="453">
        <f>Dry_Matter_Content!E31</f>
        <v>0.44</v>
      </c>
      <c r="E44" s="319">
        <f>MCF!R43</f>
        <v>0.8</v>
      </c>
      <c r="F44" s="87">
        <f t="shared" si="0"/>
        <v>0.85407693313789457</v>
      </c>
      <c r="G44" s="87">
        <f t="shared" si="1"/>
        <v>0.85407693313789457</v>
      </c>
      <c r="H44" s="87">
        <f t="shared" si="2"/>
        <v>0</v>
      </c>
      <c r="I44" s="87">
        <f t="shared" si="3"/>
        <v>4.8308930018662979</v>
      </c>
      <c r="J44" s="87">
        <f t="shared" si="4"/>
        <v>0.73692331034415715</v>
      </c>
      <c r="K44" s="120">
        <f t="shared" si="6"/>
        <v>0.49128220689610475</v>
      </c>
      <c r="O44" s="116">
        <f>Amnt_Deposited!B39</f>
        <v>2025</v>
      </c>
      <c r="P44" s="119">
        <f>Amnt_Deposited!E39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8.2560043447200009</v>
      </c>
      <c r="D45" s="453">
        <f>Dry_Matter_Content!E32</f>
        <v>0.44</v>
      </c>
      <c r="E45" s="319">
        <f>MCF!R44</f>
        <v>0.8</v>
      </c>
      <c r="F45" s="87">
        <f t="shared" si="0"/>
        <v>0.87183405880243203</v>
      </c>
      <c r="G45" s="87">
        <f t="shared" si="1"/>
        <v>0.87183405880243203</v>
      </c>
      <c r="H45" s="87">
        <f t="shared" si="2"/>
        <v>0</v>
      </c>
      <c r="I45" s="87">
        <f t="shared" si="3"/>
        <v>4.9474885172187157</v>
      </c>
      <c r="J45" s="87">
        <f t="shared" si="4"/>
        <v>0.75523854345001418</v>
      </c>
      <c r="K45" s="120">
        <f t="shared" si="6"/>
        <v>0.50349236230000938</v>
      </c>
      <c r="O45" s="116">
        <f>Amnt_Deposited!B40</f>
        <v>2026</v>
      </c>
      <c r="P45" s="119">
        <f>Amnt_Deposited!E40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8.4241589438159998</v>
      </c>
      <c r="D46" s="453">
        <f>Dry_Matter_Content!E33</f>
        <v>0.44</v>
      </c>
      <c r="E46" s="319">
        <f>MCF!R45</f>
        <v>0.8</v>
      </c>
      <c r="F46" s="87">
        <f t="shared" si="0"/>
        <v>0.88959118446696961</v>
      </c>
      <c r="G46" s="87">
        <f t="shared" si="1"/>
        <v>0.88959118446696961</v>
      </c>
      <c r="H46" s="87">
        <f t="shared" si="2"/>
        <v>0</v>
      </c>
      <c r="I46" s="87">
        <f t="shared" si="3"/>
        <v>5.063613176959012</v>
      </c>
      <c r="J46" s="87">
        <f t="shared" si="4"/>
        <v>0.77346652472667354</v>
      </c>
      <c r="K46" s="120">
        <f t="shared" si="6"/>
        <v>0.51564434981778229</v>
      </c>
      <c r="O46" s="116">
        <f>Amnt_Deposited!B41</f>
        <v>2027</v>
      </c>
      <c r="P46" s="119">
        <f>Amnt_Deposited!E41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8.5923135429120023</v>
      </c>
      <c r="D47" s="453">
        <f>Dry_Matter_Content!E34</f>
        <v>0.44</v>
      </c>
      <c r="E47" s="319">
        <f>MCF!R46</f>
        <v>0.8</v>
      </c>
      <c r="F47" s="87">
        <f t="shared" si="0"/>
        <v>0.90734831013150741</v>
      </c>
      <c r="G47" s="87">
        <f t="shared" si="1"/>
        <v>0.90734831013150741</v>
      </c>
      <c r="H47" s="87">
        <f t="shared" si="2"/>
        <v>0</v>
      </c>
      <c r="I47" s="87">
        <f t="shared" si="3"/>
        <v>5.1793405923856639</v>
      </c>
      <c r="J47" s="87">
        <f t="shared" si="4"/>
        <v>0.7916208947048553</v>
      </c>
      <c r="K47" s="120">
        <f t="shared" si="6"/>
        <v>0.52774726313657017</v>
      </c>
      <c r="O47" s="116">
        <f>Amnt_Deposited!B42</f>
        <v>2028</v>
      </c>
      <c r="P47" s="119">
        <f>Amnt_Deposited!E42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8.7604681420080013</v>
      </c>
      <c r="D48" s="453">
        <f>Dry_Matter_Content!E35</f>
        <v>0.44</v>
      </c>
      <c r="E48" s="319">
        <f>MCF!R47</f>
        <v>0.8</v>
      </c>
      <c r="F48" s="87">
        <f t="shared" si="0"/>
        <v>0.92510543579604487</v>
      </c>
      <c r="G48" s="87">
        <f t="shared" si="1"/>
        <v>0.92510543579604487</v>
      </c>
      <c r="H48" s="87">
        <f t="shared" si="2"/>
        <v>0</v>
      </c>
      <c r="I48" s="87">
        <f t="shared" si="3"/>
        <v>5.2947328667613016</v>
      </c>
      <c r="J48" s="87">
        <f t="shared" si="4"/>
        <v>0.80971316142040739</v>
      </c>
      <c r="K48" s="120">
        <f t="shared" si="6"/>
        <v>0.53980877428027152</v>
      </c>
      <c r="O48" s="116">
        <f>Amnt_Deposited!B43</f>
        <v>2029</v>
      </c>
      <c r="P48" s="119">
        <f>Amnt_Deposited!E43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8.928622741104002</v>
      </c>
      <c r="D49" s="453">
        <f>Dry_Matter_Content!E36</f>
        <v>0.44</v>
      </c>
      <c r="E49" s="319">
        <f>MCF!R48</f>
        <v>0.8</v>
      </c>
      <c r="F49" s="87">
        <f t="shared" si="0"/>
        <v>0.94286256146058267</v>
      </c>
      <c r="G49" s="87">
        <f t="shared" si="1"/>
        <v>0.94286256146058267</v>
      </c>
      <c r="H49" s="87">
        <f t="shared" si="2"/>
        <v>0</v>
      </c>
      <c r="I49" s="87">
        <f t="shared" si="3"/>
        <v>5.4098423944236016</v>
      </c>
      <c r="J49" s="87">
        <f t="shared" si="4"/>
        <v>0.82775303379828313</v>
      </c>
      <c r="K49" s="120">
        <f t="shared" si="6"/>
        <v>0.55183535586552201</v>
      </c>
      <c r="O49" s="116">
        <f>Amnt_Deposited!B44</f>
        <v>2030</v>
      </c>
      <c r="P49" s="119">
        <f>Amnt_Deposited!E44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0.8</v>
      </c>
      <c r="F50" s="87">
        <f t="shared" si="0"/>
        <v>0</v>
      </c>
      <c r="G50" s="87">
        <f t="shared" si="1"/>
        <v>0</v>
      </c>
      <c r="H50" s="87">
        <f t="shared" si="2"/>
        <v>0</v>
      </c>
      <c r="I50" s="87">
        <f t="shared" si="3"/>
        <v>4.5640936915067289</v>
      </c>
      <c r="J50" s="87">
        <f t="shared" si="4"/>
        <v>0.84574870291687243</v>
      </c>
      <c r="K50" s="120">
        <f t="shared" si="6"/>
        <v>0.56383246861124825</v>
      </c>
      <c r="O50" s="116">
        <f>Amnt_Deposited!B45</f>
        <v>2031</v>
      </c>
      <c r="P50" s="119">
        <f>Amnt_Deposited!E45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0.8</v>
      </c>
      <c r="F51" s="87">
        <f t="shared" si="0"/>
        <v>0</v>
      </c>
      <c r="G51" s="87">
        <f t="shared" si="1"/>
        <v>0</v>
      </c>
      <c r="H51" s="87">
        <f t="shared" si="2"/>
        <v>0</v>
      </c>
      <c r="I51" s="87">
        <f t="shared" si="3"/>
        <v>3.8505652671737365</v>
      </c>
      <c r="J51" s="87">
        <f t="shared" si="4"/>
        <v>0.71352842433299257</v>
      </c>
      <c r="K51" s="120">
        <f t="shared" si="6"/>
        <v>0.47568561622199501</v>
      </c>
      <c r="O51" s="116">
        <f>Amnt_Deposited!B46</f>
        <v>2032</v>
      </c>
      <c r="P51" s="119">
        <f>Amnt_Deposited!E46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0.8</v>
      </c>
      <c r="F52" s="87">
        <f t="shared" si="0"/>
        <v>0</v>
      </c>
      <c r="G52" s="87">
        <f t="shared" si="1"/>
        <v>0</v>
      </c>
      <c r="H52" s="87">
        <f t="shared" si="2"/>
        <v>0</v>
      </c>
      <c r="I52" s="87">
        <f t="shared" si="3"/>
        <v>3.2485864399225357</v>
      </c>
      <c r="J52" s="87">
        <f t="shared" si="4"/>
        <v>0.60197882725120089</v>
      </c>
      <c r="K52" s="120">
        <f t="shared" si="6"/>
        <v>0.40131921816746724</v>
      </c>
      <c r="O52" s="116">
        <f>Amnt_Deposited!B47</f>
        <v>2033</v>
      </c>
      <c r="P52" s="119">
        <f>Amnt_Deposited!E47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0.8</v>
      </c>
      <c r="F53" s="87">
        <f t="shared" si="0"/>
        <v>0</v>
      </c>
      <c r="G53" s="87">
        <f t="shared" si="1"/>
        <v>0</v>
      </c>
      <c r="H53" s="87">
        <f t="shared" si="2"/>
        <v>0</v>
      </c>
      <c r="I53" s="87">
        <f t="shared" si="3"/>
        <v>2.7407180830347451</v>
      </c>
      <c r="J53" s="87">
        <f t="shared" si="4"/>
        <v>0.50786835688779053</v>
      </c>
      <c r="K53" s="120">
        <f t="shared" si="6"/>
        <v>0.33857890459186035</v>
      </c>
      <c r="O53" s="116">
        <f>Amnt_Deposited!B48</f>
        <v>2034</v>
      </c>
      <c r="P53" s="119">
        <f>Amnt_Deposited!E48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0.8</v>
      </c>
      <c r="F54" s="87">
        <f t="shared" si="0"/>
        <v>0</v>
      </c>
      <c r="G54" s="87">
        <f t="shared" si="1"/>
        <v>0</v>
      </c>
      <c r="H54" s="87">
        <f t="shared" si="2"/>
        <v>0</v>
      </c>
      <c r="I54" s="87">
        <f t="shared" si="3"/>
        <v>2.3122474188659004</v>
      </c>
      <c r="J54" s="87">
        <f t="shared" si="4"/>
        <v>0.42847066416884455</v>
      </c>
      <c r="K54" s="120">
        <f t="shared" si="6"/>
        <v>0.28564710944589633</v>
      </c>
      <c r="O54" s="116">
        <f>Amnt_Deposited!B49</f>
        <v>2035</v>
      </c>
      <c r="P54" s="119">
        <f>Amnt_Deposited!E49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0.8</v>
      </c>
      <c r="F55" s="87">
        <f t="shared" si="0"/>
        <v>0</v>
      </c>
      <c r="G55" s="87">
        <f t="shared" si="1"/>
        <v>0</v>
      </c>
      <c r="H55" s="87">
        <f t="shared" si="2"/>
        <v>0</v>
      </c>
      <c r="I55" s="87">
        <f t="shared" si="3"/>
        <v>1.9507617945629614</v>
      </c>
      <c r="J55" s="87">
        <f t="shared" si="4"/>
        <v>0.3614856243029389</v>
      </c>
      <c r="K55" s="120">
        <f t="shared" si="6"/>
        <v>0.24099041620195927</v>
      </c>
      <c r="O55" s="116">
        <f>Amnt_Deposited!B50</f>
        <v>2036</v>
      </c>
      <c r="P55" s="119">
        <f>Amnt_Deposited!E50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0.8</v>
      </c>
      <c r="F56" s="87">
        <f t="shared" si="0"/>
        <v>0</v>
      </c>
      <c r="G56" s="87">
        <f t="shared" si="1"/>
        <v>0</v>
      </c>
      <c r="H56" s="87">
        <f t="shared" si="2"/>
        <v>0</v>
      </c>
      <c r="I56" s="87">
        <f t="shared" si="3"/>
        <v>1.6457890916331932</v>
      </c>
      <c r="J56" s="87">
        <f t="shared" si="4"/>
        <v>0.30497270292976825</v>
      </c>
      <c r="K56" s="120">
        <f t="shared" si="6"/>
        <v>0.20331513528651216</v>
      </c>
      <c r="O56" s="116">
        <f>Amnt_Deposited!B51</f>
        <v>2037</v>
      </c>
      <c r="P56" s="119">
        <f>Amnt_Deposited!E51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0.8</v>
      </c>
      <c r="F57" s="87">
        <f t="shared" si="0"/>
        <v>0</v>
      </c>
      <c r="G57" s="87">
        <f t="shared" si="1"/>
        <v>0</v>
      </c>
      <c r="H57" s="87">
        <f t="shared" si="2"/>
        <v>0</v>
      </c>
      <c r="I57" s="87">
        <f t="shared" si="3"/>
        <v>1.3884943521490469</v>
      </c>
      <c r="J57" s="87">
        <f t="shared" si="4"/>
        <v>0.25729473948414633</v>
      </c>
      <c r="K57" s="120">
        <f t="shared" si="6"/>
        <v>0.1715298263227642</v>
      </c>
      <c r="O57" s="116">
        <f>Amnt_Deposited!B52</f>
        <v>2038</v>
      </c>
      <c r="P57" s="119">
        <f>Amnt_Deposited!E52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0.8</v>
      </c>
      <c r="F58" s="87">
        <f t="shared" si="0"/>
        <v>0</v>
      </c>
      <c r="G58" s="87">
        <f t="shared" si="1"/>
        <v>0</v>
      </c>
      <c r="H58" s="87">
        <f t="shared" si="2"/>
        <v>0</v>
      </c>
      <c r="I58" s="87">
        <f t="shared" si="3"/>
        <v>1.1714238329509403</v>
      </c>
      <c r="J58" s="87">
        <f t="shared" si="4"/>
        <v>0.21707051919810663</v>
      </c>
      <c r="K58" s="120">
        <f t="shared" si="6"/>
        <v>0.14471367946540442</v>
      </c>
      <c r="O58" s="116">
        <f>Amnt_Deposited!B53</f>
        <v>2039</v>
      </c>
      <c r="P58" s="119">
        <f>Amnt_Deposited!E53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0.8</v>
      </c>
      <c r="F59" s="87">
        <f t="shared" si="0"/>
        <v>0</v>
      </c>
      <c r="G59" s="87">
        <f t="shared" si="1"/>
        <v>0</v>
      </c>
      <c r="H59" s="87">
        <f t="shared" si="2"/>
        <v>0</v>
      </c>
      <c r="I59" s="87">
        <f t="shared" si="3"/>
        <v>0.98828907318318793</v>
      </c>
      <c r="J59" s="87">
        <f t="shared" si="4"/>
        <v>0.18313475976775243</v>
      </c>
      <c r="K59" s="120">
        <f t="shared" si="6"/>
        <v>0.12208983984516827</v>
      </c>
      <c r="O59" s="116">
        <f>Amnt_Deposited!B54</f>
        <v>2040</v>
      </c>
      <c r="P59" s="119">
        <f>Amnt_Deposited!E54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0.8</v>
      </c>
      <c r="F60" s="87">
        <f t="shared" si="0"/>
        <v>0</v>
      </c>
      <c r="G60" s="87">
        <f t="shared" si="1"/>
        <v>0</v>
      </c>
      <c r="H60" s="87">
        <f t="shared" si="2"/>
        <v>0</v>
      </c>
      <c r="I60" s="87">
        <f t="shared" si="3"/>
        <v>0.8337847196713043</v>
      </c>
      <c r="J60" s="87">
        <f t="shared" si="4"/>
        <v>0.15450435351188366</v>
      </c>
      <c r="K60" s="120">
        <f t="shared" si="6"/>
        <v>0.10300290234125577</v>
      </c>
      <c r="O60" s="116">
        <f>Amnt_Deposited!B55</f>
        <v>2041</v>
      </c>
      <c r="P60" s="119">
        <f>Amnt_Deposited!E55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0.8</v>
      </c>
      <c r="F61" s="87">
        <f t="shared" si="0"/>
        <v>0</v>
      </c>
      <c r="G61" s="87">
        <f t="shared" si="1"/>
        <v>0</v>
      </c>
      <c r="H61" s="87">
        <f t="shared" si="2"/>
        <v>0</v>
      </c>
      <c r="I61" s="87">
        <f t="shared" si="3"/>
        <v>0.70343483260235817</v>
      </c>
      <c r="J61" s="87">
        <f t="shared" si="4"/>
        <v>0.13034988706894615</v>
      </c>
      <c r="K61" s="120">
        <f t="shared" si="6"/>
        <v>8.6899924712630763E-2</v>
      </c>
      <c r="O61" s="116">
        <f>Amnt_Deposited!B56</f>
        <v>2042</v>
      </c>
      <c r="P61" s="119">
        <f>Amnt_Deposited!E56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0.8</v>
      </c>
      <c r="F62" s="87">
        <f t="shared" si="0"/>
        <v>0</v>
      </c>
      <c r="G62" s="87">
        <f t="shared" si="1"/>
        <v>0</v>
      </c>
      <c r="H62" s="87">
        <f t="shared" si="2"/>
        <v>0</v>
      </c>
      <c r="I62" s="87">
        <f t="shared" si="3"/>
        <v>0.59346321903497634</v>
      </c>
      <c r="J62" s="87">
        <f t="shared" si="4"/>
        <v>0.10997161356738179</v>
      </c>
      <c r="K62" s="120">
        <f t="shared" si="6"/>
        <v>7.3314409044921189E-2</v>
      </c>
      <c r="O62" s="116">
        <f>Amnt_Deposited!B57</f>
        <v>2043</v>
      </c>
      <c r="P62" s="119">
        <f>Amnt_Deposited!E57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0.8</v>
      </c>
      <c r="F63" s="87">
        <f t="shared" si="0"/>
        <v>0</v>
      </c>
      <c r="G63" s="87">
        <f t="shared" si="1"/>
        <v>0</v>
      </c>
      <c r="H63" s="87">
        <f t="shared" si="2"/>
        <v>0</v>
      </c>
      <c r="I63" s="87">
        <f t="shared" si="3"/>
        <v>0.50068403784384286</v>
      </c>
      <c r="J63" s="87">
        <f t="shared" si="4"/>
        <v>9.2779181191133542E-2</v>
      </c>
      <c r="K63" s="120">
        <f t="shared" si="6"/>
        <v>6.185278746075569E-2</v>
      </c>
      <c r="O63" s="116">
        <f>Amnt_Deposited!B58</f>
        <v>2044</v>
      </c>
      <c r="P63" s="119">
        <f>Amnt_Deposited!E58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0.8</v>
      </c>
      <c r="F64" s="87">
        <f t="shared" si="0"/>
        <v>0</v>
      </c>
      <c r="G64" s="87">
        <f t="shared" si="1"/>
        <v>0</v>
      </c>
      <c r="H64" s="87">
        <f t="shared" si="2"/>
        <v>0</v>
      </c>
      <c r="I64" s="87">
        <f t="shared" si="3"/>
        <v>0.42240950696026253</v>
      </c>
      <c r="J64" s="87">
        <f t="shared" si="4"/>
        <v>7.8274530883580329E-2</v>
      </c>
      <c r="K64" s="120">
        <f t="shared" si="6"/>
        <v>5.2183020589053553E-2</v>
      </c>
      <c r="O64" s="116">
        <f>Amnt_Deposited!B59</f>
        <v>2045</v>
      </c>
      <c r="P64" s="119">
        <f>Amnt_Deposited!E59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0.8</v>
      </c>
      <c r="F65" s="87">
        <f t="shared" si="0"/>
        <v>0</v>
      </c>
      <c r="G65" s="87">
        <f t="shared" si="1"/>
        <v>0</v>
      </c>
      <c r="H65" s="87">
        <f t="shared" si="2"/>
        <v>0</v>
      </c>
      <c r="I65" s="87">
        <f t="shared" si="3"/>
        <v>0.35637203921819877</v>
      </c>
      <c r="J65" s="87">
        <f t="shared" si="4"/>
        <v>6.6037467742063774E-2</v>
      </c>
      <c r="K65" s="120">
        <f t="shared" si="6"/>
        <v>4.4024978494709183E-2</v>
      </c>
      <c r="O65" s="116">
        <f>Amnt_Deposited!B60</f>
        <v>2046</v>
      </c>
      <c r="P65" s="119">
        <f>Amnt_Deposited!E60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0.8</v>
      </c>
      <c r="F66" s="87">
        <f t="shared" si="0"/>
        <v>0</v>
      </c>
      <c r="G66" s="87">
        <f t="shared" si="1"/>
        <v>0</v>
      </c>
      <c r="H66" s="87">
        <f t="shared" si="2"/>
        <v>0</v>
      </c>
      <c r="I66" s="87">
        <f t="shared" si="3"/>
        <v>0.30065855110710094</v>
      </c>
      <c r="J66" s="87">
        <f t="shared" si="4"/>
        <v>5.5713488111097845E-2</v>
      </c>
      <c r="K66" s="120">
        <f t="shared" si="6"/>
        <v>3.7142325407398563E-2</v>
      </c>
      <c r="O66" s="116">
        <f>Amnt_Deposited!B61</f>
        <v>2047</v>
      </c>
      <c r="P66" s="119">
        <f>Amnt_Deposited!E61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0.8</v>
      </c>
      <c r="F67" s="87">
        <f t="shared" si="0"/>
        <v>0</v>
      </c>
      <c r="G67" s="87">
        <f t="shared" si="1"/>
        <v>0</v>
      </c>
      <c r="H67" s="87">
        <f t="shared" si="2"/>
        <v>0</v>
      </c>
      <c r="I67" s="87">
        <f t="shared" si="3"/>
        <v>0.25365504137790679</v>
      </c>
      <c r="J67" s="87">
        <f t="shared" si="4"/>
        <v>4.7003509729194169E-2</v>
      </c>
      <c r="K67" s="120">
        <f t="shared" si="6"/>
        <v>3.133567315279611E-2</v>
      </c>
      <c r="O67" s="116">
        <f>Amnt_Deposited!B62</f>
        <v>2048</v>
      </c>
      <c r="P67" s="119">
        <f>Amnt_Deposited!E62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0.8</v>
      </c>
      <c r="F68" s="87">
        <f t="shared" si="0"/>
        <v>0</v>
      </c>
      <c r="G68" s="87">
        <f t="shared" si="1"/>
        <v>0</v>
      </c>
      <c r="H68" s="87">
        <f t="shared" si="2"/>
        <v>0</v>
      </c>
      <c r="I68" s="87">
        <f t="shared" si="3"/>
        <v>0.21399983396283984</v>
      </c>
      <c r="J68" s="87">
        <f t="shared" si="4"/>
        <v>3.9655207415066937E-2</v>
      </c>
      <c r="K68" s="120">
        <f t="shared" si="6"/>
        <v>2.6436804943377957E-2</v>
      </c>
      <c r="O68" s="116">
        <f>Amnt_Deposited!B63</f>
        <v>2049</v>
      </c>
      <c r="P68" s="119">
        <f>Amnt_Deposited!E63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0.8</v>
      </c>
      <c r="F69" s="87">
        <f t="shared" si="0"/>
        <v>0</v>
      </c>
      <c r="G69" s="87">
        <f t="shared" si="1"/>
        <v>0</v>
      </c>
      <c r="H69" s="87">
        <f t="shared" si="2"/>
        <v>0</v>
      </c>
      <c r="I69" s="87">
        <f t="shared" si="3"/>
        <v>0.18054413067191583</v>
      </c>
      <c r="J69" s="87">
        <f t="shared" si="4"/>
        <v>3.3455703290924003E-2</v>
      </c>
      <c r="K69" s="120">
        <f t="shared" si="6"/>
        <v>2.2303802193949333E-2</v>
      </c>
      <c r="O69" s="116">
        <f>Amnt_Deposited!B64</f>
        <v>2050</v>
      </c>
      <c r="P69" s="119">
        <f>Amnt_Deposited!E64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0.8</v>
      </c>
      <c r="F70" s="87">
        <f t="shared" si="0"/>
        <v>0</v>
      </c>
      <c r="G70" s="87">
        <f t="shared" si="1"/>
        <v>0</v>
      </c>
      <c r="H70" s="87">
        <f t="shared" si="2"/>
        <v>0</v>
      </c>
      <c r="I70" s="87">
        <f t="shared" si="3"/>
        <v>0.15231873089087539</v>
      </c>
      <c r="J70" s="87">
        <f t="shared" si="4"/>
        <v>2.8225399781040428E-2</v>
      </c>
      <c r="K70" s="120">
        <f t="shared" si="6"/>
        <v>1.8816933187360285E-2</v>
      </c>
      <c r="O70" s="116">
        <f>Amnt_Deposited!B65</f>
        <v>2051</v>
      </c>
      <c r="P70" s="119">
        <f>Amnt_Deposited!E65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0.8</v>
      </c>
      <c r="F71" s="87">
        <f t="shared" si="0"/>
        <v>0</v>
      </c>
      <c r="G71" s="87">
        <f t="shared" si="1"/>
        <v>0</v>
      </c>
      <c r="H71" s="87">
        <f t="shared" si="2"/>
        <v>0</v>
      </c>
      <c r="I71" s="87">
        <f t="shared" si="3"/>
        <v>0.1285059541612443</v>
      </c>
      <c r="J71" s="87">
        <f t="shared" si="4"/>
        <v>2.3812776729631079E-2</v>
      </c>
      <c r="K71" s="120">
        <f t="shared" si="6"/>
        <v>1.5875184486420717E-2</v>
      </c>
      <c r="O71" s="116">
        <f>Amnt_Deposited!B66</f>
        <v>2052</v>
      </c>
      <c r="P71" s="119">
        <f>Amnt_Deposited!E66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0.8</v>
      </c>
      <c r="F72" s="87">
        <f t="shared" si="0"/>
        <v>0</v>
      </c>
      <c r="G72" s="87">
        <f t="shared" si="1"/>
        <v>0</v>
      </c>
      <c r="H72" s="87">
        <f t="shared" si="2"/>
        <v>0</v>
      </c>
      <c r="I72" s="87">
        <f t="shared" si="3"/>
        <v>0.10841595224898946</v>
      </c>
      <c r="J72" s="87">
        <f t="shared" si="4"/>
        <v>2.0090001912254837E-2</v>
      </c>
      <c r="K72" s="120">
        <f t="shared" si="6"/>
        <v>1.3393334608169891E-2</v>
      </c>
      <c r="O72" s="116">
        <f>Amnt_Deposited!B67</f>
        <v>2053</v>
      </c>
      <c r="P72" s="119">
        <f>Amnt_Deposited!E67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0.8</v>
      </c>
      <c r="F73" s="87">
        <f t="shared" si="0"/>
        <v>0</v>
      </c>
      <c r="G73" s="87">
        <f t="shared" si="1"/>
        <v>0</v>
      </c>
      <c r="H73" s="87">
        <f t="shared" si="2"/>
        <v>0</v>
      </c>
      <c r="I73" s="87">
        <f t="shared" si="3"/>
        <v>9.1466724470265992E-2</v>
      </c>
      <c r="J73" s="87">
        <f t="shared" si="4"/>
        <v>1.6949227778723475E-2</v>
      </c>
      <c r="K73" s="120">
        <f t="shared" si="6"/>
        <v>1.1299485185815649E-2</v>
      </c>
      <c r="O73" s="116">
        <f>Amnt_Deposited!B68</f>
        <v>2054</v>
      </c>
      <c r="P73" s="119">
        <f>Amnt_Deposited!E68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0.8</v>
      </c>
      <c r="F74" s="87">
        <f t="shared" si="0"/>
        <v>0</v>
      </c>
      <c r="G74" s="87">
        <f t="shared" si="1"/>
        <v>0</v>
      </c>
      <c r="H74" s="87">
        <f t="shared" si="2"/>
        <v>0</v>
      </c>
      <c r="I74" s="87">
        <f t="shared" si="3"/>
        <v>7.7167257324878918E-2</v>
      </c>
      <c r="J74" s="87">
        <f t="shared" si="4"/>
        <v>1.4299467145387072E-2</v>
      </c>
      <c r="K74" s="120">
        <f t="shared" si="6"/>
        <v>9.532978096924714E-3</v>
      </c>
      <c r="O74" s="116">
        <f>Amnt_Deposited!B69</f>
        <v>2055</v>
      </c>
      <c r="P74" s="119">
        <f>Amnt_Deposited!E69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0.8</v>
      </c>
      <c r="F75" s="87">
        <f t="shared" si="0"/>
        <v>0</v>
      </c>
      <c r="G75" s="87">
        <f t="shared" si="1"/>
        <v>0</v>
      </c>
      <c r="H75" s="87">
        <f t="shared" si="2"/>
        <v>0</v>
      </c>
      <c r="I75" s="87">
        <f t="shared" si="3"/>
        <v>6.5103299998239925E-2</v>
      </c>
      <c r="J75" s="87">
        <f t="shared" si="4"/>
        <v>1.2063957326638999E-2</v>
      </c>
      <c r="K75" s="120">
        <f t="shared" si="6"/>
        <v>8.0426382177593327E-3</v>
      </c>
      <c r="O75" s="116">
        <f>Amnt_Deposited!B70</f>
        <v>2056</v>
      </c>
      <c r="P75" s="119">
        <f>Amnt_Deposited!E70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0.8</v>
      </c>
      <c r="F76" s="87">
        <f t="shared" si="0"/>
        <v>0</v>
      </c>
      <c r="G76" s="87">
        <f t="shared" si="1"/>
        <v>0</v>
      </c>
      <c r="H76" s="87">
        <f t="shared" si="2"/>
        <v>0</v>
      </c>
      <c r="I76" s="87">
        <f t="shared" si="3"/>
        <v>5.492536365283443E-2</v>
      </c>
      <c r="J76" s="87">
        <f t="shared" si="4"/>
        <v>1.0177936345405491E-2</v>
      </c>
      <c r="K76" s="120">
        <f t="shared" si="6"/>
        <v>6.7852908969369937E-3</v>
      </c>
      <c r="O76" s="116">
        <f>Amnt_Deposited!B71</f>
        <v>2057</v>
      </c>
      <c r="P76" s="119">
        <f>Amnt_Deposited!E71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0.8</v>
      </c>
      <c r="F77" s="87">
        <f t="shared" si="0"/>
        <v>0</v>
      </c>
      <c r="G77" s="87">
        <f t="shared" si="1"/>
        <v>0</v>
      </c>
      <c r="H77" s="87">
        <f t="shared" si="2"/>
        <v>0</v>
      </c>
      <c r="I77" s="87">
        <f t="shared" si="3"/>
        <v>4.6338596852658238E-2</v>
      </c>
      <c r="J77" s="87">
        <f t="shared" si="4"/>
        <v>8.5867668001761901E-3</v>
      </c>
      <c r="K77" s="120">
        <f t="shared" si="6"/>
        <v>5.7245112001174598E-3</v>
      </c>
      <c r="O77" s="116">
        <f>Amnt_Deposited!B72</f>
        <v>2058</v>
      </c>
      <c r="P77" s="119">
        <f>Amnt_Deposited!E72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0.8</v>
      </c>
      <c r="F78" s="87">
        <f t="shared" si="0"/>
        <v>0</v>
      </c>
      <c r="G78" s="87">
        <f t="shared" si="1"/>
        <v>0</v>
      </c>
      <c r="H78" s="87">
        <f t="shared" si="2"/>
        <v>0</v>
      </c>
      <c r="I78" s="87">
        <f t="shared" si="3"/>
        <v>3.9094243815031675E-2</v>
      </c>
      <c r="J78" s="87">
        <f t="shared" si="4"/>
        <v>7.2443530376265627E-3</v>
      </c>
      <c r="K78" s="120">
        <f t="shared" si="6"/>
        <v>4.8295686917510412E-3</v>
      </c>
      <c r="O78" s="116">
        <f>Amnt_Deposited!B73</f>
        <v>2059</v>
      </c>
      <c r="P78" s="119">
        <f>Amnt_Deposited!E73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0.8</v>
      </c>
      <c r="F79" s="87">
        <f t="shared" si="0"/>
        <v>0</v>
      </c>
      <c r="G79" s="87">
        <f t="shared" si="1"/>
        <v>0</v>
      </c>
      <c r="H79" s="87">
        <f t="shared" si="2"/>
        <v>0</v>
      </c>
      <c r="I79" s="87">
        <f t="shared" si="3"/>
        <v>3.2982438038183008E-2</v>
      </c>
      <c r="J79" s="87">
        <f t="shared" si="4"/>
        <v>6.1118057768486693E-3</v>
      </c>
      <c r="K79" s="120">
        <f t="shared" si="6"/>
        <v>4.0745371845657789E-3</v>
      </c>
      <c r="O79" s="116">
        <f>Amnt_Deposited!B74</f>
        <v>2060</v>
      </c>
      <c r="P79" s="119">
        <f>Amnt_Deposited!E74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0.8</v>
      </c>
      <c r="F80" s="87">
        <f t="shared" si="0"/>
        <v>0</v>
      </c>
      <c r="G80" s="87">
        <f t="shared" si="1"/>
        <v>0</v>
      </c>
      <c r="H80" s="87">
        <f t="shared" si="2"/>
        <v>0</v>
      </c>
      <c r="I80" s="87">
        <f t="shared" si="3"/>
        <v>2.7826122538385258E-2</v>
      </c>
      <c r="J80" s="87">
        <f t="shared" si="4"/>
        <v>5.1563154997977508E-3</v>
      </c>
      <c r="K80" s="120">
        <f t="shared" si="6"/>
        <v>3.4375436665318336E-3</v>
      </c>
      <c r="O80" s="116">
        <f>Amnt_Deposited!B75</f>
        <v>2061</v>
      </c>
      <c r="P80" s="119">
        <f>Amnt_Deposited!E75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0.8</v>
      </c>
      <c r="F81" s="87">
        <f t="shared" si="0"/>
        <v>0</v>
      </c>
      <c r="G81" s="87">
        <f t="shared" si="1"/>
        <v>0</v>
      </c>
      <c r="H81" s="87">
        <f t="shared" si="2"/>
        <v>0</v>
      </c>
      <c r="I81" s="87">
        <f t="shared" si="3"/>
        <v>2.3475920567935297E-2</v>
      </c>
      <c r="J81" s="87">
        <f t="shared" si="4"/>
        <v>4.3502019704499606E-3</v>
      </c>
      <c r="K81" s="120">
        <f t="shared" si="6"/>
        <v>2.9001346469666404E-3</v>
      </c>
      <c r="O81" s="116">
        <f>Amnt_Deposited!B76</f>
        <v>2062</v>
      </c>
      <c r="P81" s="119">
        <f>Amnt_Deposited!E76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0.8</v>
      </c>
      <c r="F82" s="87">
        <f t="shared" si="0"/>
        <v>0</v>
      </c>
      <c r="G82" s="87">
        <f t="shared" si="1"/>
        <v>0</v>
      </c>
      <c r="H82" s="87">
        <f t="shared" si="2"/>
        <v>0</v>
      </c>
      <c r="I82" s="87">
        <f t="shared" si="3"/>
        <v>1.9805808220378404E-2</v>
      </c>
      <c r="J82" s="87">
        <f t="shared" si="4"/>
        <v>3.6701123475568927E-3</v>
      </c>
      <c r="K82" s="120">
        <f t="shared" si="6"/>
        <v>2.4467415650379284E-3</v>
      </c>
      <c r="O82" s="116">
        <f>Amnt_Deposited!B77</f>
        <v>2063</v>
      </c>
      <c r="P82" s="119">
        <f>Amnt_Deposited!E77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0.8</v>
      </c>
      <c r="F83" s="87">
        <f t="shared" ref="F83:F99" si="12">C83*D83*$K$6*DOCF*E83</f>
        <v>0</v>
      </c>
      <c r="G83" s="87">
        <f t="shared" ref="G83:G99" si="13">F83*$K$12</f>
        <v>0</v>
      </c>
      <c r="H83" s="87">
        <f t="shared" ref="H83:H99" si="14">F83*(1-$K$12)</f>
        <v>0</v>
      </c>
      <c r="I83" s="87">
        <f t="shared" ref="I83:I99" si="15">G83+I82*$K$10</f>
        <v>1.6709463559788695E-2</v>
      </c>
      <c r="J83" s="87">
        <f t="shared" ref="J83:J99" si="16">I82*(1-$K$10)+H83</f>
        <v>3.0963446605897092E-3</v>
      </c>
      <c r="K83" s="120">
        <f t="shared" si="6"/>
        <v>2.0642297737264725E-3</v>
      </c>
      <c r="O83" s="116">
        <f>Amnt_Deposited!B78</f>
        <v>2064</v>
      </c>
      <c r="P83" s="119">
        <f>Amnt_Deposited!E78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0.8</v>
      </c>
      <c r="F84" s="87">
        <f t="shared" si="12"/>
        <v>0</v>
      </c>
      <c r="G84" s="87">
        <f t="shared" si="13"/>
        <v>0</v>
      </c>
      <c r="H84" s="87">
        <f t="shared" si="14"/>
        <v>0</v>
      </c>
      <c r="I84" s="87">
        <f t="shared" si="15"/>
        <v>1.4097186509593086E-2</v>
      </c>
      <c r="J84" s="87">
        <f t="shared" si="16"/>
        <v>2.612277050195609E-3</v>
      </c>
      <c r="K84" s="120">
        <f t="shared" si="6"/>
        <v>1.7415180334637392E-3</v>
      </c>
      <c r="O84" s="116">
        <f>Amnt_Deposited!B79</f>
        <v>2065</v>
      </c>
      <c r="P84" s="119">
        <f>Amnt_Deposited!E79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0.8</v>
      </c>
      <c r="F85" s="87">
        <f t="shared" si="12"/>
        <v>0</v>
      </c>
      <c r="G85" s="87">
        <f t="shared" si="13"/>
        <v>0</v>
      </c>
      <c r="H85" s="87">
        <f t="shared" si="14"/>
        <v>0</v>
      </c>
      <c r="I85" s="87">
        <f t="shared" si="15"/>
        <v>1.1893300271140866E-2</v>
      </c>
      <c r="J85" s="87">
        <f t="shared" si="16"/>
        <v>2.2038862384522206E-3</v>
      </c>
      <c r="K85" s="120">
        <f t="shared" ref="K85:K99" si="18">J85*CH4_fraction*conv</f>
        <v>1.4692574923014803E-3</v>
      </c>
      <c r="O85" s="116">
        <f>Amnt_Deposited!B80</f>
        <v>2066</v>
      </c>
      <c r="P85" s="119">
        <f>Amnt_Deposited!E80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0.8</v>
      </c>
      <c r="F86" s="87">
        <f t="shared" si="12"/>
        <v>0</v>
      </c>
      <c r="G86" s="87">
        <f t="shared" si="13"/>
        <v>0</v>
      </c>
      <c r="H86" s="87">
        <f t="shared" si="14"/>
        <v>0</v>
      </c>
      <c r="I86" s="87">
        <f t="shared" si="15"/>
        <v>1.0033958991977779E-2</v>
      </c>
      <c r="J86" s="87">
        <f t="shared" si="16"/>
        <v>1.8593412791630866E-3</v>
      </c>
      <c r="K86" s="120">
        <f t="shared" si="18"/>
        <v>1.2395608527753909E-3</v>
      </c>
      <c r="O86" s="116">
        <f>Amnt_Deposited!B81</f>
        <v>2067</v>
      </c>
      <c r="P86" s="119">
        <f>Amnt_Deposited!E81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0.8</v>
      </c>
      <c r="F87" s="87">
        <f t="shared" si="12"/>
        <v>0</v>
      </c>
      <c r="G87" s="87">
        <f t="shared" si="13"/>
        <v>0</v>
      </c>
      <c r="H87" s="87">
        <f t="shared" si="14"/>
        <v>0</v>
      </c>
      <c r="I87" s="87">
        <f t="shared" si="15"/>
        <v>8.4652981727025671E-3</v>
      </c>
      <c r="J87" s="87">
        <f t="shared" si="16"/>
        <v>1.568660819275211E-3</v>
      </c>
      <c r="K87" s="120">
        <f t="shared" si="18"/>
        <v>1.0457738795168073E-3</v>
      </c>
      <c r="O87" s="116">
        <f>Amnt_Deposited!B82</f>
        <v>2068</v>
      </c>
      <c r="P87" s="119">
        <f>Amnt_Deposited!E82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0.8</v>
      </c>
      <c r="F88" s="87">
        <f t="shared" si="12"/>
        <v>0</v>
      </c>
      <c r="G88" s="87">
        <f t="shared" si="13"/>
        <v>0</v>
      </c>
      <c r="H88" s="87">
        <f t="shared" si="14"/>
        <v>0</v>
      </c>
      <c r="I88" s="87">
        <f t="shared" si="15"/>
        <v>7.141874230306813E-3</v>
      </c>
      <c r="J88" s="87">
        <f t="shared" si="16"/>
        <v>1.3234239423957537E-3</v>
      </c>
      <c r="K88" s="120">
        <f t="shared" si="18"/>
        <v>8.8228262826383578E-4</v>
      </c>
      <c r="O88" s="116">
        <f>Amnt_Deposited!B83</f>
        <v>2069</v>
      </c>
      <c r="P88" s="119">
        <f>Amnt_Deposited!E83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0.8</v>
      </c>
      <c r="F89" s="87">
        <f t="shared" si="12"/>
        <v>0</v>
      </c>
      <c r="G89" s="87">
        <f t="shared" si="13"/>
        <v>0</v>
      </c>
      <c r="H89" s="87">
        <f t="shared" si="14"/>
        <v>0</v>
      </c>
      <c r="I89" s="87">
        <f t="shared" si="15"/>
        <v>6.0253480126662368E-3</v>
      </c>
      <c r="J89" s="87">
        <f t="shared" si="16"/>
        <v>1.1165262176405766E-3</v>
      </c>
      <c r="K89" s="120">
        <f t="shared" si="18"/>
        <v>7.4435081176038435E-4</v>
      </c>
      <c r="O89" s="116">
        <f>Amnt_Deposited!B84</f>
        <v>2070</v>
      </c>
      <c r="P89" s="119">
        <f>Amnt_Deposited!E84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0.8</v>
      </c>
      <c r="F90" s="87">
        <f t="shared" si="12"/>
        <v>0</v>
      </c>
      <c r="G90" s="87">
        <f t="shared" si="13"/>
        <v>0</v>
      </c>
      <c r="H90" s="87">
        <f t="shared" si="14"/>
        <v>0</v>
      </c>
      <c r="I90" s="87">
        <f t="shared" si="15"/>
        <v>5.0833741260354458E-3</v>
      </c>
      <c r="J90" s="87">
        <f t="shared" si="16"/>
        <v>9.4197388663079106E-4</v>
      </c>
      <c r="K90" s="120">
        <f t="shared" si="18"/>
        <v>6.2798259108719397E-4</v>
      </c>
      <c r="O90" s="116">
        <f>Amnt_Deposited!B85</f>
        <v>2071</v>
      </c>
      <c r="P90" s="119">
        <f>Amnt_Deposited!E85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0.8</v>
      </c>
      <c r="F91" s="87">
        <f t="shared" si="12"/>
        <v>0</v>
      </c>
      <c r="G91" s="87">
        <f t="shared" si="13"/>
        <v>0</v>
      </c>
      <c r="H91" s="87">
        <f t="shared" si="14"/>
        <v>0</v>
      </c>
      <c r="I91" s="87">
        <f t="shared" si="15"/>
        <v>4.2886638997324967E-3</v>
      </c>
      <c r="J91" s="87">
        <f t="shared" si="16"/>
        <v>7.9471022630294916E-4</v>
      </c>
      <c r="K91" s="120">
        <f t="shared" si="18"/>
        <v>5.298068175352994E-4</v>
      </c>
      <c r="O91" s="116">
        <f>Amnt_Deposited!B86</f>
        <v>2072</v>
      </c>
      <c r="P91" s="119">
        <f>Amnt_Deposited!E86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0.8</v>
      </c>
      <c r="F92" s="87">
        <f t="shared" si="12"/>
        <v>0</v>
      </c>
      <c r="G92" s="87">
        <f t="shared" si="13"/>
        <v>0</v>
      </c>
      <c r="H92" s="87">
        <f t="shared" si="14"/>
        <v>0</v>
      </c>
      <c r="I92" s="87">
        <f t="shared" si="15"/>
        <v>3.6181948424113485E-3</v>
      </c>
      <c r="J92" s="87">
        <f t="shared" si="16"/>
        <v>6.7046905732114819E-4</v>
      </c>
      <c r="K92" s="120">
        <f t="shared" si="18"/>
        <v>4.4697937154743211E-4</v>
      </c>
      <c r="O92" s="116">
        <f>Amnt_Deposited!B87</f>
        <v>2073</v>
      </c>
      <c r="P92" s="119">
        <f>Amnt_Deposited!E87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0.8</v>
      </c>
      <c r="F93" s="87">
        <f t="shared" si="12"/>
        <v>0</v>
      </c>
      <c r="G93" s="87">
        <f t="shared" si="13"/>
        <v>0</v>
      </c>
      <c r="H93" s="87">
        <f t="shared" si="14"/>
        <v>0</v>
      </c>
      <c r="I93" s="87">
        <f t="shared" si="15"/>
        <v>3.0525436881329517E-3</v>
      </c>
      <c r="J93" s="87">
        <f t="shared" si="16"/>
        <v>5.6565115427839672E-4</v>
      </c>
      <c r="K93" s="120">
        <f t="shared" si="18"/>
        <v>3.7710076951893111E-4</v>
      </c>
      <c r="O93" s="116">
        <f>Amnt_Deposited!B88</f>
        <v>2074</v>
      </c>
      <c r="P93" s="119">
        <f>Amnt_Deposited!E88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0.8</v>
      </c>
      <c r="F94" s="87">
        <f t="shared" si="12"/>
        <v>0</v>
      </c>
      <c r="G94" s="87">
        <f t="shared" si="13"/>
        <v>0</v>
      </c>
      <c r="H94" s="87">
        <f t="shared" si="14"/>
        <v>0</v>
      </c>
      <c r="I94" s="87">
        <f t="shared" si="15"/>
        <v>2.5753237108011354E-3</v>
      </c>
      <c r="J94" s="87">
        <f t="shared" si="16"/>
        <v>4.7721997733181631E-4</v>
      </c>
      <c r="K94" s="120">
        <f t="shared" si="18"/>
        <v>3.181466515545442E-4</v>
      </c>
      <c r="O94" s="116">
        <f>Amnt_Deposited!B89</f>
        <v>2075</v>
      </c>
      <c r="P94" s="119">
        <f>Amnt_Deposited!E89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0.8</v>
      </c>
      <c r="F95" s="87">
        <f t="shared" si="12"/>
        <v>0</v>
      </c>
      <c r="G95" s="87">
        <f t="shared" si="13"/>
        <v>0</v>
      </c>
      <c r="H95" s="87">
        <f t="shared" si="14"/>
        <v>0</v>
      </c>
      <c r="I95" s="87">
        <f t="shared" si="15"/>
        <v>2.1727100061493584E-3</v>
      </c>
      <c r="J95" s="87">
        <f t="shared" si="16"/>
        <v>4.0261370465177721E-4</v>
      </c>
      <c r="K95" s="120">
        <f t="shared" si="18"/>
        <v>2.6840913643451814E-4</v>
      </c>
      <c r="O95" s="116">
        <f>Amnt_Deposited!B90</f>
        <v>2076</v>
      </c>
      <c r="P95" s="119">
        <f>Amnt_Deposited!E90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0.8</v>
      </c>
      <c r="F96" s="87">
        <f t="shared" si="12"/>
        <v>0</v>
      </c>
      <c r="G96" s="87">
        <f t="shared" si="13"/>
        <v>0</v>
      </c>
      <c r="H96" s="87">
        <f t="shared" si="14"/>
        <v>0</v>
      </c>
      <c r="I96" s="87">
        <f t="shared" si="15"/>
        <v>1.8330389888551262E-3</v>
      </c>
      <c r="J96" s="87">
        <f t="shared" si="16"/>
        <v>3.3967101729423223E-4</v>
      </c>
      <c r="K96" s="120">
        <f t="shared" si="18"/>
        <v>2.2644734486282147E-4</v>
      </c>
      <c r="O96" s="116">
        <f>Amnt_Deposited!B91</f>
        <v>2077</v>
      </c>
      <c r="P96" s="119">
        <f>Amnt_Deposited!E91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0.8</v>
      </c>
      <c r="F97" s="87">
        <f t="shared" si="12"/>
        <v>0</v>
      </c>
      <c r="G97" s="87">
        <f t="shared" si="13"/>
        <v>0</v>
      </c>
      <c r="H97" s="87">
        <f t="shared" si="14"/>
        <v>0</v>
      </c>
      <c r="I97" s="87">
        <f t="shared" si="15"/>
        <v>1.5464705023464807E-3</v>
      </c>
      <c r="J97" s="87">
        <f t="shared" si="16"/>
        <v>2.865684865086455E-4</v>
      </c>
      <c r="K97" s="120">
        <f t="shared" si="18"/>
        <v>1.9104565767243033E-4</v>
      </c>
      <c r="O97" s="116">
        <f>Amnt_Deposited!B92</f>
        <v>2078</v>
      </c>
      <c r="P97" s="119">
        <f>Amnt_Deposited!E92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0.8</v>
      </c>
      <c r="F98" s="87">
        <f t="shared" si="12"/>
        <v>0</v>
      </c>
      <c r="G98" s="87">
        <f t="shared" si="13"/>
        <v>0</v>
      </c>
      <c r="H98" s="87">
        <f t="shared" si="14"/>
        <v>0</v>
      </c>
      <c r="I98" s="87">
        <f t="shared" si="15"/>
        <v>1.304702752733861E-3</v>
      </c>
      <c r="J98" s="87">
        <f t="shared" si="16"/>
        <v>2.4176774961261969E-4</v>
      </c>
      <c r="K98" s="120">
        <f t="shared" si="18"/>
        <v>1.6117849974174646E-4</v>
      </c>
      <c r="O98" s="116">
        <f>Amnt_Deposited!B93</f>
        <v>2079</v>
      </c>
      <c r="P98" s="119">
        <f>Amnt_Deposited!E93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0.8</v>
      </c>
      <c r="F99" s="88">
        <f t="shared" si="12"/>
        <v>0</v>
      </c>
      <c r="G99" s="88">
        <f t="shared" si="13"/>
        <v>0</v>
      </c>
      <c r="H99" s="88">
        <f t="shared" si="14"/>
        <v>0</v>
      </c>
      <c r="I99" s="88">
        <f t="shared" si="15"/>
        <v>1.1007318085980097E-3</v>
      </c>
      <c r="J99" s="88">
        <f t="shared" si="16"/>
        <v>2.0397094413585119E-4</v>
      </c>
      <c r="K99" s="122">
        <f t="shared" si="18"/>
        <v>1.3598062942390079E-4</v>
      </c>
      <c r="O99" s="117">
        <f>Amnt_Deposited!B94</f>
        <v>2080</v>
      </c>
      <c r="P99" s="119">
        <f>Amnt_Deposited!E94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0.49</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0.8</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0.8</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0.8</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0.8</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0.8</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0.8</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0.8</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0.8</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0.8</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0.8</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0.8</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0.8</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0.8</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0.8</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0.8</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0.8</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0.8</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0.8</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0.8</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0.8</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0.8</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0.8</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0.8</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0.8</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0.8</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0.8</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0.8</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0.8</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0.8</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0.8</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0.8</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0.8</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0.8</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0.8</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0.8</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0.8</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0.8</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0.8</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0.8</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0.8</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0.8</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0.8</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0.8</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0.8</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0.8</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0.8</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0.8</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0.8</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0.8</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0.8</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0.8</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0.8</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0.8</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0.8</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0.8</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0.8</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0.8</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0.8</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0.8</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0.8</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0.8</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0.8</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0.8</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0.8</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0.8</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0.8</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0.8</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0.8</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0.8</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0.8</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0.8</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0.8</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0.8</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0.8</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0.8</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0.8</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0.8</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0.8</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0.8</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0.8</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0.8</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0.8</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0.8</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0.8</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0.8</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0.8</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0.8</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0.8</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0.8</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0.8</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0.8</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0.8</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0.8</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0.8</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0.8</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0.8</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0.8</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0.8</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0.5</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3.1824102740760001</v>
      </c>
      <c r="Q19" s="318">
        <f>MCF!R18</f>
        <v>0.8</v>
      </c>
      <c r="R19" s="150">
        <f t="shared" ref="R19:R82" si="5">P19*$W$6*DOCF*Q19</f>
        <v>0.54737456714107202</v>
      </c>
      <c r="S19" s="85">
        <f>R19*$W$12</f>
        <v>0.54737456714107202</v>
      </c>
      <c r="T19" s="85">
        <f>R19*(1-$W$12)</f>
        <v>0</v>
      </c>
      <c r="U19" s="85">
        <f>S19+U18*$W$10</f>
        <v>0.54737456714107202</v>
      </c>
      <c r="V19" s="85">
        <f>U18*(1-$W$10)+T19</f>
        <v>0</v>
      </c>
      <c r="W19" s="86">
        <f>V19*CH4_fraction*conv</f>
        <v>0</v>
      </c>
    </row>
    <row r="20" spans="2:23">
      <c r="B20" s="116">
        <f>Amnt_Deposited!B15</f>
        <v>2001</v>
      </c>
      <c r="C20" s="119">
        <f>Amnt_Deposited!F15</f>
        <v>0</v>
      </c>
      <c r="D20" s="453">
        <f>Dry_Matter_Content!G7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3.2461291494720004</v>
      </c>
      <c r="Q20" s="319">
        <f>MCF!R19</f>
        <v>0.8</v>
      </c>
      <c r="R20" s="87">
        <f t="shared" si="5"/>
        <v>0.55833421370918401</v>
      </c>
      <c r="S20" s="87">
        <f>R20*$W$12</f>
        <v>0.55833421370918401</v>
      </c>
      <c r="T20" s="87">
        <f>R20*(1-$W$12)</f>
        <v>0</v>
      </c>
      <c r="U20" s="87">
        <f>S20+U19*$W$10</f>
        <v>1.0868820604622442</v>
      </c>
      <c r="V20" s="87">
        <f>U19*(1-$W$10)+T20</f>
        <v>1.8826720388011909E-2</v>
      </c>
      <c r="W20" s="120">
        <f>V20*CH4_fraction*conv</f>
        <v>1.2551146925341271E-2</v>
      </c>
    </row>
    <row r="21" spans="2:23">
      <c r="B21" s="116">
        <f>Amnt_Deposited!B16</f>
        <v>2002</v>
      </c>
      <c r="C21" s="119">
        <f>Amnt_Deposited!F16</f>
        <v>0</v>
      </c>
      <c r="D21" s="453">
        <f>Dry_Matter_Content!G8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3.3201677852640006</v>
      </c>
      <c r="Q21" s="319">
        <f>MCF!R20</f>
        <v>0.8</v>
      </c>
      <c r="R21" s="87">
        <f t="shared" si="5"/>
        <v>0.57106885906540805</v>
      </c>
      <c r="S21" s="87">
        <f t="shared" ref="S21:S84" si="7">R21*$W$12</f>
        <v>0.57106885906540805</v>
      </c>
      <c r="T21" s="87">
        <f t="shared" ref="T21:T84" si="8">R21*(1-$W$12)</f>
        <v>0</v>
      </c>
      <c r="U21" s="87">
        <f t="shared" ref="U21:U84" si="9">S21+U20*$W$10</f>
        <v>1.620568063480935</v>
      </c>
      <c r="V21" s="87">
        <f t="shared" ref="V21:V84" si="10">U20*(1-$W$10)+T21</f>
        <v>3.7382856046717372E-2</v>
      </c>
      <c r="W21" s="120">
        <f t="shared" ref="W21:W84" si="11">V21*CH4_fraction*conv</f>
        <v>2.4921904031144915E-2</v>
      </c>
    </row>
    <row r="22" spans="2:23">
      <c r="B22" s="116">
        <f>Amnt_Deposited!B17</f>
        <v>2003</v>
      </c>
      <c r="C22" s="119">
        <f>Amnt_Deposited!F17</f>
        <v>0</v>
      </c>
      <c r="D22" s="453">
        <f>Dry_Matter_Content!G9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Amnt_Deposited!G17</f>
        <v>3.4265205140759996</v>
      </c>
      <c r="Q22" s="319">
        <f>MCF!R21</f>
        <v>0.8</v>
      </c>
      <c r="R22" s="87">
        <f t="shared" si="5"/>
        <v>0.58936152842107192</v>
      </c>
      <c r="S22" s="87">
        <f t="shared" si="7"/>
        <v>0.58936152842107192</v>
      </c>
      <c r="T22" s="87">
        <f t="shared" si="8"/>
        <v>0</v>
      </c>
      <c r="U22" s="87">
        <f t="shared" si="9"/>
        <v>2.1541908279322985</v>
      </c>
      <c r="V22" s="87">
        <f t="shared" si="10"/>
        <v>5.5738763969708366E-2</v>
      </c>
      <c r="W22" s="120">
        <f t="shared" si="11"/>
        <v>3.7159175979805573E-2</v>
      </c>
    </row>
    <row r="23" spans="2:23">
      <c r="B23" s="116">
        <f>Amnt_Deposited!B18</f>
        <v>2004</v>
      </c>
      <c r="C23" s="119">
        <f>Amnt_Deposited!F18</f>
        <v>0</v>
      </c>
      <c r="D23" s="453">
        <f>Dry_Matter_Content!G10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Amnt_Deposited!G18</f>
        <v>3.4663470997319998</v>
      </c>
      <c r="Q23" s="319">
        <f>MCF!R22</f>
        <v>0.8</v>
      </c>
      <c r="R23" s="87">
        <f t="shared" si="5"/>
        <v>0.59621170115390398</v>
      </c>
      <c r="S23" s="87">
        <f t="shared" si="7"/>
        <v>0.59621170115390398</v>
      </c>
      <c r="T23" s="87">
        <f t="shared" si="8"/>
        <v>0</v>
      </c>
      <c r="U23" s="87">
        <f t="shared" si="9"/>
        <v>2.6763100322577031</v>
      </c>
      <c r="V23" s="87">
        <f t="shared" si="10"/>
        <v>7.4092496828499679E-2</v>
      </c>
      <c r="W23" s="120">
        <f t="shared" si="11"/>
        <v>4.9394997885666453E-2</v>
      </c>
    </row>
    <row r="24" spans="2:23">
      <c r="B24" s="116">
        <f>Amnt_Deposited!B19</f>
        <v>2005</v>
      </c>
      <c r="C24" s="119">
        <f>Amnt_Deposited!F19</f>
        <v>0</v>
      </c>
      <c r="D24" s="453">
        <f>Dry_Matter_Content!G11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Amnt_Deposited!G19</f>
        <v>3.562703514216</v>
      </c>
      <c r="Q24" s="319">
        <f>MCF!R23</f>
        <v>0.8</v>
      </c>
      <c r="R24" s="87">
        <f t="shared" si="5"/>
        <v>0.61278500444515205</v>
      </c>
      <c r="S24" s="87">
        <f t="shared" si="7"/>
        <v>0.61278500444515205</v>
      </c>
      <c r="T24" s="87">
        <f t="shared" si="8"/>
        <v>0</v>
      </c>
      <c r="U24" s="87">
        <f t="shared" si="9"/>
        <v>3.1970444671776526</v>
      </c>
      <c r="V24" s="87">
        <f t="shared" si="10"/>
        <v>9.2050569525202575E-2</v>
      </c>
      <c r="W24" s="120">
        <f t="shared" si="11"/>
        <v>6.1367046350135047E-2</v>
      </c>
    </row>
    <row r="25" spans="2:23">
      <c r="B25" s="116">
        <f>Amnt_Deposited!B20</f>
        <v>2006</v>
      </c>
      <c r="C25" s="119">
        <f>Amnt_Deposited!F20</f>
        <v>0</v>
      </c>
      <c r="D25" s="453">
        <f>Dry_Matter_Content!G12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Amnt_Deposited!G20</f>
        <v>3.6037933703640004</v>
      </c>
      <c r="Q25" s="319">
        <f>MCF!R24</f>
        <v>0.8</v>
      </c>
      <c r="R25" s="87">
        <f t="shared" si="5"/>
        <v>0.61985245970260816</v>
      </c>
      <c r="S25" s="87">
        <f t="shared" si="7"/>
        <v>0.61985245970260816</v>
      </c>
      <c r="T25" s="87">
        <f t="shared" si="8"/>
        <v>0</v>
      </c>
      <c r="U25" s="87">
        <f t="shared" si="9"/>
        <v>3.7069359132256352</v>
      </c>
      <c r="V25" s="87">
        <f t="shared" si="10"/>
        <v>0.10996101365462559</v>
      </c>
      <c r="W25" s="120">
        <f t="shared" si="11"/>
        <v>7.3307342436417053E-2</v>
      </c>
    </row>
    <row r="26" spans="2:23">
      <c r="B26" s="116">
        <f>Amnt_Deposited!B21</f>
        <v>2007</v>
      </c>
      <c r="C26" s="119">
        <f>Amnt_Deposited!F21</f>
        <v>0</v>
      </c>
      <c r="D26" s="453">
        <f>Dry_Matter_Content!G13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Amnt_Deposited!G21</f>
        <v>3.6438030387000007</v>
      </c>
      <c r="Q26" s="319">
        <f>MCF!R25</f>
        <v>0.8</v>
      </c>
      <c r="R26" s="87">
        <f t="shared" si="5"/>
        <v>0.62673412265640016</v>
      </c>
      <c r="S26" s="87">
        <f t="shared" si="7"/>
        <v>0.62673412265640016</v>
      </c>
      <c r="T26" s="87">
        <f t="shared" si="8"/>
        <v>0</v>
      </c>
      <c r="U26" s="87">
        <f t="shared" si="9"/>
        <v>4.2061715181867623</v>
      </c>
      <c r="V26" s="87">
        <f t="shared" si="10"/>
        <v>0.12749851769527346</v>
      </c>
      <c r="W26" s="120">
        <f t="shared" si="11"/>
        <v>8.4999011796848961E-2</v>
      </c>
    </row>
    <row r="27" spans="2:23">
      <c r="B27" s="116">
        <f>Amnt_Deposited!B22</f>
        <v>2008</v>
      </c>
      <c r="C27" s="119">
        <f>Amnt_Deposited!F22</f>
        <v>0</v>
      </c>
      <c r="D27" s="453">
        <f>Dry_Matter_Content!G14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Amnt_Deposited!G22</f>
        <v>3.6823358400839998</v>
      </c>
      <c r="Q27" s="319">
        <f>MCF!R26</f>
        <v>0.8</v>
      </c>
      <c r="R27" s="87">
        <f t="shared" si="5"/>
        <v>0.63336176449444803</v>
      </c>
      <c r="S27" s="87">
        <f t="shared" si="7"/>
        <v>0.63336176449444803</v>
      </c>
      <c r="T27" s="87">
        <f t="shared" si="8"/>
        <v>0</v>
      </c>
      <c r="U27" s="87">
        <f t="shared" si="9"/>
        <v>4.6948637641638973</v>
      </c>
      <c r="V27" s="87">
        <f t="shared" si="10"/>
        <v>0.14466951851731341</v>
      </c>
      <c r="W27" s="120">
        <f t="shared" si="11"/>
        <v>9.6446345678208936E-2</v>
      </c>
    </row>
    <row r="28" spans="2:23">
      <c r="B28" s="116">
        <f>Amnt_Deposited!B23</f>
        <v>2009</v>
      </c>
      <c r="C28" s="119">
        <f>Amnt_Deposited!F23</f>
        <v>0</v>
      </c>
      <c r="D28" s="453">
        <f>Dry_Matter_Content!G15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Amnt_Deposited!G23</f>
        <v>3.7188974512800002</v>
      </c>
      <c r="Q28" s="319">
        <f>MCF!R27</f>
        <v>0.8</v>
      </c>
      <c r="R28" s="87">
        <f t="shared" si="5"/>
        <v>0.63965036162016009</v>
      </c>
      <c r="S28" s="87">
        <f t="shared" si="7"/>
        <v>0.63965036162016009</v>
      </c>
      <c r="T28" s="87">
        <f t="shared" si="8"/>
        <v>0</v>
      </c>
      <c r="U28" s="87">
        <f t="shared" si="9"/>
        <v>5.1730362408882051</v>
      </c>
      <c r="V28" s="87">
        <f t="shared" si="10"/>
        <v>0.16147788489585191</v>
      </c>
      <c r="W28" s="120">
        <f t="shared" si="11"/>
        <v>0.10765192326390127</v>
      </c>
    </row>
    <row r="29" spans="2:23">
      <c r="B29" s="116">
        <f>Amnt_Deposited!B24</f>
        <v>2010</v>
      </c>
      <c r="C29" s="119">
        <f>Amnt_Deposited!F24</f>
        <v>0</v>
      </c>
      <c r="D29" s="453">
        <f>Dry_Matter_Content!G16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Amnt_Deposited!G24</f>
        <v>4.4397549900000008</v>
      </c>
      <c r="Q29" s="319">
        <f>MCF!R28</f>
        <v>0.8</v>
      </c>
      <c r="R29" s="87">
        <f t="shared" si="5"/>
        <v>0.76363785828000019</v>
      </c>
      <c r="S29" s="87">
        <f t="shared" si="7"/>
        <v>0.76363785828000019</v>
      </c>
      <c r="T29" s="87">
        <f t="shared" si="8"/>
        <v>0</v>
      </c>
      <c r="U29" s="87">
        <f t="shared" si="9"/>
        <v>5.7587496709783323</v>
      </c>
      <c r="V29" s="87">
        <f t="shared" si="10"/>
        <v>0.17792442818987297</v>
      </c>
      <c r="W29" s="120">
        <f t="shared" si="11"/>
        <v>0.11861628545991532</v>
      </c>
    </row>
    <row r="30" spans="2:23">
      <c r="B30" s="116">
        <f>Amnt_Deposited!B25</f>
        <v>2011</v>
      </c>
      <c r="C30" s="119">
        <f>Amnt_Deposited!F25</f>
        <v>0</v>
      </c>
      <c r="D30" s="453">
        <f>Dry_Matter_Content!G17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Amnt_Deposited!G25</f>
        <v>4.6179371569320002</v>
      </c>
      <c r="Q30" s="319">
        <f>MCF!R29</f>
        <v>0.8</v>
      </c>
      <c r="R30" s="87">
        <f t="shared" si="5"/>
        <v>0.7942851909923041</v>
      </c>
      <c r="S30" s="87">
        <f t="shared" si="7"/>
        <v>0.7942851909923041</v>
      </c>
      <c r="T30" s="87">
        <f t="shared" si="8"/>
        <v>0</v>
      </c>
      <c r="U30" s="87">
        <f t="shared" si="9"/>
        <v>6.3549650641604609</v>
      </c>
      <c r="V30" s="87">
        <f t="shared" si="10"/>
        <v>0.19806979781017583</v>
      </c>
      <c r="W30" s="120">
        <f t="shared" si="11"/>
        <v>0.13204653187345056</v>
      </c>
    </row>
    <row r="31" spans="2:23">
      <c r="B31" s="116">
        <f>Amnt_Deposited!B26</f>
        <v>2012</v>
      </c>
      <c r="C31" s="119">
        <f>Amnt_Deposited!F26</f>
        <v>0</v>
      </c>
      <c r="D31" s="453">
        <f>Dry_Matter_Content!G18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Amnt_Deposited!G26</f>
        <v>4.6680468864480007</v>
      </c>
      <c r="Q31" s="319">
        <f>MCF!R30</f>
        <v>0.8</v>
      </c>
      <c r="R31" s="87">
        <f t="shared" si="5"/>
        <v>0.80290406446905616</v>
      </c>
      <c r="S31" s="87">
        <f t="shared" si="7"/>
        <v>0.80290406446905616</v>
      </c>
      <c r="T31" s="87">
        <f t="shared" si="8"/>
        <v>0</v>
      </c>
      <c r="U31" s="87">
        <f t="shared" si="9"/>
        <v>6.9392927505500097</v>
      </c>
      <c r="V31" s="87">
        <f t="shared" si="10"/>
        <v>0.2185763780795065</v>
      </c>
      <c r="W31" s="120">
        <f t="shared" si="11"/>
        <v>0.14571758538633767</v>
      </c>
    </row>
    <row r="32" spans="2:23">
      <c r="B32" s="116">
        <f>Amnt_Deposited!B27</f>
        <v>2013</v>
      </c>
      <c r="C32" s="119">
        <f>Amnt_Deposited!F27</f>
        <v>0</v>
      </c>
      <c r="D32" s="453">
        <f>Dry_Matter_Content!G19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Amnt_Deposited!G27</f>
        <v>4.76634397734</v>
      </c>
      <c r="Q32" s="319">
        <f>MCF!R31</f>
        <v>0.8</v>
      </c>
      <c r="R32" s="87">
        <f t="shared" si="5"/>
        <v>0.81981116410248012</v>
      </c>
      <c r="S32" s="87">
        <f t="shared" si="7"/>
        <v>0.81981116410248012</v>
      </c>
      <c r="T32" s="87">
        <f t="shared" si="8"/>
        <v>0</v>
      </c>
      <c r="U32" s="87">
        <f t="shared" si="9"/>
        <v>7.5204298290304354</v>
      </c>
      <c r="V32" s="87">
        <f t="shared" si="10"/>
        <v>0.23867408562205428</v>
      </c>
      <c r="W32" s="120">
        <f t="shared" si="11"/>
        <v>0.1591160570813695</v>
      </c>
    </row>
    <row r="33" spans="2:23">
      <c r="B33" s="116">
        <f>Amnt_Deposited!B28</f>
        <v>2014</v>
      </c>
      <c r="C33" s="119">
        <f>Amnt_Deposited!F28</f>
        <v>0</v>
      </c>
      <c r="D33" s="453">
        <f>Dry_Matter_Content!G20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Amnt_Deposited!G28</f>
        <v>4.8639331485360007</v>
      </c>
      <c r="Q33" s="319">
        <f>MCF!R32</f>
        <v>0.8</v>
      </c>
      <c r="R33" s="87">
        <f t="shared" si="5"/>
        <v>0.8365965015481921</v>
      </c>
      <c r="S33" s="87">
        <f t="shared" si="7"/>
        <v>0.8365965015481921</v>
      </c>
      <c r="T33" s="87">
        <f t="shared" si="8"/>
        <v>0</v>
      </c>
      <c r="U33" s="87">
        <f t="shared" si="9"/>
        <v>8.0983642770449453</v>
      </c>
      <c r="V33" s="87">
        <f t="shared" si="10"/>
        <v>0.25866205353368243</v>
      </c>
      <c r="W33" s="120">
        <f t="shared" si="11"/>
        <v>0.17244136902245494</v>
      </c>
    </row>
    <row r="34" spans="2:23">
      <c r="B34" s="116">
        <f>Amnt_Deposited!B29</f>
        <v>2015</v>
      </c>
      <c r="C34" s="119">
        <f>Amnt_Deposited!F29</f>
        <v>0</v>
      </c>
      <c r="D34" s="453">
        <f>Dry_Matter_Content!G21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Amnt_Deposited!G29</f>
        <v>4.9590812173320007</v>
      </c>
      <c r="Q34" s="319">
        <f>MCF!R33</f>
        <v>0.8</v>
      </c>
      <c r="R34" s="87">
        <f t="shared" si="5"/>
        <v>0.85296196938110413</v>
      </c>
      <c r="S34" s="87">
        <f t="shared" si="7"/>
        <v>0.85296196938110413</v>
      </c>
      <c r="T34" s="87">
        <f t="shared" si="8"/>
        <v>0</v>
      </c>
      <c r="U34" s="87">
        <f t="shared" si="9"/>
        <v>8.6727863781224954</v>
      </c>
      <c r="V34" s="87">
        <f t="shared" si="10"/>
        <v>0.27853986830355459</v>
      </c>
      <c r="W34" s="120">
        <f t="shared" si="11"/>
        <v>0.18569324553570304</v>
      </c>
    </row>
    <row r="35" spans="2:23">
      <c r="B35" s="116">
        <f>Amnt_Deposited!B30</f>
        <v>2016</v>
      </c>
      <c r="C35" s="119">
        <f>Amnt_Deposited!F30</f>
        <v>0</v>
      </c>
      <c r="D35" s="453">
        <f>Dry_Matter_Content!G22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Amnt_Deposited!G30</f>
        <v>5.0549311030680011</v>
      </c>
      <c r="Q35" s="319">
        <f>MCF!R34</f>
        <v>0.8</v>
      </c>
      <c r="R35" s="87">
        <f t="shared" si="5"/>
        <v>0.86944814972769624</v>
      </c>
      <c r="S35" s="87">
        <f t="shared" si="7"/>
        <v>0.86944814972769624</v>
      </c>
      <c r="T35" s="87">
        <f t="shared" si="8"/>
        <v>0</v>
      </c>
      <c r="U35" s="87">
        <f t="shared" si="9"/>
        <v>9.2439376504876201</v>
      </c>
      <c r="V35" s="87">
        <f t="shared" si="10"/>
        <v>0.29829687736257104</v>
      </c>
      <c r="W35" s="120">
        <f t="shared" si="11"/>
        <v>0.19886458490838069</v>
      </c>
    </row>
    <row r="36" spans="2:23">
      <c r="B36" s="116">
        <f>Amnt_Deposited!B31</f>
        <v>2017</v>
      </c>
      <c r="C36" s="119">
        <f>Amnt_Deposited!F31</f>
        <v>0</v>
      </c>
      <c r="D36" s="453">
        <f>Dry_Matter_Content!G23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Amnt_Deposited!G31</f>
        <v>5.1745634289360005</v>
      </c>
      <c r="Q36" s="319">
        <f>MCF!R35</f>
        <v>0.8</v>
      </c>
      <c r="R36" s="87">
        <f t="shared" si="5"/>
        <v>0.89002490977699211</v>
      </c>
      <c r="S36" s="87">
        <f t="shared" si="7"/>
        <v>0.89002490977699211</v>
      </c>
      <c r="T36" s="87">
        <f t="shared" si="8"/>
        <v>0</v>
      </c>
      <c r="U36" s="87">
        <f t="shared" si="9"/>
        <v>9.8160211726350806</v>
      </c>
      <c r="V36" s="87">
        <f t="shared" si="10"/>
        <v>0.31794138762953078</v>
      </c>
      <c r="W36" s="120">
        <f t="shared" si="11"/>
        <v>0.21196092508635384</v>
      </c>
    </row>
    <row r="37" spans="2:23">
      <c r="B37" s="116">
        <f>Amnt_Deposited!B32</f>
        <v>2018</v>
      </c>
      <c r="C37" s="119">
        <f>Amnt_Deposited!F32</f>
        <v>0</v>
      </c>
      <c r="D37" s="453">
        <f>Dry_Matter_Content!G24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Amnt_Deposited!G32</f>
        <v>5.303612307312001</v>
      </c>
      <c r="Q37" s="319">
        <f>MCF!R36</f>
        <v>0.8</v>
      </c>
      <c r="R37" s="87">
        <f t="shared" si="5"/>
        <v>0.91222131685766417</v>
      </c>
      <c r="S37" s="87">
        <f t="shared" si="7"/>
        <v>0.91222131685766417</v>
      </c>
      <c r="T37" s="87">
        <f t="shared" si="8"/>
        <v>0</v>
      </c>
      <c r="U37" s="87">
        <f t="shared" si="9"/>
        <v>10.390624527253047</v>
      </c>
      <c r="V37" s="87">
        <f t="shared" si="10"/>
        <v>0.33761796223969792</v>
      </c>
      <c r="W37" s="120">
        <f t="shared" si="11"/>
        <v>0.22507864149313195</v>
      </c>
    </row>
    <row r="38" spans="2:23">
      <c r="B38" s="116">
        <f>Amnt_Deposited!B33</f>
        <v>2019</v>
      </c>
      <c r="C38" s="119">
        <f>Amnt_Deposited!F33</f>
        <v>0</v>
      </c>
      <c r="D38" s="453">
        <f>Dry_Matter_Content!G25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Amnt_Deposited!G33</f>
        <v>5.4326611856880005</v>
      </c>
      <c r="Q38" s="319">
        <f>MCF!R37</f>
        <v>0.8</v>
      </c>
      <c r="R38" s="87">
        <f t="shared" si="5"/>
        <v>0.93441772393833622</v>
      </c>
      <c r="S38" s="87">
        <f t="shared" si="7"/>
        <v>0.93441772393833622</v>
      </c>
      <c r="T38" s="87">
        <f t="shared" si="8"/>
        <v>0</v>
      </c>
      <c r="U38" s="87">
        <f t="shared" si="9"/>
        <v>10.967661045752594</v>
      </c>
      <c r="V38" s="87">
        <f t="shared" si="10"/>
        <v>0.35738120543878882</v>
      </c>
      <c r="W38" s="120">
        <f t="shared" si="11"/>
        <v>0.23825413695919254</v>
      </c>
    </row>
    <row r="39" spans="2:23">
      <c r="B39" s="116">
        <f>Amnt_Deposited!B34</f>
        <v>2020</v>
      </c>
      <c r="C39" s="119">
        <f>Amnt_Deposited!F34</f>
        <v>0</v>
      </c>
      <c r="D39" s="453">
        <f>Dry_Matter_Content!G26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Amnt_Deposited!G34</f>
        <v>5.561710064064</v>
      </c>
      <c r="Q39" s="319">
        <f>MCF!R38</f>
        <v>0.8</v>
      </c>
      <c r="R39" s="87">
        <f t="shared" si="5"/>
        <v>0.95661413101900805</v>
      </c>
      <c r="S39" s="87">
        <f t="shared" si="7"/>
        <v>0.95661413101900805</v>
      </c>
      <c r="T39" s="87">
        <f t="shared" si="8"/>
        <v>0</v>
      </c>
      <c r="U39" s="87">
        <f t="shared" si="9"/>
        <v>11.547047040474837</v>
      </c>
      <c r="V39" s="87">
        <f t="shared" si="10"/>
        <v>0.37722813629676377</v>
      </c>
      <c r="W39" s="120">
        <f t="shared" si="11"/>
        <v>0.25148542419784248</v>
      </c>
    </row>
    <row r="40" spans="2:23">
      <c r="B40" s="116">
        <f>Amnt_Deposited!B35</f>
        <v>2021</v>
      </c>
      <c r="C40" s="119">
        <f>Amnt_Deposited!F35</f>
        <v>0</v>
      </c>
      <c r="D40" s="453">
        <f>Dry_Matter_Content!G27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Amnt_Deposited!G35</f>
        <v>5.6907589424400005</v>
      </c>
      <c r="Q40" s="319">
        <f>MCF!R39</f>
        <v>0.8</v>
      </c>
      <c r="R40" s="87">
        <f t="shared" si="5"/>
        <v>0.97881053809968011</v>
      </c>
      <c r="S40" s="87">
        <f t="shared" si="7"/>
        <v>0.97881053809968011</v>
      </c>
      <c r="T40" s="87">
        <f t="shared" si="8"/>
        <v>0</v>
      </c>
      <c r="U40" s="87">
        <f t="shared" si="9"/>
        <v>12.128701702163086</v>
      </c>
      <c r="V40" s="87">
        <f t="shared" si="10"/>
        <v>0.39715587641143113</v>
      </c>
      <c r="W40" s="120">
        <f t="shared" si="11"/>
        <v>0.2647705842742874</v>
      </c>
    </row>
    <row r="41" spans="2:23">
      <c r="B41" s="116">
        <f>Amnt_Deposited!B36</f>
        <v>2022</v>
      </c>
      <c r="C41" s="119">
        <f>Amnt_Deposited!F36</f>
        <v>0</v>
      </c>
      <c r="D41" s="453">
        <f>Dry_Matter_Content!G28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Amnt_Deposited!G36</f>
        <v>5.8198078208160009</v>
      </c>
      <c r="Q41" s="319">
        <f>MCF!R40</f>
        <v>0.8</v>
      </c>
      <c r="R41" s="87">
        <f t="shared" si="5"/>
        <v>1.0010069451803523</v>
      </c>
      <c r="S41" s="87">
        <f t="shared" si="7"/>
        <v>1.0010069451803523</v>
      </c>
      <c r="T41" s="87">
        <f t="shared" si="8"/>
        <v>0</v>
      </c>
      <c r="U41" s="87">
        <f t="shared" si="9"/>
        <v>12.712547000961393</v>
      </c>
      <c r="V41" s="87">
        <f t="shared" si="10"/>
        <v>0.41716164638204445</v>
      </c>
      <c r="W41" s="120">
        <f t="shared" si="11"/>
        <v>0.2781077642546963</v>
      </c>
    </row>
    <row r="42" spans="2:23">
      <c r="B42" s="116">
        <f>Amnt_Deposited!B37</f>
        <v>2023</v>
      </c>
      <c r="C42" s="119">
        <f>Amnt_Deposited!F37</f>
        <v>0</v>
      </c>
      <c r="D42" s="453">
        <f>Dry_Matter_Content!G29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Amnt_Deposited!G37</f>
        <v>5.9488566991920004</v>
      </c>
      <c r="Q42" s="319">
        <f>MCF!R41</f>
        <v>0.8</v>
      </c>
      <c r="R42" s="87">
        <f t="shared" si="5"/>
        <v>1.0232033522610242</v>
      </c>
      <c r="S42" s="87">
        <f t="shared" si="7"/>
        <v>1.0232033522610242</v>
      </c>
      <c r="T42" s="87">
        <f t="shared" si="8"/>
        <v>0</v>
      </c>
      <c r="U42" s="87">
        <f t="shared" si="9"/>
        <v>13.298507590818229</v>
      </c>
      <c r="V42" s="87">
        <f t="shared" si="10"/>
        <v>0.43724276240418897</v>
      </c>
      <c r="W42" s="120">
        <f t="shared" si="11"/>
        <v>0.29149517493612598</v>
      </c>
    </row>
    <row r="43" spans="2:23">
      <c r="B43" s="116">
        <f>Amnt_Deposited!B38</f>
        <v>2024</v>
      </c>
      <c r="C43" s="119">
        <f>Amnt_Deposited!F38</f>
        <v>0</v>
      </c>
      <c r="D43" s="453">
        <f>Dry_Matter_Content!G30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Amnt_Deposited!G38</f>
        <v>6.0779055775680009</v>
      </c>
      <c r="Q43" s="319">
        <f>MCF!R42</f>
        <v>0.8</v>
      </c>
      <c r="R43" s="87">
        <f t="shared" si="5"/>
        <v>1.0453997593416962</v>
      </c>
      <c r="S43" s="87">
        <f t="shared" si="7"/>
        <v>1.0453997593416962</v>
      </c>
      <c r="T43" s="87">
        <f t="shared" si="8"/>
        <v>0</v>
      </c>
      <c r="U43" s="87">
        <f t="shared" si="9"/>
        <v>13.88651071717814</v>
      </c>
      <c r="V43" s="87">
        <f t="shared" si="10"/>
        <v>0.45739663298178562</v>
      </c>
      <c r="W43" s="120">
        <f t="shared" si="11"/>
        <v>0.30493108865452373</v>
      </c>
    </row>
    <row r="44" spans="2:23">
      <c r="B44" s="116">
        <f>Amnt_Deposited!B39</f>
        <v>2025</v>
      </c>
      <c r="C44" s="119">
        <f>Amnt_Deposited!F39</f>
        <v>0</v>
      </c>
      <c r="D44" s="453">
        <f>Dry_Matter_Content!G31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Amnt_Deposited!G39</f>
        <v>6.2069544559440004</v>
      </c>
      <c r="Q44" s="319">
        <f>MCF!R43</f>
        <v>0.8</v>
      </c>
      <c r="R44" s="87">
        <f t="shared" si="5"/>
        <v>1.0675961664223681</v>
      </c>
      <c r="S44" s="87">
        <f t="shared" si="7"/>
        <v>1.0675961664223681</v>
      </c>
      <c r="T44" s="87">
        <f t="shared" si="8"/>
        <v>0</v>
      </c>
      <c r="U44" s="87">
        <f t="shared" si="9"/>
        <v>14.476486127848323</v>
      </c>
      <c r="V44" s="87">
        <f t="shared" si="10"/>
        <v>0.47762075575218438</v>
      </c>
      <c r="W44" s="120">
        <f t="shared" si="11"/>
        <v>0.31841383716812288</v>
      </c>
    </row>
    <row r="45" spans="2:23">
      <c r="B45" s="116">
        <f>Amnt_Deposited!B40</f>
        <v>2026</v>
      </c>
      <c r="C45" s="119">
        <f>Amnt_Deposited!F40</f>
        <v>0</v>
      </c>
      <c r="D45" s="453">
        <f>Dry_Matter_Content!G32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Amnt_Deposited!G40</f>
        <v>6.3360033343200008</v>
      </c>
      <c r="Q45" s="319">
        <f>MCF!R44</f>
        <v>0.8</v>
      </c>
      <c r="R45" s="87">
        <f t="shared" si="5"/>
        <v>1.0897925735030403</v>
      </c>
      <c r="S45" s="87">
        <f t="shared" si="7"/>
        <v>1.0897925735030403</v>
      </c>
      <c r="T45" s="87">
        <f t="shared" si="8"/>
        <v>0</v>
      </c>
      <c r="U45" s="87">
        <f t="shared" si="9"/>
        <v>15.068365986930907</v>
      </c>
      <c r="V45" s="87">
        <f t="shared" si="10"/>
        <v>0.49791271442045659</v>
      </c>
      <c r="W45" s="120">
        <f t="shared" si="11"/>
        <v>0.33194180961363773</v>
      </c>
    </row>
    <row r="46" spans="2:23">
      <c r="B46" s="116">
        <f>Amnt_Deposited!B41</f>
        <v>2027</v>
      </c>
      <c r="C46" s="119">
        <f>Amnt_Deposited!F41</f>
        <v>0</v>
      </c>
      <c r="D46" s="453">
        <f>Dry_Matter_Content!G33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Amnt_Deposited!G41</f>
        <v>6.4650522126960004</v>
      </c>
      <c r="Q46" s="319">
        <f>MCF!R45</f>
        <v>0.8</v>
      </c>
      <c r="R46" s="87">
        <f t="shared" si="5"/>
        <v>1.111988980583712</v>
      </c>
      <c r="S46" s="87">
        <f t="shared" si="7"/>
        <v>1.111988980583712</v>
      </c>
      <c r="T46" s="87">
        <f t="shared" si="8"/>
        <v>0</v>
      </c>
      <c r="U46" s="87">
        <f t="shared" si="9"/>
        <v>15.662084791715486</v>
      </c>
      <c r="V46" s="87">
        <f t="shared" si="10"/>
        <v>0.51827017579913226</v>
      </c>
      <c r="W46" s="120">
        <f t="shared" si="11"/>
        <v>0.34551345053275484</v>
      </c>
    </row>
    <row r="47" spans="2:23">
      <c r="B47" s="116">
        <f>Amnt_Deposited!B42</f>
        <v>2028</v>
      </c>
      <c r="C47" s="119">
        <f>Amnt_Deposited!F42</f>
        <v>0</v>
      </c>
      <c r="D47" s="453">
        <f>Dry_Matter_Content!G34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Amnt_Deposited!G42</f>
        <v>6.5941010910720017</v>
      </c>
      <c r="Q47" s="319">
        <f>MCF!R46</f>
        <v>0.8</v>
      </c>
      <c r="R47" s="87">
        <f t="shared" si="5"/>
        <v>1.1341853876643844</v>
      </c>
      <c r="S47" s="87">
        <f t="shared" si="7"/>
        <v>1.1341853876643844</v>
      </c>
      <c r="T47" s="87">
        <f t="shared" si="8"/>
        <v>0</v>
      </c>
      <c r="U47" s="87">
        <f t="shared" si="9"/>
        <v>16.257579292430115</v>
      </c>
      <c r="V47" s="87">
        <f t="shared" si="10"/>
        <v>0.53869088694975298</v>
      </c>
      <c r="W47" s="120">
        <f t="shared" si="11"/>
        <v>0.35912725796650197</v>
      </c>
    </row>
    <row r="48" spans="2:23">
      <c r="B48" s="116">
        <f>Amnt_Deposited!B43</f>
        <v>2029</v>
      </c>
      <c r="C48" s="119">
        <f>Amnt_Deposited!F43</f>
        <v>0</v>
      </c>
      <c r="D48" s="453">
        <f>Dry_Matter_Content!G35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Amnt_Deposited!G43</f>
        <v>6.7231499694480013</v>
      </c>
      <c r="Q48" s="319">
        <f>MCF!R47</f>
        <v>0.8</v>
      </c>
      <c r="R48" s="87">
        <f t="shared" si="5"/>
        <v>1.1563817947450563</v>
      </c>
      <c r="S48" s="87">
        <f t="shared" si="7"/>
        <v>1.1563817947450563</v>
      </c>
      <c r="T48" s="87">
        <f t="shared" si="8"/>
        <v>0</v>
      </c>
      <c r="U48" s="87">
        <f t="shared" si="9"/>
        <v>16.854788414752431</v>
      </c>
      <c r="V48" s="87">
        <f t="shared" si="10"/>
        <v>0.55917267242274094</v>
      </c>
      <c r="W48" s="120">
        <f t="shared" si="11"/>
        <v>0.37278178161516062</v>
      </c>
    </row>
    <row r="49" spans="2:23">
      <c r="B49" s="116">
        <f>Amnt_Deposited!B44</f>
        <v>2030</v>
      </c>
      <c r="C49" s="119">
        <f>Amnt_Deposited!F44</f>
        <v>0</v>
      </c>
      <c r="D49" s="453">
        <f>Dry_Matter_Content!G36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Amnt_Deposited!G44</f>
        <v>6.8521988478240008</v>
      </c>
      <c r="Q49" s="319">
        <f>MCF!R48</f>
        <v>0.8</v>
      </c>
      <c r="R49" s="87">
        <f t="shared" si="5"/>
        <v>1.1785782018257283</v>
      </c>
      <c r="S49" s="87">
        <f t="shared" si="7"/>
        <v>1.1785782018257283</v>
      </c>
      <c r="T49" s="87">
        <f t="shared" si="8"/>
        <v>0</v>
      </c>
      <c r="U49" s="87">
        <f t="shared" si="9"/>
        <v>17.45365318498596</v>
      </c>
      <c r="V49" s="87">
        <f t="shared" si="10"/>
        <v>0.57971343159220112</v>
      </c>
      <c r="W49" s="120">
        <f t="shared" si="11"/>
        <v>0.38647562106146738</v>
      </c>
    </row>
    <row r="50" spans="2:23">
      <c r="B50" s="116">
        <f>Amnt_Deposited!B45</f>
        <v>2031</v>
      </c>
      <c r="C50" s="119">
        <f>Amnt_Deposited!F45</f>
        <v>0</v>
      </c>
      <c r="D50" s="453">
        <f>Dry_Matter_Content!G37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0.8</v>
      </c>
      <c r="R50" s="87">
        <f t="shared" si="5"/>
        <v>0</v>
      </c>
      <c r="S50" s="87">
        <f t="shared" si="7"/>
        <v>0</v>
      </c>
      <c r="T50" s="87">
        <f t="shared" si="8"/>
        <v>0</v>
      </c>
      <c r="U50" s="87">
        <f t="shared" si="9"/>
        <v>16.853342048903567</v>
      </c>
      <c r="V50" s="87">
        <f t="shared" si="10"/>
        <v>0.60031113608239139</v>
      </c>
      <c r="W50" s="120">
        <f t="shared" si="11"/>
        <v>0.4002074240549276</v>
      </c>
    </row>
    <row r="51" spans="2:23">
      <c r="B51" s="116">
        <f>Amnt_Deposited!B46</f>
        <v>2032</v>
      </c>
      <c r="C51" s="119">
        <f>Amnt_Deposited!F46</f>
        <v>0</v>
      </c>
      <c r="D51" s="453">
        <f>Dry_Matter_Content!G38</f>
        <v>0.56999999999999995</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0.8</v>
      </c>
      <c r="R51" s="87">
        <f t="shared" si="5"/>
        <v>0</v>
      </c>
      <c r="S51" s="87">
        <f t="shared" si="7"/>
        <v>0</v>
      </c>
      <c r="T51" s="87">
        <f t="shared" si="8"/>
        <v>0</v>
      </c>
      <c r="U51" s="87">
        <f t="shared" si="9"/>
        <v>16.273678364462675</v>
      </c>
      <c r="V51" s="87">
        <f t="shared" si="10"/>
        <v>0.57966368444089011</v>
      </c>
      <c r="W51" s="120">
        <f t="shared" si="11"/>
        <v>0.38644245629392671</v>
      </c>
    </row>
    <row r="52" spans="2:23">
      <c r="B52" s="116">
        <f>Amnt_Deposited!B47</f>
        <v>2033</v>
      </c>
      <c r="C52" s="119">
        <f>Amnt_Deposited!F47</f>
        <v>0</v>
      </c>
      <c r="D52" s="453">
        <f>Dry_Matter_Content!G39</f>
        <v>0.56999999999999995</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0.8</v>
      </c>
      <c r="R52" s="87">
        <f t="shared" si="5"/>
        <v>0</v>
      </c>
      <c r="S52" s="87">
        <f t="shared" si="7"/>
        <v>0</v>
      </c>
      <c r="T52" s="87">
        <f t="shared" si="8"/>
        <v>0</v>
      </c>
      <c r="U52" s="87">
        <f t="shared" si="9"/>
        <v>15.713951971158735</v>
      </c>
      <c r="V52" s="87">
        <f t="shared" si="10"/>
        <v>0.55972639330394036</v>
      </c>
      <c r="W52" s="120">
        <f t="shared" si="11"/>
        <v>0.37315092886929357</v>
      </c>
    </row>
    <row r="53" spans="2:23">
      <c r="B53" s="116">
        <f>Amnt_Deposited!B48</f>
        <v>2034</v>
      </c>
      <c r="C53" s="119">
        <f>Amnt_Deposited!F48</f>
        <v>0</v>
      </c>
      <c r="D53" s="453">
        <f>Dry_Matter_Content!G40</f>
        <v>0.56999999999999995</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0.8</v>
      </c>
      <c r="R53" s="87">
        <f t="shared" si="5"/>
        <v>0</v>
      </c>
      <c r="S53" s="87">
        <f t="shared" si="7"/>
        <v>0</v>
      </c>
      <c r="T53" s="87">
        <f t="shared" si="8"/>
        <v>0</v>
      </c>
      <c r="U53" s="87">
        <f t="shared" si="9"/>
        <v>15.173477134162138</v>
      </c>
      <c r="V53" s="87">
        <f t="shared" si="10"/>
        <v>0.54047483699659771</v>
      </c>
      <c r="W53" s="120">
        <f t="shared" si="11"/>
        <v>0.36031655799773177</v>
      </c>
    </row>
    <row r="54" spans="2:23">
      <c r="B54" s="116">
        <f>Amnt_Deposited!B49</f>
        <v>2035</v>
      </c>
      <c r="C54" s="119">
        <f>Amnt_Deposited!F49</f>
        <v>0</v>
      </c>
      <c r="D54" s="453">
        <f>Dry_Matter_Content!G41</f>
        <v>0.56999999999999995</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0.8</v>
      </c>
      <c r="R54" s="87">
        <f t="shared" si="5"/>
        <v>0</v>
      </c>
      <c r="S54" s="87">
        <f t="shared" si="7"/>
        <v>0</v>
      </c>
      <c r="T54" s="87">
        <f t="shared" si="8"/>
        <v>0</v>
      </c>
      <c r="U54" s="87">
        <f t="shared" si="9"/>
        <v>14.651591704207297</v>
      </c>
      <c r="V54" s="87">
        <f t="shared" si="10"/>
        <v>0.52188542995484011</v>
      </c>
      <c r="W54" s="120">
        <f t="shared" si="11"/>
        <v>0.34792361996989341</v>
      </c>
    </row>
    <row r="55" spans="2:23">
      <c r="B55" s="116">
        <f>Amnt_Deposited!B50</f>
        <v>2036</v>
      </c>
      <c r="C55" s="119">
        <f>Amnt_Deposited!F50</f>
        <v>0</v>
      </c>
      <c r="D55" s="453">
        <f>Dry_Matter_Content!G42</f>
        <v>0.56999999999999995</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0.8</v>
      </c>
      <c r="R55" s="87">
        <f t="shared" si="5"/>
        <v>0</v>
      </c>
      <c r="S55" s="87">
        <f t="shared" si="7"/>
        <v>0</v>
      </c>
      <c r="T55" s="87">
        <f t="shared" si="8"/>
        <v>0</v>
      </c>
      <c r="U55" s="87">
        <f t="shared" si="9"/>
        <v>14.147656306376994</v>
      </c>
      <c r="V55" s="87">
        <f t="shared" si="10"/>
        <v>0.50393539783030239</v>
      </c>
      <c r="W55" s="120">
        <f t="shared" si="11"/>
        <v>0.33595693188686826</v>
      </c>
    </row>
    <row r="56" spans="2:23">
      <c r="B56" s="116">
        <f>Amnt_Deposited!B51</f>
        <v>2037</v>
      </c>
      <c r="C56" s="119">
        <f>Amnt_Deposited!F51</f>
        <v>0</v>
      </c>
      <c r="D56" s="453">
        <f>Dry_Matter_Content!G43</f>
        <v>0.56999999999999995</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0.8</v>
      </c>
      <c r="R56" s="87">
        <f t="shared" si="5"/>
        <v>0</v>
      </c>
      <c r="S56" s="87">
        <f t="shared" si="7"/>
        <v>0</v>
      </c>
      <c r="T56" s="87">
        <f t="shared" si="8"/>
        <v>0</v>
      </c>
      <c r="U56" s="87">
        <f t="shared" si="9"/>
        <v>13.661053556788143</v>
      </c>
      <c r="V56" s="87">
        <f t="shared" si="10"/>
        <v>0.48660274958885147</v>
      </c>
      <c r="W56" s="120">
        <f t="shared" si="11"/>
        <v>0.32440183305923431</v>
      </c>
    </row>
    <row r="57" spans="2:23">
      <c r="B57" s="116">
        <f>Amnt_Deposited!B52</f>
        <v>2038</v>
      </c>
      <c r="C57" s="119">
        <f>Amnt_Deposited!F52</f>
        <v>0</v>
      </c>
      <c r="D57" s="453">
        <f>Dry_Matter_Content!G44</f>
        <v>0.56999999999999995</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0.8</v>
      </c>
      <c r="R57" s="87">
        <f t="shared" si="5"/>
        <v>0</v>
      </c>
      <c r="S57" s="87">
        <f t="shared" si="7"/>
        <v>0</v>
      </c>
      <c r="T57" s="87">
        <f t="shared" si="8"/>
        <v>0</v>
      </c>
      <c r="U57" s="87">
        <f t="shared" si="9"/>
        <v>13.191187306219325</v>
      </c>
      <c r="V57" s="87">
        <f t="shared" si="10"/>
        <v>0.46986625056881931</v>
      </c>
      <c r="W57" s="120">
        <f t="shared" si="11"/>
        <v>0.31324416704587954</v>
      </c>
    </row>
    <row r="58" spans="2:23">
      <c r="B58" s="116">
        <f>Amnt_Deposited!B53</f>
        <v>2039</v>
      </c>
      <c r="C58" s="119">
        <f>Amnt_Deposited!F53</f>
        <v>0</v>
      </c>
      <c r="D58" s="453">
        <f>Dry_Matter_Content!G45</f>
        <v>0.56999999999999995</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0.8</v>
      </c>
      <c r="R58" s="87">
        <f t="shared" si="5"/>
        <v>0</v>
      </c>
      <c r="S58" s="87">
        <f t="shared" si="7"/>
        <v>0</v>
      </c>
      <c r="T58" s="87">
        <f t="shared" si="8"/>
        <v>0</v>
      </c>
      <c r="U58" s="87">
        <f t="shared" si="9"/>
        <v>12.737481909753438</v>
      </c>
      <c r="V58" s="87">
        <f t="shared" si="10"/>
        <v>0.45370539646588687</v>
      </c>
      <c r="W58" s="120">
        <f t="shared" si="11"/>
        <v>0.30247026431059121</v>
      </c>
    </row>
    <row r="59" spans="2:23">
      <c r="B59" s="116">
        <f>Amnt_Deposited!B54</f>
        <v>2040</v>
      </c>
      <c r="C59" s="119">
        <f>Amnt_Deposited!F54</f>
        <v>0</v>
      </c>
      <c r="D59" s="453">
        <f>Dry_Matter_Content!G46</f>
        <v>0.56999999999999995</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0.8</v>
      </c>
      <c r="R59" s="87">
        <f t="shared" si="5"/>
        <v>0</v>
      </c>
      <c r="S59" s="87">
        <f t="shared" si="7"/>
        <v>0</v>
      </c>
      <c r="T59" s="87">
        <f t="shared" si="8"/>
        <v>0</v>
      </c>
      <c r="U59" s="87">
        <f t="shared" si="9"/>
        <v>12.29938152154069</v>
      </c>
      <c r="V59" s="87">
        <f t="shared" si="10"/>
        <v>0.43810038821274688</v>
      </c>
      <c r="W59" s="120">
        <f t="shared" si="11"/>
        <v>0.29206692547516455</v>
      </c>
    </row>
    <row r="60" spans="2:23">
      <c r="B60" s="116">
        <f>Amnt_Deposited!B55</f>
        <v>2041</v>
      </c>
      <c r="C60" s="119">
        <f>Amnt_Deposited!F55</f>
        <v>0</v>
      </c>
      <c r="D60" s="453">
        <f>Dry_Matter_Content!G47</f>
        <v>0.56999999999999995</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0.8</v>
      </c>
      <c r="R60" s="87">
        <f t="shared" si="5"/>
        <v>0</v>
      </c>
      <c r="S60" s="87">
        <f t="shared" si="7"/>
        <v>0</v>
      </c>
      <c r="T60" s="87">
        <f t="shared" si="8"/>
        <v>0</v>
      </c>
      <c r="U60" s="87">
        <f t="shared" si="9"/>
        <v>11.87634941381792</v>
      </c>
      <c r="V60" s="87">
        <f t="shared" si="10"/>
        <v>0.42303210772277089</v>
      </c>
      <c r="W60" s="120">
        <f t="shared" si="11"/>
        <v>0.28202140514851393</v>
      </c>
    </row>
    <row r="61" spans="2:23">
      <c r="B61" s="116">
        <f>Amnt_Deposited!B56</f>
        <v>2042</v>
      </c>
      <c r="C61" s="119">
        <f>Amnt_Deposited!F56</f>
        <v>0</v>
      </c>
      <c r="D61" s="453">
        <f>Dry_Matter_Content!G48</f>
        <v>0.56999999999999995</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0.8</v>
      </c>
      <c r="R61" s="87">
        <f t="shared" si="5"/>
        <v>0</v>
      </c>
      <c r="S61" s="87">
        <f t="shared" si="7"/>
        <v>0</v>
      </c>
      <c r="T61" s="87">
        <f t="shared" si="8"/>
        <v>0</v>
      </c>
      <c r="U61" s="87">
        <f t="shared" si="9"/>
        <v>11.467867319349958</v>
      </c>
      <c r="V61" s="87">
        <f t="shared" si="10"/>
        <v>0.40848209446796191</v>
      </c>
      <c r="W61" s="120">
        <f t="shared" si="11"/>
        <v>0.27232139631197461</v>
      </c>
    </row>
    <row r="62" spans="2:23">
      <c r="B62" s="116">
        <f>Amnt_Deposited!B57</f>
        <v>2043</v>
      </c>
      <c r="C62" s="119">
        <f>Amnt_Deposited!F57</f>
        <v>0</v>
      </c>
      <c r="D62" s="453">
        <f>Dry_Matter_Content!G49</f>
        <v>0.56999999999999995</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0.8</v>
      </c>
      <c r="R62" s="87">
        <f t="shared" si="5"/>
        <v>0</v>
      </c>
      <c r="S62" s="87">
        <f t="shared" si="7"/>
        <v>0</v>
      </c>
      <c r="T62" s="87">
        <f t="shared" si="8"/>
        <v>0</v>
      </c>
      <c r="U62" s="87">
        <f t="shared" si="9"/>
        <v>11.07343479648746</v>
      </c>
      <c r="V62" s="87">
        <f t="shared" si="10"/>
        <v>0.39443252286249897</v>
      </c>
      <c r="W62" s="120">
        <f t="shared" si="11"/>
        <v>0.26295501524166598</v>
      </c>
    </row>
    <row r="63" spans="2:23">
      <c r="B63" s="116">
        <f>Amnt_Deposited!B58</f>
        <v>2044</v>
      </c>
      <c r="C63" s="119">
        <f>Amnt_Deposited!F58</f>
        <v>0</v>
      </c>
      <c r="D63" s="453">
        <f>Dry_Matter_Content!G50</f>
        <v>0.56999999999999995</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0.8</v>
      </c>
      <c r="R63" s="87">
        <f t="shared" si="5"/>
        <v>0</v>
      </c>
      <c r="S63" s="87">
        <f t="shared" si="7"/>
        <v>0</v>
      </c>
      <c r="T63" s="87">
        <f t="shared" si="8"/>
        <v>0</v>
      </c>
      <c r="U63" s="87">
        <f t="shared" si="9"/>
        <v>10.692568616063294</v>
      </c>
      <c r="V63" s="87">
        <f t="shared" si="10"/>
        <v>0.38086618042416542</v>
      </c>
      <c r="W63" s="120">
        <f t="shared" si="11"/>
        <v>0.25391078694944358</v>
      </c>
    </row>
    <row r="64" spans="2:23">
      <c r="B64" s="116">
        <f>Amnt_Deposited!B59</f>
        <v>2045</v>
      </c>
      <c r="C64" s="119">
        <f>Amnt_Deposited!F59</f>
        <v>0</v>
      </c>
      <c r="D64" s="453">
        <f>Dry_Matter_Content!G51</f>
        <v>0.56999999999999995</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0.8</v>
      </c>
      <c r="R64" s="87">
        <f t="shared" si="5"/>
        <v>0</v>
      </c>
      <c r="S64" s="87">
        <f t="shared" si="7"/>
        <v>0</v>
      </c>
      <c r="T64" s="87">
        <f t="shared" si="8"/>
        <v>0</v>
      </c>
      <c r="U64" s="87">
        <f t="shared" si="9"/>
        <v>10.324802169376389</v>
      </c>
      <c r="V64" s="87">
        <f t="shared" si="10"/>
        <v>0.36776644668690567</v>
      </c>
      <c r="W64" s="120">
        <f t="shared" si="11"/>
        <v>0.24517763112460378</v>
      </c>
    </row>
    <row r="65" spans="2:23">
      <c r="B65" s="116">
        <f>Amnt_Deposited!B60</f>
        <v>2046</v>
      </c>
      <c r="C65" s="119">
        <f>Amnt_Deposited!F60</f>
        <v>0</v>
      </c>
      <c r="D65" s="453">
        <f>Dry_Matter_Content!G52</f>
        <v>0.56999999999999995</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0.8</v>
      </c>
      <c r="R65" s="87">
        <f t="shared" si="5"/>
        <v>0</v>
      </c>
      <c r="S65" s="87">
        <f t="shared" si="7"/>
        <v>0</v>
      </c>
      <c r="T65" s="87">
        <f t="shared" si="8"/>
        <v>0</v>
      </c>
      <c r="U65" s="87">
        <f t="shared" si="9"/>
        <v>9.9696848965377125</v>
      </c>
      <c r="V65" s="87">
        <f t="shared" si="10"/>
        <v>0.35511727283867567</v>
      </c>
      <c r="W65" s="120">
        <f t="shared" si="11"/>
        <v>0.23674484855911709</v>
      </c>
    </row>
    <row r="66" spans="2:23">
      <c r="B66" s="116">
        <f>Amnt_Deposited!B61</f>
        <v>2047</v>
      </c>
      <c r="C66" s="119">
        <f>Amnt_Deposited!F61</f>
        <v>0</v>
      </c>
      <c r="D66" s="453">
        <f>Dry_Matter_Content!G53</f>
        <v>0.56999999999999995</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0.8</v>
      </c>
      <c r="R66" s="87">
        <f t="shared" si="5"/>
        <v>0</v>
      </c>
      <c r="S66" s="87">
        <f t="shared" si="7"/>
        <v>0</v>
      </c>
      <c r="T66" s="87">
        <f t="shared" si="8"/>
        <v>0</v>
      </c>
      <c r="U66" s="87">
        <f t="shared" si="9"/>
        <v>9.6267817344780706</v>
      </c>
      <c r="V66" s="87">
        <f t="shared" si="10"/>
        <v>0.34290316205964122</v>
      </c>
      <c r="W66" s="120">
        <f t="shared" si="11"/>
        <v>0.2286021080397608</v>
      </c>
    </row>
    <row r="67" spans="2:23">
      <c r="B67" s="116">
        <f>Amnt_Deposited!B62</f>
        <v>2048</v>
      </c>
      <c r="C67" s="119">
        <f>Amnt_Deposited!F62</f>
        <v>0</v>
      </c>
      <c r="D67" s="453">
        <f>Dry_Matter_Content!G54</f>
        <v>0.56999999999999995</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0.8</v>
      </c>
      <c r="R67" s="87">
        <f t="shared" si="5"/>
        <v>0</v>
      </c>
      <c r="S67" s="87">
        <f t="shared" si="7"/>
        <v>0</v>
      </c>
      <c r="T67" s="87">
        <f t="shared" si="8"/>
        <v>0</v>
      </c>
      <c r="U67" s="87">
        <f t="shared" si="9"/>
        <v>9.2956725839414354</v>
      </c>
      <c r="V67" s="87">
        <f t="shared" si="10"/>
        <v>0.33110915053663559</v>
      </c>
      <c r="W67" s="120">
        <f t="shared" si="11"/>
        <v>0.22073943369109039</v>
      </c>
    </row>
    <row r="68" spans="2:23">
      <c r="B68" s="116">
        <f>Amnt_Deposited!B63</f>
        <v>2049</v>
      </c>
      <c r="C68" s="119">
        <f>Amnt_Deposited!F63</f>
        <v>0</v>
      </c>
      <c r="D68" s="453">
        <f>Dry_Matter_Content!G55</f>
        <v>0.56999999999999995</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0.8</v>
      </c>
      <c r="R68" s="87">
        <f t="shared" si="5"/>
        <v>0</v>
      </c>
      <c r="S68" s="87">
        <f t="shared" si="7"/>
        <v>0</v>
      </c>
      <c r="T68" s="87">
        <f t="shared" si="8"/>
        <v>0</v>
      </c>
      <c r="U68" s="87">
        <f t="shared" si="9"/>
        <v>8.9759517948108183</v>
      </c>
      <c r="V68" s="87">
        <f t="shared" si="10"/>
        <v>0.31972078913061724</v>
      </c>
      <c r="W68" s="120">
        <f t="shared" si="11"/>
        <v>0.21314719275374483</v>
      </c>
    </row>
    <row r="69" spans="2:23">
      <c r="B69" s="116">
        <f>Amnt_Deposited!B64</f>
        <v>2050</v>
      </c>
      <c r="C69" s="119">
        <f>Amnt_Deposited!F64</f>
        <v>0</v>
      </c>
      <c r="D69" s="453">
        <f>Dry_Matter_Content!G56</f>
        <v>0.56999999999999995</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0.8</v>
      </c>
      <c r="R69" s="87">
        <f t="shared" si="5"/>
        <v>0</v>
      </c>
      <c r="S69" s="87">
        <f t="shared" si="7"/>
        <v>0</v>
      </c>
      <c r="T69" s="87">
        <f t="shared" si="8"/>
        <v>0</v>
      </c>
      <c r="U69" s="87">
        <f t="shared" si="9"/>
        <v>8.6672276691361514</v>
      </c>
      <c r="V69" s="87">
        <f t="shared" si="10"/>
        <v>0.30872412567466728</v>
      </c>
      <c r="W69" s="120">
        <f t="shared" si="11"/>
        <v>0.2058160837831115</v>
      </c>
    </row>
    <row r="70" spans="2:23">
      <c r="B70" s="116">
        <f>Amnt_Deposited!B65</f>
        <v>2051</v>
      </c>
      <c r="C70" s="119">
        <f>Amnt_Deposited!F65</f>
        <v>0</v>
      </c>
      <c r="D70" s="453">
        <f>Dry_Matter_Content!G57</f>
        <v>0.56999999999999995</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0.8</v>
      </c>
      <c r="R70" s="87">
        <f t="shared" si="5"/>
        <v>0</v>
      </c>
      <c r="S70" s="87">
        <f t="shared" si="7"/>
        <v>0</v>
      </c>
      <c r="T70" s="87">
        <f t="shared" si="8"/>
        <v>0</v>
      </c>
      <c r="U70" s="87">
        <f t="shared" si="9"/>
        <v>8.3691219812553115</v>
      </c>
      <c r="V70" s="87">
        <f t="shared" si="10"/>
        <v>0.29810568788084041</v>
      </c>
      <c r="W70" s="120">
        <f t="shared" si="11"/>
        <v>0.19873712525389359</v>
      </c>
    </row>
    <row r="71" spans="2:23">
      <c r="B71" s="116">
        <f>Amnt_Deposited!B66</f>
        <v>2052</v>
      </c>
      <c r="C71" s="119">
        <f>Amnt_Deposited!F66</f>
        <v>0</v>
      </c>
      <c r="D71" s="453">
        <f>Dry_Matter_Content!G58</f>
        <v>0.56999999999999995</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0.8</v>
      </c>
      <c r="R71" s="87">
        <f t="shared" si="5"/>
        <v>0</v>
      </c>
      <c r="S71" s="87">
        <f t="shared" si="7"/>
        <v>0</v>
      </c>
      <c r="T71" s="87">
        <f t="shared" si="8"/>
        <v>0</v>
      </c>
      <c r="U71" s="87">
        <f t="shared" si="9"/>
        <v>8.0812695144203843</v>
      </c>
      <c r="V71" s="87">
        <f t="shared" si="10"/>
        <v>0.2878524668349271</v>
      </c>
      <c r="W71" s="120">
        <f t="shared" si="11"/>
        <v>0.19190164455661807</v>
      </c>
    </row>
    <row r="72" spans="2:23">
      <c r="B72" s="116">
        <f>Amnt_Deposited!B67</f>
        <v>2053</v>
      </c>
      <c r="C72" s="119">
        <f>Amnt_Deposited!F67</f>
        <v>0</v>
      </c>
      <c r="D72" s="453">
        <f>Dry_Matter_Content!G59</f>
        <v>0.56999999999999995</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0.8</v>
      </c>
      <c r="R72" s="87">
        <f t="shared" si="5"/>
        <v>0</v>
      </c>
      <c r="S72" s="87">
        <f t="shared" si="7"/>
        <v>0</v>
      </c>
      <c r="T72" s="87">
        <f t="shared" si="8"/>
        <v>0</v>
      </c>
      <c r="U72" s="87">
        <f t="shared" si="9"/>
        <v>7.803317613361477</v>
      </c>
      <c r="V72" s="87">
        <f t="shared" si="10"/>
        <v>0.2779519010589071</v>
      </c>
      <c r="W72" s="120">
        <f t="shared" si="11"/>
        <v>0.18530126737260472</v>
      </c>
    </row>
    <row r="73" spans="2:23">
      <c r="B73" s="116">
        <f>Amnt_Deposited!B68</f>
        <v>2054</v>
      </c>
      <c r="C73" s="119">
        <f>Amnt_Deposited!F68</f>
        <v>0</v>
      </c>
      <c r="D73" s="453">
        <f>Dry_Matter_Content!G60</f>
        <v>0.56999999999999995</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0.8</v>
      </c>
      <c r="R73" s="87">
        <f t="shared" si="5"/>
        <v>0</v>
      </c>
      <c r="S73" s="87">
        <f t="shared" si="7"/>
        <v>0</v>
      </c>
      <c r="T73" s="87">
        <f t="shared" si="8"/>
        <v>0</v>
      </c>
      <c r="U73" s="87">
        <f t="shared" si="9"/>
        <v>7.5349257522399089</v>
      </c>
      <c r="V73" s="87">
        <f t="shared" si="10"/>
        <v>0.26839186112156793</v>
      </c>
      <c r="W73" s="120">
        <f t="shared" si="11"/>
        <v>0.17892790741437861</v>
      </c>
    </row>
    <row r="74" spans="2:23">
      <c r="B74" s="116">
        <f>Amnt_Deposited!B69</f>
        <v>2055</v>
      </c>
      <c r="C74" s="119">
        <f>Amnt_Deposited!F69</f>
        <v>0</v>
      </c>
      <c r="D74" s="453">
        <f>Dry_Matter_Content!G61</f>
        <v>0.56999999999999995</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0.8</v>
      </c>
      <c r="R74" s="87">
        <f t="shared" si="5"/>
        <v>0</v>
      </c>
      <c r="S74" s="87">
        <f t="shared" si="7"/>
        <v>0</v>
      </c>
      <c r="T74" s="87">
        <f t="shared" si="8"/>
        <v>0</v>
      </c>
      <c r="U74" s="87">
        <f t="shared" si="9"/>
        <v>7.2757651174614741</v>
      </c>
      <c r="V74" s="87">
        <f t="shared" si="10"/>
        <v>0.25916063477843454</v>
      </c>
      <c r="W74" s="120">
        <f t="shared" si="11"/>
        <v>0.17277375651895635</v>
      </c>
    </row>
    <row r="75" spans="2:23">
      <c r="B75" s="116">
        <f>Amnt_Deposited!B70</f>
        <v>2056</v>
      </c>
      <c r="C75" s="119">
        <f>Amnt_Deposited!F70</f>
        <v>0</v>
      </c>
      <c r="D75" s="453">
        <f>Dry_Matter_Content!G62</f>
        <v>0.56999999999999995</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0.8</v>
      </c>
      <c r="R75" s="87">
        <f t="shared" si="5"/>
        <v>0</v>
      </c>
      <c r="S75" s="87">
        <f t="shared" si="7"/>
        <v>0</v>
      </c>
      <c r="T75" s="87">
        <f t="shared" si="8"/>
        <v>0</v>
      </c>
      <c r="U75" s="87">
        <f t="shared" si="9"/>
        <v>7.0255182048386686</v>
      </c>
      <c r="V75" s="87">
        <f t="shared" si="10"/>
        <v>0.25024691262280546</v>
      </c>
      <c r="W75" s="120">
        <f t="shared" si="11"/>
        <v>0.16683127508187029</v>
      </c>
    </row>
    <row r="76" spans="2:23">
      <c r="B76" s="116">
        <f>Amnt_Deposited!B71</f>
        <v>2057</v>
      </c>
      <c r="C76" s="119">
        <f>Amnt_Deposited!F71</f>
        <v>0</v>
      </c>
      <c r="D76" s="453">
        <f>Dry_Matter_Content!G63</f>
        <v>0.56999999999999995</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0.8</v>
      </c>
      <c r="R76" s="87">
        <f t="shared" si="5"/>
        <v>0</v>
      </c>
      <c r="S76" s="87">
        <f t="shared" si="7"/>
        <v>0</v>
      </c>
      <c r="T76" s="87">
        <f t="shared" si="8"/>
        <v>0</v>
      </c>
      <c r="U76" s="87">
        <f t="shared" si="9"/>
        <v>6.7838784306083539</v>
      </c>
      <c r="V76" s="87">
        <f t="shared" si="10"/>
        <v>0.24163977423031494</v>
      </c>
      <c r="W76" s="120">
        <f t="shared" si="11"/>
        <v>0.16109318282020996</v>
      </c>
    </row>
    <row r="77" spans="2:23">
      <c r="B77" s="116">
        <f>Amnt_Deposited!B72</f>
        <v>2058</v>
      </c>
      <c r="C77" s="119">
        <f>Amnt_Deposited!F72</f>
        <v>0</v>
      </c>
      <c r="D77" s="453">
        <f>Dry_Matter_Content!G64</f>
        <v>0.56999999999999995</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0.8</v>
      </c>
      <c r="R77" s="87">
        <f t="shared" si="5"/>
        <v>0</v>
      </c>
      <c r="S77" s="87">
        <f t="shared" si="7"/>
        <v>0</v>
      </c>
      <c r="T77" s="87">
        <f t="shared" si="8"/>
        <v>0</v>
      </c>
      <c r="U77" s="87">
        <f t="shared" si="9"/>
        <v>6.5505497558283059</v>
      </c>
      <c r="V77" s="87">
        <f t="shared" si="10"/>
        <v>0.23332867478004762</v>
      </c>
      <c r="W77" s="120">
        <f t="shared" si="11"/>
        <v>0.15555244985336508</v>
      </c>
    </row>
    <row r="78" spans="2:23">
      <c r="B78" s="116">
        <f>Amnt_Deposited!B73</f>
        <v>2059</v>
      </c>
      <c r="C78" s="119">
        <f>Amnt_Deposited!F73</f>
        <v>0</v>
      </c>
      <c r="D78" s="453">
        <f>Dry_Matter_Content!G65</f>
        <v>0.56999999999999995</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0.8</v>
      </c>
      <c r="R78" s="87">
        <f t="shared" si="5"/>
        <v>0</v>
      </c>
      <c r="S78" s="87">
        <f t="shared" si="7"/>
        <v>0</v>
      </c>
      <c r="T78" s="87">
        <f t="shared" si="8"/>
        <v>0</v>
      </c>
      <c r="U78" s="87">
        <f t="shared" si="9"/>
        <v>6.3252463236924914</v>
      </c>
      <c r="V78" s="87">
        <f t="shared" si="10"/>
        <v>0.22530343213581422</v>
      </c>
      <c r="W78" s="120">
        <f t="shared" si="11"/>
        <v>0.15020228809054281</v>
      </c>
    </row>
    <row r="79" spans="2:23">
      <c r="B79" s="116">
        <f>Amnt_Deposited!B74</f>
        <v>2060</v>
      </c>
      <c r="C79" s="119">
        <f>Amnt_Deposited!F74</f>
        <v>0</v>
      </c>
      <c r="D79" s="453">
        <f>Dry_Matter_Content!G66</f>
        <v>0.56999999999999995</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0.8</v>
      </c>
      <c r="R79" s="87">
        <f t="shared" si="5"/>
        <v>0</v>
      </c>
      <c r="S79" s="87">
        <f t="shared" si="7"/>
        <v>0</v>
      </c>
      <c r="T79" s="87">
        <f t="shared" si="8"/>
        <v>0</v>
      </c>
      <c r="U79" s="87">
        <f t="shared" si="9"/>
        <v>6.1076921093207304</v>
      </c>
      <c r="V79" s="87">
        <f t="shared" si="10"/>
        <v>0.21755421437176126</v>
      </c>
      <c r="W79" s="120">
        <f t="shared" si="11"/>
        <v>0.1450361429145075</v>
      </c>
    </row>
    <row r="80" spans="2:23">
      <c r="B80" s="116">
        <f>Amnt_Deposited!B75</f>
        <v>2061</v>
      </c>
      <c r="C80" s="119">
        <f>Amnt_Deposited!F75</f>
        <v>0</v>
      </c>
      <c r="D80" s="453">
        <f>Dry_Matter_Content!G67</f>
        <v>0.56999999999999995</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0.8</v>
      </c>
      <c r="R80" s="87">
        <f t="shared" si="5"/>
        <v>0</v>
      </c>
      <c r="S80" s="87">
        <f t="shared" si="7"/>
        <v>0</v>
      </c>
      <c r="T80" s="87">
        <f t="shared" si="8"/>
        <v>0</v>
      </c>
      <c r="U80" s="87">
        <f t="shared" si="9"/>
        <v>5.8976205815936984</v>
      </c>
      <c r="V80" s="87">
        <f t="shared" si="10"/>
        <v>0.21007152772703239</v>
      </c>
      <c r="W80" s="120">
        <f t="shared" si="11"/>
        <v>0.14004768515135491</v>
      </c>
    </row>
    <row r="81" spans="2:23">
      <c r="B81" s="116">
        <f>Amnt_Deposited!B76</f>
        <v>2062</v>
      </c>
      <c r="C81" s="119">
        <f>Amnt_Deposited!F76</f>
        <v>0</v>
      </c>
      <c r="D81" s="453">
        <f>Dry_Matter_Content!G68</f>
        <v>0.56999999999999995</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0.8</v>
      </c>
      <c r="R81" s="87">
        <f t="shared" si="5"/>
        <v>0</v>
      </c>
      <c r="S81" s="87">
        <f t="shared" si="7"/>
        <v>0</v>
      </c>
      <c r="T81" s="87">
        <f t="shared" si="8"/>
        <v>0</v>
      </c>
      <c r="U81" s="87">
        <f t="shared" si="9"/>
        <v>5.694774376618974</v>
      </c>
      <c r="V81" s="87">
        <f t="shared" si="10"/>
        <v>0.20284620497472405</v>
      </c>
      <c r="W81" s="120">
        <f t="shared" si="11"/>
        <v>0.13523080331648268</v>
      </c>
    </row>
    <row r="82" spans="2:23">
      <c r="B82" s="116">
        <f>Amnt_Deposited!B77</f>
        <v>2063</v>
      </c>
      <c r="C82" s="119">
        <f>Amnt_Deposited!F77</f>
        <v>0</v>
      </c>
      <c r="D82" s="453">
        <f>Dry_Matter_Content!G69</f>
        <v>0.56999999999999995</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0.8</v>
      </c>
      <c r="R82" s="87">
        <f t="shared" si="5"/>
        <v>0</v>
      </c>
      <c r="S82" s="87">
        <f t="shared" si="7"/>
        <v>0</v>
      </c>
      <c r="T82" s="87">
        <f t="shared" si="8"/>
        <v>0</v>
      </c>
      <c r="U82" s="87">
        <f t="shared" si="9"/>
        <v>5.4989049824280878</v>
      </c>
      <c r="V82" s="87">
        <f t="shared" si="10"/>
        <v>0.19586939419088606</v>
      </c>
      <c r="W82" s="120">
        <f t="shared" si="11"/>
        <v>0.13057959612725736</v>
      </c>
    </row>
    <row r="83" spans="2:23">
      <c r="B83" s="116">
        <f>Amnt_Deposited!B78</f>
        <v>2064</v>
      </c>
      <c r="C83" s="119">
        <f>Amnt_Deposited!F78</f>
        <v>0</v>
      </c>
      <c r="D83" s="453">
        <f>Dry_Matter_Content!G70</f>
        <v>0.56999999999999995</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0.8</v>
      </c>
      <c r="R83" s="87">
        <f t="shared" ref="R83:R99" si="17">P83*$W$6*DOCF*Q83</f>
        <v>0</v>
      </c>
      <c r="S83" s="87">
        <f t="shared" si="7"/>
        <v>0</v>
      </c>
      <c r="T83" s="87">
        <f t="shared" si="8"/>
        <v>0</v>
      </c>
      <c r="U83" s="87">
        <f t="shared" si="9"/>
        <v>5.3097724345182797</v>
      </c>
      <c r="V83" s="87">
        <f t="shared" si="10"/>
        <v>0.18913254790980788</v>
      </c>
      <c r="W83" s="120">
        <f t="shared" si="11"/>
        <v>0.12608836527320524</v>
      </c>
    </row>
    <row r="84" spans="2:23">
      <c r="B84" s="116">
        <f>Amnt_Deposited!B79</f>
        <v>2065</v>
      </c>
      <c r="C84" s="119">
        <f>Amnt_Deposited!F79</f>
        <v>0</v>
      </c>
      <c r="D84" s="453">
        <f>Dry_Matter_Content!G71</f>
        <v>0.56999999999999995</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0.8</v>
      </c>
      <c r="R84" s="87">
        <f t="shared" si="17"/>
        <v>0</v>
      </c>
      <c r="S84" s="87">
        <f t="shared" si="7"/>
        <v>0</v>
      </c>
      <c r="T84" s="87">
        <f t="shared" si="8"/>
        <v>0</v>
      </c>
      <c r="U84" s="87">
        <f t="shared" si="9"/>
        <v>5.1271450218659753</v>
      </c>
      <c r="V84" s="87">
        <f t="shared" si="10"/>
        <v>0.18262741265230417</v>
      </c>
      <c r="W84" s="120">
        <f t="shared" si="11"/>
        <v>0.12175160843486944</v>
      </c>
    </row>
    <row r="85" spans="2:23">
      <c r="B85" s="116">
        <f>Amnt_Deposited!B80</f>
        <v>2066</v>
      </c>
      <c r="C85" s="119">
        <f>Amnt_Deposited!F80</f>
        <v>0</v>
      </c>
      <c r="D85" s="453">
        <f>Dry_Matter_Content!G72</f>
        <v>0.56999999999999995</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0.8</v>
      </c>
      <c r="R85" s="87">
        <f t="shared" si="17"/>
        <v>0</v>
      </c>
      <c r="S85" s="87">
        <f t="shared" ref="S85:S98" si="19">R85*$W$12</f>
        <v>0</v>
      </c>
      <c r="T85" s="87">
        <f t="shared" ref="T85:T98" si="20">R85*(1-$W$12)</f>
        <v>0</v>
      </c>
      <c r="U85" s="87">
        <f t="shared" ref="U85:U98" si="21">S85+U84*$W$10</f>
        <v>4.950799003051805</v>
      </c>
      <c r="V85" s="87">
        <f t="shared" ref="V85:V98" si="22">U84*(1-$W$10)+T85</f>
        <v>0.17634601881417053</v>
      </c>
      <c r="W85" s="120">
        <f t="shared" ref="W85:W99" si="23">V85*CH4_fraction*conv</f>
        <v>0.11756401254278034</v>
      </c>
    </row>
    <row r="86" spans="2:23">
      <c r="B86" s="116">
        <f>Amnt_Deposited!B81</f>
        <v>2067</v>
      </c>
      <c r="C86" s="119">
        <f>Amnt_Deposited!F81</f>
        <v>0</v>
      </c>
      <c r="D86" s="453">
        <f>Dry_Matter_Content!G73</f>
        <v>0.56999999999999995</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0.8</v>
      </c>
      <c r="R86" s="87">
        <f t="shared" si="17"/>
        <v>0</v>
      </c>
      <c r="S86" s="87">
        <f t="shared" si="19"/>
        <v>0</v>
      </c>
      <c r="T86" s="87">
        <f t="shared" si="20"/>
        <v>0</v>
      </c>
      <c r="U86" s="87">
        <f t="shared" si="21"/>
        <v>4.7805183321493834</v>
      </c>
      <c r="V86" s="87">
        <f t="shared" si="22"/>
        <v>0.17028067090242177</v>
      </c>
      <c r="W86" s="120">
        <f t="shared" si="23"/>
        <v>0.11352044726828117</v>
      </c>
    </row>
    <row r="87" spans="2:23">
      <c r="B87" s="116">
        <f>Amnt_Deposited!B82</f>
        <v>2068</v>
      </c>
      <c r="C87" s="119">
        <f>Amnt_Deposited!F82</f>
        <v>0</v>
      </c>
      <c r="D87" s="453">
        <f>Dry_Matter_Content!G74</f>
        <v>0.56999999999999995</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0.8</v>
      </c>
      <c r="R87" s="87">
        <f t="shared" si="17"/>
        <v>0</v>
      </c>
      <c r="S87" s="87">
        <f t="shared" si="19"/>
        <v>0</v>
      </c>
      <c r="T87" s="87">
        <f t="shared" si="20"/>
        <v>0</v>
      </c>
      <c r="U87" s="87">
        <f t="shared" si="21"/>
        <v>4.6160943940420331</v>
      </c>
      <c r="V87" s="87">
        <f t="shared" si="22"/>
        <v>0.16442393810735068</v>
      </c>
      <c r="W87" s="120">
        <f t="shared" si="23"/>
        <v>0.10961595873823378</v>
      </c>
    </row>
    <row r="88" spans="2:23">
      <c r="B88" s="116">
        <f>Amnt_Deposited!B83</f>
        <v>2069</v>
      </c>
      <c r="C88" s="119">
        <f>Amnt_Deposited!F83</f>
        <v>0</v>
      </c>
      <c r="D88" s="453">
        <f>Dry_Matter_Content!G75</f>
        <v>0.56999999999999995</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0.8</v>
      </c>
      <c r="R88" s="87">
        <f t="shared" si="17"/>
        <v>0</v>
      </c>
      <c r="S88" s="87">
        <f t="shared" si="19"/>
        <v>0</v>
      </c>
      <c r="T88" s="87">
        <f t="shared" si="20"/>
        <v>0</v>
      </c>
      <c r="U88" s="87">
        <f t="shared" si="21"/>
        <v>4.4573257488431768</v>
      </c>
      <c r="V88" s="87">
        <f t="shared" si="22"/>
        <v>0.15876864519885669</v>
      </c>
      <c r="W88" s="120">
        <f t="shared" si="23"/>
        <v>0.10584576346590446</v>
      </c>
    </row>
    <row r="89" spans="2:23">
      <c r="B89" s="116">
        <f>Amnt_Deposited!B84</f>
        <v>2070</v>
      </c>
      <c r="C89" s="119">
        <f>Amnt_Deposited!F84</f>
        <v>0</v>
      </c>
      <c r="D89" s="453">
        <f>Dry_Matter_Content!G76</f>
        <v>0.56999999999999995</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0.8</v>
      </c>
      <c r="R89" s="87">
        <f t="shared" si="17"/>
        <v>0</v>
      </c>
      <c r="S89" s="87">
        <f t="shared" si="19"/>
        <v>0</v>
      </c>
      <c r="T89" s="87">
        <f t="shared" si="20"/>
        <v>0</v>
      </c>
      <c r="U89" s="87">
        <f t="shared" si="21"/>
        <v>4.3040178851072852</v>
      </c>
      <c r="V89" s="87">
        <f t="shared" si="22"/>
        <v>0.15330786373589192</v>
      </c>
      <c r="W89" s="120">
        <f t="shared" si="23"/>
        <v>0.10220524249059461</v>
      </c>
    </row>
    <row r="90" spans="2:23">
      <c r="B90" s="116">
        <f>Amnt_Deposited!B85</f>
        <v>2071</v>
      </c>
      <c r="C90" s="119">
        <f>Amnt_Deposited!F85</f>
        <v>0</v>
      </c>
      <c r="D90" s="453">
        <f>Dry_Matter_Content!G77</f>
        <v>0.56999999999999995</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0.8</v>
      </c>
      <c r="R90" s="87">
        <f t="shared" si="17"/>
        <v>0</v>
      </c>
      <c r="S90" s="87">
        <f t="shared" si="19"/>
        <v>0</v>
      </c>
      <c r="T90" s="87">
        <f t="shared" si="20"/>
        <v>0</v>
      </c>
      <c r="U90" s="87">
        <f t="shared" si="21"/>
        <v>4.1559829815290312</v>
      </c>
      <c r="V90" s="87">
        <f t="shared" si="22"/>
        <v>0.14803490357825422</v>
      </c>
      <c r="W90" s="120">
        <f t="shared" si="23"/>
        <v>9.8689935718836136E-2</v>
      </c>
    </row>
    <row r="91" spans="2:23">
      <c r="B91" s="116">
        <f>Amnt_Deposited!B86</f>
        <v>2072</v>
      </c>
      <c r="C91" s="119">
        <f>Amnt_Deposited!F86</f>
        <v>0</v>
      </c>
      <c r="D91" s="453">
        <f>Dry_Matter_Content!G78</f>
        <v>0.56999999999999995</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0.8</v>
      </c>
      <c r="R91" s="87">
        <f t="shared" si="17"/>
        <v>0</v>
      </c>
      <c r="S91" s="87">
        <f t="shared" si="19"/>
        <v>0</v>
      </c>
      <c r="T91" s="87">
        <f t="shared" si="20"/>
        <v>0</v>
      </c>
      <c r="U91" s="87">
        <f t="shared" si="21"/>
        <v>4.0130396768387024</v>
      </c>
      <c r="V91" s="87">
        <f t="shared" si="22"/>
        <v>0.14294330469032887</v>
      </c>
      <c r="W91" s="120">
        <f t="shared" si="23"/>
        <v>9.5295536460219238E-2</v>
      </c>
    </row>
    <row r="92" spans="2:23">
      <c r="B92" s="116">
        <f>Amnt_Deposited!B87</f>
        <v>2073</v>
      </c>
      <c r="C92" s="119">
        <f>Amnt_Deposited!F87</f>
        <v>0</v>
      </c>
      <c r="D92" s="453">
        <f>Dry_Matter_Content!G79</f>
        <v>0.56999999999999995</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0.8</v>
      </c>
      <c r="R92" s="87">
        <f t="shared" si="17"/>
        <v>0</v>
      </c>
      <c r="S92" s="87">
        <f t="shared" si="19"/>
        <v>0</v>
      </c>
      <c r="T92" s="87">
        <f t="shared" si="20"/>
        <v>0</v>
      </c>
      <c r="U92" s="87">
        <f t="shared" si="21"/>
        <v>3.8750128476119654</v>
      </c>
      <c r="V92" s="87">
        <f t="shared" si="22"/>
        <v>0.13802682922673717</v>
      </c>
      <c r="W92" s="120">
        <f t="shared" si="23"/>
        <v>9.2017886151158107E-2</v>
      </c>
    </row>
    <row r="93" spans="2:23">
      <c r="B93" s="116">
        <f>Amnt_Deposited!B88</f>
        <v>2074</v>
      </c>
      <c r="C93" s="119">
        <f>Amnt_Deposited!F88</f>
        <v>0</v>
      </c>
      <c r="D93" s="453">
        <f>Dry_Matter_Content!G80</f>
        <v>0.56999999999999995</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0.8</v>
      </c>
      <c r="R93" s="87">
        <f t="shared" si="17"/>
        <v>0</v>
      </c>
      <c r="S93" s="87">
        <f t="shared" si="19"/>
        <v>0</v>
      </c>
      <c r="T93" s="87">
        <f t="shared" si="20"/>
        <v>0</v>
      </c>
      <c r="U93" s="87">
        <f t="shared" si="21"/>
        <v>3.7417333937217698</v>
      </c>
      <c r="V93" s="87">
        <f t="shared" si="22"/>
        <v>0.1332794538901956</v>
      </c>
      <c r="W93" s="120">
        <f t="shared" si="23"/>
        <v>8.8852969260130393E-2</v>
      </c>
    </row>
    <row r="94" spans="2:23">
      <c r="B94" s="116">
        <f>Amnt_Deposited!B89</f>
        <v>2075</v>
      </c>
      <c r="C94" s="119">
        <f>Amnt_Deposited!F89</f>
        <v>0</v>
      </c>
      <c r="D94" s="453">
        <f>Dry_Matter_Content!G81</f>
        <v>0.56999999999999995</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0.8</v>
      </c>
      <c r="R94" s="87">
        <f t="shared" si="17"/>
        <v>0</v>
      </c>
      <c r="S94" s="87">
        <f t="shared" si="19"/>
        <v>0</v>
      </c>
      <c r="T94" s="87">
        <f t="shared" si="20"/>
        <v>0</v>
      </c>
      <c r="U94" s="87">
        <f t="shared" si="21"/>
        <v>3.6130380311695465</v>
      </c>
      <c r="V94" s="87">
        <f t="shared" si="22"/>
        <v>0.12869536255222344</v>
      </c>
      <c r="W94" s="120">
        <f t="shared" si="23"/>
        <v>8.5796908368148961E-2</v>
      </c>
    </row>
    <row r="95" spans="2:23">
      <c r="B95" s="116">
        <f>Amnt_Deposited!B90</f>
        <v>2076</v>
      </c>
      <c r="C95" s="119">
        <f>Amnt_Deposited!F90</f>
        <v>0</v>
      </c>
      <c r="D95" s="453">
        <f>Dry_Matter_Content!G82</f>
        <v>0.56999999999999995</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0.8</v>
      </c>
      <c r="R95" s="87">
        <f t="shared" si="17"/>
        <v>0</v>
      </c>
      <c r="S95" s="87">
        <f t="shared" si="19"/>
        <v>0</v>
      </c>
      <c r="T95" s="87">
        <f t="shared" si="20"/>
        <v>0</v>
      </c>
      <c r="U95" s="87">
        <f t="shared" si="21"/>
        <v>3.4887690920418883</v>
      </c>
      <c r="V95" s="87">
        <f t="shared" si="22"/>
        <v>0.12426893912765816</v>
      </c>
      <c r="W95" s="120">
        <f t="shared" si="23"/>
        <v>8.2845959418438767E-2</v>
      </c>
    </row>
    <row r="96" spans="2:23">
      <c r="B96" s="116">
        <f>Amnt_Deposited!B91</f>
        <v>2077</v>
      </c>
      <c r="C96" s="119">
        <f>Amnt_Deposited!F91</f>
        <v>0</v>
      </c>
      <c r="D96" s="453">
        <f>Dry_Matter_Content!G83</f>
        <v>0.56999999999999995</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0.8</v>
      </c>
      <c r="R96" s="87">
        <f t="shared" si="17"/>
        <v>0</v>
      </c>
      <c r="S96" s="87">
        <f t="shared" si="19"/>
        <v>0</v>
      </c>
      <c r="T96" s="87">
        <f t="shared" si="20"/>
        <v>0</v>
      </c>
      <c r="U96" s="87">
        <f t="shared" si="21"/>
        <v>3.3687743313476397</v>
      </c>
      <c r="V96" s="87">
        <f t="shared" si="22"/>
        <v>0.11999476069424855</v>
      </c>
      <c r="W96" s="120">
        <f t="shared" si="23"/>
        <v>7.9996507129499031E-2</v>
      </c>
    </row>
    <row r="97" spans="2:23">
      <c r="B97" s="116">
        <f>Amnt_Deposited!B92</f>
        <v>2078</v>
      </c>
      <c r="C97" s="119">
        <f>Amnt_Deposited!F92</f>
        <v>0</v>
      </c>
      <c r="D97" s="453">
        <f>Dry_Matter_Content!G84</f>
        <v>0.56999999999999995</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0.8</v>
      </c>
      <c r="R97" s="87">
        <f t="shared" si="17"/>
        <v>0</v>
      </c>
      <c r="S97" s="87">
        <f t="shared" si="19"/>
        <v>0</v>
      </c>
      <c r="T97" s="87">
        <f t="shared" si="20"/>
        <v>0</v>
      </c>
      <c r="U97" s="87">
        <f t="shared" si="21"/>
        <v>3.2529067404987426</v>
      </c>
      <c r="V97" s="87">
        <f t="shared" si="22"/>
        <v>0.11586759084889695</v>
      </c>
      <c r="W97" s="120">
        <f t="shared" si="23"/>
        <v>7.7245060565931292E-2</v>
      </c>
    </row>
    <row r="98" spans="2:23">
      <c r="B98" s="116">
        <f>Amnt_Deposited!B93</f>
        <v>2079</v>
      </c>
      <c r="C98" s="119">
        <f>Amnt_Deposited!F93</f>
        <v>0</v>
      </c>
      <c r="D98" s="453">
        <f>Dry_Matter_Content!G85</f>
        <v>0.56999999999999995</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0.8</v>
      </c>
      <c r="R98" s="87">
        <f t="shared" si="17"/>
        <v>0</v>
      </c>
      <c r="S98" s="87">
        <f t="shared" si="19"/>
        <v>0</v>
      </c>
      <c r="T98" s="87">
        <f t="shared" si="20"/>
        <v>0</v>
      </c>
      <c r="U98" s="87">
        <f t="shared" si="21"/>
        <v>3.1410243672063323</v>
      </c>
      <c r="V98" s="87">
        <f t="shared" si="22"/>
        <v>0.11188237329241052</v>
      </c>
      <c r="W98" s="120">
        <f t="shared" si="23"/>
        <v>7.4588248861607004E-2</v>
      </c>
    </row>
    <row r="99" spans="2:23" ht="13.5" thickBot="1">
      <c r="B99" s="117">
        <f>Amnt_Deposited!B94</f>
        <v>2080</v>
      </c>
      <c r="C99" s="121">
        <f>Amnt_Deposited!F94</f>
        <v>0</v>
      </c>
      <c r="D99" s="453">
        <f>Dry_Matter_Content!G86</f>
        <v>0.56999999999999995</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0.8</v>
      </c>
      <c r="R99" s="88">
        <f t="shared" si="17"/>
        <v>0</v>
      </c>
      <c r="S99" s="88">
        <f>R99*$W$12</f>
        <v>0</v>
      </c>
      <c r="T99" s="88">
        <f>R99*(1-$W$12)</f>
        <v>0</v>
      </c>
      <c r="U99" s="88">
        <f>S99+U98*$W$10</f>
        <v>3.0329901415714295</v>
      </c>
      <c r="V99" s="88">
        <f>U98*(1-$W$10)+T99</f>
        <v>0.1080342256349025</v>
      </c>
      <c r="W99" s="122">
        <f t="shared" si="23"/>
        <v>7.2022817089934993E-2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0.3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0.86793007474799999</v>
      </c>
      <c r="D19" s="451">
        <f>Dry_Matter_Content!H6</f>
        <v>0.73</v>
      </c>
      <c r="E19" s="318">
        <f>MCF!R18</f>
        <v>0.8</v>
      </c>
      <c r="F19" s="150">
        <f t="shared" ref="F19:F50" si="0">C19*D19*$K$6*DOCF*E19</f>
        <v>7.6030674547924809E-2</v>
      </c>
      <c r="G19" s="85">
        <f t="shared" ref="G19:G82" si="1">F19*$K$12</f>
        <v>7.6030674547924809E-2</v>
      </c>
      <c r="H19" s="85">
        <f t="shared" ref="H19:H82" si="2">F19*(1-$K$12)</f>
        <v>0</v>
      </c>
      <c r="I19" s="85">
        <f t="shared" ref="I19:I82" si="3">G19+I18*$K$10</f>
        <v>7.6030674547924809E-2</v>
      </c>
      <c r="J19" s="85">
        <f t="shared" ref="J19:J82" si="4">I18*(1-$K$10)+H19</f>
        <v>0</v>
      </c>
      <c r="K19" s="86">
        <f>J19*CH4_fraction*conv</f>
        <v>0</v>
      </c>
      <c r="O19" s="115">
        <f>Amnt_Deposited!B14</f>
        <v>2000</v>
      </c>
      <c r="P19" s="118">
        <f>Amnt_Deposited!H14</f>
        <v>0.86793007474799999</v>
      </c>
      <c r="Q19" s="318">
        <f>MCF!R18</f>
        <v>0.8</v>
      </c>
      <c r="R19" s="150">
        <f t="shared" ref="R19:R50" si="5">P19*$W$6*DOCF*Q19</f>
        <v>8.3321287175808001E-2</v>
      </c>
      <c r="S19" s="85">
        <f>R19*$W$12</f>
        <v>8.3321287175808001E-2</v>
      </c>
      <c r="T19" s="85">
        <f>R19*(1-$W$12)</f>
        <v>0</v>
      </c>
      <c r="U19" s="85">
        <f>S19+U18*$W$10</f>
        <v>8.3321287175808001E-2</v>
      </c>
      <c r="V19" s="85">
        <f>U18*(1-$W$10)+T19</f>
        <v>0</v>
      </c>
      <c r="W19" s="86">
        <f>V19*CH4_fraction*conv</f>
        <v>0</v>
      </c>
    </row>
    <row r="20" spans="2:23">
      <c r="B20" s="116">
        <f>Amnt_Deposited!B15</f>
        <v>2001</v>
      </c>
      <c r="C20" s="119">
        <f>Amnt_Deposited!H15</f>
        <v>0.88530794985600003</v>
      </c>
      <c r="D20" s="453">
        <f>Dry_Matter_Content!H7</f>
        <v>0.73</v>
      </c>
      <c r="E20" s="319">
        <f>MCF!R19</f>
        <v>0.8</v>
      </c>
      <c r="F20" s="87">
        <f t="shared" si="0"/>
        <v>7.7552976407385607E-2</v>
      </c>
      <c r="G20" s="87">
        <f t="shared" si="1"/>
        <v>7.7552976407385607E-2</v>
      </c>
      <c r="H20" s="87">
        <f t="shared" si="2"/>
        <v>0</v>
      </c>
      <c r="I20" s="87">
        <f t="shared" si="3"/>
        <v>0.14844350747915119</v>
      </c>
      <c r="J20" s="87">
        <f t="shared" si="4"/>
        <v>5.1401434761592394E-3</v>
      </c>
      <c r="K20" s="120">
        <f>J20*CH4_fraction*conv</f>
        <v>3.426762317439493E-3</v>
      </c>
      <c r="M20" s="428"/>
      <c r="O20" s="116">
        <f>Amnt_Deposited!B15</f>
        <v>2001</v>
      </c>
      <c r="P20" s="119">
        <f>Amnt_Deposited!H15</f>
        <v>0.88530794985600003</v>
      </c>
      <c r="Q20" s="319">
        <f>MCF!R19</f>
        <v>0.8</v>
      </c>
      <c r="R20" s="87">
        <f t="shared" si="5"/>
        <v>8.4989563186176009E-2</v>
      </c>
      <c r="S20" s="87">
        <f>R20*$W$12</f>
        <v>8.4989563186176009E-2</v>
      </c>
      <c r="T20" s="87">
        <f>R20*(1-$W$12)</f>
        <v>0</v>
      </c>
      <c r="U20" s="87">
        <f>S20+U19*$W$10</f>
        <v>0.16267781641550813</v>
      </c>
      <c r="V20" s="87">
        <f>U19*(1-$W$10)+T20</f>
        <v>5.6330339464758785E-3</v>
      </c>
      <c r="W20" s="120">
        <f>V20*CH4_fraction*conv</f>
        <v>3.7553559643172521E-3</v>
      </c>
    </row>
    <row r="21" spans="2:23">
      <c r="B21" s="116">
        <f>Amnt_Deposited!B16</f>
        <v>2002</v>
      </c>
      <c r="C21" s="119">
        <f>Amnt_Deposited!H16</f>
        <v>0.90550030507200008</v>
      </c>
      <c r="D21" s="453">
        <f>Dry_Matter_Content!H8</f>
        <v>0.73</v>
      </c>
      <c r="E21" s="319">
        <f>MCF!R20</f>
        <v>0.8</v>
      </c>
      <c r="F21" s="87">
        <f t="shared" si="0"/>
        <v>7.9321826724307209E-2</v>
      </c>
      <c r="G21" s="87">
        <f t="shared" si="1"/>
        <v>7.9321826724307209E-2</v>
      </c>
      <c r="H21" s="87">
        <f t="shared" si="2"/>
        <v>0</v>
      </c>
      <c r="I21" s="87">
        <f t="shared" si="3"/>
        <v>0.21772963570303019</v>
      </c>
      <c r="J21" s="87">
        <f t="shared" si="4"/>
        <v>1.003569850042821E-2</v>
      </c>
      <c r="K21" s="120">
        <f t="shared" ref="K21:K84" si="6">J21*CH4_fraction*conv</f>
        <v>6.6904656669521398E-3</v>
      </c>
      <c r="O21" s="116">
        <f>Amnt_Deposited!B16</f>
        <v>2002</v>
      </c>
      <c r="P21" s="119">
        <f>Amnt_Deposited!H16</f>
        <v>0.90550030507200008</v>
      </c>
      <c r="Q21" s="319">
        <f>MCF!R20</f>
        <v>0.8</v>
      </c>
      <c r="R21" s="87">
        <f t="shared" si="5"/>
        <v>8.6928029286912012E-2</v>
      </c>
      <c r="S21" s="87">
        <f t="shared" ref="S21:S84" si="7">R21*$W$12</f>
        <v>8.6928029286912012E-2</v>
      </c>
      <c r="T21" s="87">
        <f t="shared" ref="T21:T84" si="8">R21*(1-$W$12)</f>
        <v>0</v>
      </c>
      <c r="U21" s="87">
        <f t="shared" ref="U21:U84" si="9">S21+U20*$W$10</f>
        <v>0.23860781994852623</v>
      </c>
      <c r="V21" s="87">
        <f t="shared" ref="V21:V84" si="10">U20*(1-$W$10)+T21</f>
        <v>1.0998025753893926E-2</v>
      </c>
      <c r="W21" s="120">
        <f t="shared" ref="W21:W84" si="11">V21*CH4_fraction*conv</f>
        <v>7.3320171692626175E-3</v>
      </c>
    </row>
    <row r="22" spans="2:23">
      <c r="B22" s="116">
        <f>Amnt_Deposited!B17</f>
        <v>2003</v>
      </c>
      <c r="C22" s="119">
        <f>Amnt_Deposited!H17</f>
        <v>0.93450559474799988</v>
      </c>
      <c r="D22" s="453">
        <f>Dry_Matter_Content!H9</f>
        <v>0.73</v>
      </c>
      <c r="E22" s="319">
        <f>MCF!R21</f>
        <v>0.8</v>
      </c>
      <c r="F22" s="87">
        <f t="shared" si="0"/>
        <v>8.1862690099924793E-2</v>
      </c>
      <c r="G22" s="87">
        <f t="shared" si="1"/>
        <v>8.1862690099924793E-2</v>
      </c>
      <c r="H22" s="87">
        <f t="shared" si="2"/>
        <v>0</v>
      </c>
      <c r="I22" s="87">
        <f t="shared" si="3"/>
        <v>0.28487245683980367</v>
      </c>
      <c r="J22" s="87">
        <f t="shared" si="4"/>
        <v>1.4719868963151334E-2</v>
      </c>
      <c r="K22" s="120">
        <f t="shared" si="6"/>
        <v>9.8132459754342212E-3</v>
      </c>
      <c r="N22" s="290"/>
      <c r="O22" s="116">
        <f>Amnt_Deposited!B17</f>
        <v>2003</v>
      </c>
      <c r="P22" s="119">
        <f>Amnt_Deposited!H17</f>
        <v>0.93450559474799988</v>
      </c>
      <c r="Q22" s="319">
        <f>MCF!R21</f>
        <v>0.8</v>
      </c>
      <c r="R22" s="87">
        <f t="shared" si="5"/>
        <v>8.9712537095807995E-2</v>
      </c>
      <c r="S22" s="87">
        <f t="shared" si="7"/>
        <v>8.9712537095807995E-2</v>
      </c>
      <c r="T22" s="87">
        <f t="shared" si="8"/>
        <v>0</v>
      </c>
      <c r="U22" s="87">
        <f t="shared" si="9"/>
        <v>0.31218899379704507</v>
      </c>
      <c r="V22" s="87">
        <f t="shared" si="10"/>
        <v>1.6131363247289133E-2</v>
      </c>
      <c r="W22" s="120">
        <f t="shared" si="11"/>
        <v>1.0754242164859422E-2</v>
      </c>
    </row>
    <row r="23" spans="2:23">
      <c r="B23" s="116">
        <f>Amnt_Deposited!B18</f>
        <v>2004</v>
      </c>
      <c r="C23" s="119">
        <f>Amnt_Deposited!H18</f>
        <v>0.94536739083599997</v>
      </c>
      <c r="D23" s="453">
        <f>Dry_Matter_Content!H10</f>
        <v>0.73</v>
      </c>
      <c r="E23" s="319">
        <f>MCF!R22</f>
        <v>0.8</v>
      </c>
      <c r="F23" s="87">
        <f t="shared" si="0"/>
        <v>8.2814183437233596E-2</v>
      </c>
      <c r="G23" s="87">
        <f t="shared" si="1"/>
        <v>8.2814183437233596E-2</v>
      </c>
      <c r="H23" s="87">
        <f t="shared" si="2"/>
        <v>0</v>
      </c>
      <c r="I23" s="87">
        <f t="shared" si="3"/>
        <v>0.34842750165609049</v>
      </c>
      <c r="J23" s="87">
        <f t="shared" si="4"/>
        <v>1.9259138620946744E-2</v>
      </c>
      <c r="K23" s="120">
        <f t="shared" si="6"/>
        <v>1.2839425747297829E-2</v>
      </c>
      <c r="N23" s="290"/>
      <c r="O23" s="116">
        <f>Amnt_Deposited!B18</f>
        <v>2004</v>
      </c>
      <c r="P23" s="119">
        <f>Amnt_Deposited!H18</f>
        <v>0.94536739083599997</v>
      </c>
      <c r="Q23" s="319">
        <f>MCF!R22</f>
        <v>0.8</v>
      </c>
      <c r="R23" s="87">
        <f t="shared" si="5"/>
        <v>9.0755269520255991E-2</v>
      </c>
      <c r="S23" s="87">
        <f t="shared" si="7"/>
        <v>9.0755269520255991E-2</v>
      </c>
      <c r="T23" s="87">
        <f t="shared" si="8"/>
        <v>0</v>
      </c>
      <c r="U23" s="87">
        <f t="shared" si="9"/>
        <v>0.38183835797927723</v>
      </c>
      <c r="V23" s="87">
        <f t="shared" si="10"/>
        <v>2.1105905338023825E-2</v>
      </c>
      <c r="W23" s="120">
        <f t="shared" si="11"/>
        <v>1.4070603558682549E-2</v>
      </c>
    </row>
    <row r="24" spans="2:23">
      <c r="B24" s="116">
        <f>Amnt_Deposited!B19</f>
        <v>2005</v>
      </c>
      <c r="C24" s="119">
        <f>Amnt_Deposited!H19</f>
        <v>0.97164641296799992</v>
      </c>
      <c r="D24" s="453">
        <f>Dry_Matter_Content!H11</f>
        <v>0.73</v>
      </c>
      <c r="E24" s="319">
        <f>MCF!R23</f>
        <v>0.8</v>
      </c>
      <c r="F24" s="87">
        <f t="shared" si="0"/>
        <v>8.5116225775996798E-2</v>
      </c>
      <c r="G24" s="87">
        <f t="shared" si="1"/>
        <v>8.5116225775996798E-2</v>
      </c>
      <c r="H24" s="87">
        <f t="shared" si="2"/>
        <v>0</v>
      </c>
      <c r="I24" s="87">
        <f t="shared" si="3"/>
        <v>0.40998787500540512</v>
      </c>
      <c r="J24" s="87">
        <f t="shared" si="4"/>
        <v>2.355585242668216E-2</v>
      </c>
      <c r="K24" s="120">
        <f t="shared" si="6"/>
        <v>1.5703901617788105E-2</v>
      </c>
      <c r="N24" s="290"/>
      <c r="O24" s="116">
        <f>Amnt_Deposited!B19</f>
        <v>2005</v>
      </c>
      <c r="P24" s="119">
        <f>Amnt_Deposited!H19</f>
        <v>0.97164641296799992</v>
      </c>
      <c r="Q24" s="319">
        <f>MCF!R23</f>
        <v>0.8</v>
      </c>
      <c r="R24" s="87">
        <f t="shared" si="5"/>
        <v>9.3278055644927999E-2</v>
      </c>
      <c r="S24" s="87">
        <f t="shared" si="7"/>
        <v>9.3278055644927999E-2</v>
      </c>
      <c r="T24" s="87">
        <f t="shared" si="8"/>
        <v>0</v>
      </c>
      <c r="U24" s="87">
        <f t="shared" si="9"/>
        <v>0.44930178082784122</v>
      </c>
      <c r="V24" s="87">
        <f t="shared" si="10"/>
        <v>2.581463279636401E-2</v>
      </c>
      <c r="W24" s="120">
        <f t="shared" si="11"/>
        <v>1.7209755197576004E-2</v>
      </c>
    </row>
    <row r="25" spans="2:23">
      <c r="B25" s="116">
        <f>Amnt_Deposited!B20</f>
        <v>2006</v>
      </c>
      <c r="C25" s="119">
        <f>Amnt_Deposited!H20</f>
        <v>0.98285273737200007</v>
      </c>
      <c r="D25" s="453">
        <f>Dry_Matter_Content!H12</f>
        <v>0.73</v>
      </c>
      <c r="E25" s="319">
        <f>MCF!R24</f>
        <v>0.8</v>
      </c>
      <c r="F25" s="87">
        <f t="shared" si="0"/>
        <v>8.6097899793787208E-2</v>
      </c>
      <c r="G25" s="87">
        <f t="shared" si="1"/>
        <v>8.6097899793787208E-2</v>
      </c>
      <c r="H25" s="87">
        <f t="shared" si="2"/>
        <v>0</v>
      </c>
      <c r="I25" s="87">
        <f t="shared" si="3"/>
        <v>0.46836806068519932</v>
      </c>
      <c r="J25" s="87">
        <f t="shared" si="4"/>
        <v>2.7717714113992986E-2</v>
      </c>
      <c r="K25" s="120">
        <f t="shared" si="6"/>
        <v>1.8478476075995322E-2</v>
      </c>
      <c r="N25" s="290"/>
      <c r="O25" s="116">
        <f>Amnt_Deposited!B20</f>
        <v>2006</v>
      </c>
      <c r="P25" s="119">
        <f>Amnt_Deposited!H20</f>
        <v>0.98285273737200007</v>
      </c>
      <c r="Q25" s="319">
        <f>MCF!R24</f>
        <v>0.8</v>
      </c>
      <c r="R25" s="87">
        <f t="shared" si="5"/>
        <v>9.4353862787712017E-2</v>
      </c>
      <c r="S25" s="87">
        <f t="shared" si="7"/>
        <v>9.4353862787712017E-2</v>
      </c>
      <c r="T25" s="87">
        <f t="shared" si="8"/>
        <v>0</v>
      </c>
      <c r="U25" s="87">
        <f t="shared" si="9"/>
        <v>0.513280066504328</v>
      </c>
      <c r="V25" s="87">
        <f t="shared" si="10"/>
        <v>3.037557711122519E-2</v>
      </c>
      <c r="W25" s="120">
        <f t="shared" si="11"/>
        <v>2.0250384740816793E-2</v>
      </c>
    </row>
    <row r="26" spans="2:23">
      <c r="B26" s="116">
        <f>Amnt_Deposited!B21</f>
        <v>2007</v>
      </c>
      <c r="C26" s="119">
        <f>Amnt_Deposited!H21</f>
        <v>0.99376446510000016</v>
      </c>
      <c r="D26" s="453">
        <f>Dry_Matter_Content!H13</f>
        <v>0.73</v>
      </c>
      <c r="E26" s="319">
        <f>MCF!R25</f>
        <v>0.8</v>
      </c>
      <c r="F26" s="87">
        <f t="shared" si="0"/>
        <v>8.7053767142760016E-2</v>
      </c>
      <c r="G26" s="87">
        <f t="shared" si="1"/>
        <v>8.7053767142760016E-2</v>
      </c>
      <c r="H26" s="87">
        <f t="shared" si="2"/>
        <v>0</v>
      </c>
      <c r="I26" s="87">
        <f t="shared" si="3"/>
        <v>0.52375725236697401</v>
      </c>
      <c r="J26" s="87">
        <f t="shared" si="4"/>
        <v>3.1664575460985334E-2</v>
      </c>
      <c r="K26" s="120">
        <f t="shared" si="6"/>
        <v>2.1109716973990222E-2</v>
      </c>
      <c r="N26" s="290"/>
      <c r="O26" s="116">
        <f>Amnt_Deposited!B21</f>
        <v>2007</v>
      </c>
      <c r="P26" s="119">
        <f>Amnt_Deposited!H21</f>
        <v>0.99376446510000016</v>
      </c>
      <c r="Q26" s="319">
        <f>MCF!R25</f>
        <v>0.8</v>
      </c>
      <c r="R26" s="87">
        <f t="shared" si="5"/>
        <v>9.5401388649600016E-2</v>
      </c>
      <c r="S26" s="87">
        <f t="shared" si="7"/>
        <v>9.5401388649600016E-2</v>
      </c>
      <c r="T26" s="87">
        <f t="shared" si="8"/>
        <v>0</v>
      </c>
      <c r="U26" s="87">
        <f t="shared" si="9"/>
        <v>0.57398055053914954</v>
      </c>
      <c r="V26" s="87">
        <f t="shared" si="10"/>
        <v>3.4700904614778448E-2</v>
      </c>
      <c r="W26" s="120">
        <f t="shared" si="11"/>
        <v>2.3133936409852299E-2</v>
      </c>
    </row>
    <row r="27" spans="2:23">
      <c r="B27" s="116">
        <f>Amnt_Deposited!B22</f>
        <v>2008</v>
      </c>
      <c r="C27" s="119">
        <f>Amnt_Deposited!H22</f>
        <v>1.004273410932</v>
      </c>
      <c r="D27" s="453">
        <f>Dry_Matter_Content!H14</f>
        <v>0.73</v>
      </c>
      <c r="E27" s="319">
        <f>MCF!R26</f>
        <v>0.8</v>
      </c>
      <c r="F27" s="87">
        <f t="shared" si="0"/>
        <v>8.7974350797643208E-2</v>
      </c>
      <c r="G27" s="87">
        <f t="shared" si="1"/>
        <v>8.7974350797643208E-2</v>
      </c>
      <c r="H27" s="87">
        <f t="shared" si="2"/>
        <v>0</v>
      </c>
      <c r="I27" s="87">
        <f t="shared" si="3"/>
        <v>0.57632237603552983</v>
      </c>
      <c r="J27" s="87">
        <f t="shared" si="4"/>
        <v>3.5409227129087346E-2</v>
      </c>
      <c r="K27" s="120">
        <f t="shared" si="6"/>
        <v>2.3606151419391562E-2</v>
      </c>
      <c r="N27" s="290"/>
      <c r="O27" s="116">
        <f>Amnt_Deposited!B22</f>
        <v>2008</v>
      </c>
      <c r="P27" s="119">
        <f>Amnt_Deposited!H22</f>
        <v>1.004273410932</v>
      </c>
      <c r="Q27" s="319">
        <f>MCF!R26</f>
        <v>0.8</v>
      </c>
      <c r="R27" s="87">
        <f t="shared" si="5"/>
        <v>9.6410247449472006E-2</v>
      </c>
      <c r="S27" s="87">
        <f t="shared" si="7"/>
        <v>9.6410247449472006E-2</v>
      </c>
      <c r="T27" s="87">
        <f t="shared" si="8"/>
        <v>0</v>
      </c>
      <c r="U27" s="87">
        <f t="shared" si="9"/>
        <v>0.63158616551838886</v>
      </c>
      <c r="V27" s="87">
        <f t="shared" si="10"/>
        <v>3.8804632470232706E-2</v>
      </c>
      <c r="W27" s="120">
        <f t="shared" si="11"/>
        <v>2.5869754980155136E-2</v>
      </c>
    </row>
    <row r="28" spans="2:23">
      <c r="B28" s="116">
        <f>Amnt_Deposited!B23</f>
        <v>2009</v>
      </c>
      <c r="C28" s="119">
        <f>Amnt_Deposited!H23</f>
        <v>1.0142447594399999</v>
      </c>
      <c r="D28" s="453">
        <f>Dry_Matter_Content!H15</f>
        <v>0.73</v>
      </c>
      <c r="E28" s="319">
        <f>MCF!R27</f>
        <v>0.8</v>
      </c>
      <c r="F28" s="87">
        <f t="shared" si="0"/>
        <v>8.8847840926943991E-2</v>
      </c>
      <c r="G28" s="87">
        <f t="shared" si="1"/>
        <v>8.8847840926943991E-2</v>
      </c>
      <c r="H28" s="87">
        <f t="shared" si="2"/>
        <v>0</v>
      </c>
      <c r="I28" s="87">
        <f t="shared" si="3"/>
        <v>0.62620726261598403</v>
      </c>
      <c r="J28" s="87">
        <f t="shared" si="4"/>
        <v>3.8962954346489831E-2</v>
      </c>
      <c r="K28" s="120">
        <f t="shared" si="6"/>
        <v>2.5975302897659886E-2</v>
      </c>
      <c r="N28" s="290"/>
      <c r="O28" s="116">
        <f>Amnt_Deposited!B23</f>
        <v>2009</v>
      </c>
      <c r="P28" s="119">
        <f>Amnt_Deposited!H23</f>
        <v>1.0142447594399999</v>
      </c>
      <c r="Q28" s="319">
        <f>MCF!R27</f>
        <v>0.8</v>
      </c>
      <c r="R28" s="87">
        <f t="shared" si="5"/>
        <v>9.7367496906239998E-2</v>
      </c>
      <c r="S28" s="87">
        <f t="shared" si="7"/>
        <v>9.7367496906239998E-2</v>
      </c>
      <c r="T28" s="87">
        <f t="shared" si="8"/>
        <v>0</v>
      </c>
      <c r="U28" s="87">
        <f t="shared" si="9"/>
        <v>0.68625453437368111</v>
      </c>
      <c r="V28" s="87">
        <f t="shared" si="10"/>
        <v>4.2699128050947763E-2</v>
      </c>
      <c r="W28" s="120">
        <f t="shared" si="11"/>
        <v>2.8466085367298506E-2</v>
      </c>
    </row>
    <row r="29" spans="2:23">
      <c r="B29" s="116">
        <f>Amnt_Deposited!B24</f>
        <v>2010</v>
      </c>
      <c r="C29" s="119">
        <f>Amnt_Deposited!H24</f>
        <v>1.2108422700000001</v>
      </c>
      <c r="D29" s="453">
        <f>Dry_Matter_Content!H16</f>
        <v>0.73</v>
      </c>
      <c r="E29" s="319">
        <f>MCF!R28</f>
        <v>0.8</v>
      </c>
      <c r="F29" s="87">
        <f t="shared" si="0"/>
        <v>0.106069782852</v>
      </c>
      <c r="G29" s="87">
        <f t="shared" si="1"/>
        <v>0.106069782852</v>
      </c>
      <c r="H29" s="87">
        <f t="shared" si="2"/>
        <v>0</v>
      </c>
      <c r="I29" s="87">
        <f t="shared" si="3"/>
        <v>0.68994156449536459</v>
      </c>
      <c r="J29" s="87">
        <f t="shared" si="4"/>
        <v>4.2335480972619362E-2</v>
      </c>
      <c r="K29" s="120">
        <f t="shared" si="6"/>
        <v>2.8223653981746241E-2</v>
      </c>
      <c r="O29" s="116">
        <f>Amnt_Deposited!B24</f>
        <v>2010</v>
      </c>
      <c r="P29" s="119">
        <f>Amnt_Deposited!H24</f>
        <v>1.2108422700000001</v>
      </c>
      <c r="Q29" s="319">
        <f>MCF!R28</f>
        <v>0.8</v>
      </c>
      <c r="R29" s="87">
        <f t="shared" si="5"/>
        <v>0.11624085792000001</v>
      </c>
      <c r="S29" s="87">
        <f t="shared" si="7"/>
        <v>0.11624085792000001</v>
      </c>
      <c r="T29" s="87">
        <f t="shared" si="8"/>
        <v>0</v>
      </c>
      <c r="U29" s="87">
        <f t="shared" si="9"/>
        <v>0.75610034465245446</v>
      </c>
      <c r="V29" s="87">
        <f t="shared" si="10"/>
        <v>4.6395047641226698E-2</v>
      </c>
      <c r="W29" s="120">
        <f t="shared" si="11"/>
        <v>3.0930031760817798E-2</v>
      </c>
    </row>
    <row r="30" spans="2:23">
      <c r="B30" s="116">
        <f>Amnt_Deposited!B25</f>
        <v>2011</v>
      </c>
      <c r="C30" s="119">
        <f>Amnt_Deposited!H25</f>
        <v>1.2594374064359999</v>
      </c>
      <c r="D30" s="453">
        <f>Dry_Matter_Content!H17</f>
        <v>0.73</v>
      </c>
      <c r="E30" s="319">
        <f>MCF!R29</f>
        <v>0.8</v>
      </c>
      <c r="F30" s="87">
        <f t="shared" si="0"/>
        <v>0.11032671680379358</v>
      </c>
      <c r="G30" s="87">
        <f t="shared" si="1"/>
        <v>0.11032671680379358</v>
      </c>
      <c r="H30" s="87">
        <f t="shared" si="2"/>
        <v>0</v>
      </c>
      <c r="I30" s="87">
        <f t="shared" si="3"/>
        <v>0.75362396763551276</v>
      </c>
      <c r="J30" s="87">
        <f t="shared" si="4"/>
        <v>4.6644313663645423E-2</v>
      </c>
      <c r="K30" s="120">
        <f t="shared" si="6"/>
        <v>3.1096209109096946E-2</v>
      </c>
      <c r="O30" s="116">
        <f>Amnt_Deposited!B25</f>
        <v>2011</v>
      </c>
      <c r="P30" s="119">
        <f>Amnt_Deposited!H25</f>
        <v>1.2594374064359999</v>
      </c>
      <c r="Q30" s="319">
        <f>MCF!R29</f>
        <v>0.8</v>
      </c>
      <c r="R30" s="87">
        <f t="shared" si="5"/>
        <v>0.12090599101785598</v>
      </c>
      <c r="S30" s="87">
        <f t="shared" si="7"/>
        <v>0.12090599101785598</v>
      </c>
      <c r="T30" s="87">
        <f t="shared" si="8"/>
        <v>0</v>
      </c>
      <c r="U30" s="87">
        <f t="shared" si="9"/>
        <v>0.82588927960056213</v>
      </c>
      <c r="V30" s="87">
        <f t="shared" si="10"/>
        <v>5.1117056069748416E-2</v>
      </c>
      <c r="W30" s="120">
        <f t="shared" si="11"/>
        <v>3.4078037379832275E-2</v>
      </c>
    </row>
    <row r="31" spans="2:23">
      <c r="B31" s="116">
        <f>Amnt_Deposited!B26</f>
        <v>2012</v>
      </c>
      <c r="C31" s="119">
        <f>Amnt_Deposited!H26</f>
        <v>1.2731036963040001</v>
      </c>
      <c r="D31" s="453">
        <f>Dry_Matter_Content!H18</f>
        <v>0.73</v>
      </c>
      <c r="E31" s="319">
        <f>MCF!R30</f>
        <v>0.8</v>
      </c>
      <c r="F31" s="87">
        <f t="shared" si="0"/>
        <v>0.11152388379623041</v>
      </c>
      <c r="G31" s="87">
        <f t="shared" si="1"/>
        <v>0.11152388379623041</v>
      </c>
      <c r="H31" s="87">
        <f t="shared" si="2"/>
        <v>0</v>
      </c>
      <c r="I31" s="87">
        <f t="shared" si="3"/>
        <v>0.81419821375258294</v>
      </c>
      <c r="J31" s="87">
        <f t="shared" si="4"/>
        <v>5.0949637679160283E-2</v>
      </c>
      <c r="K31" s="120">
        <f t="shared" si="6"/>
        <v>3.3966425119440188E-2</v>
      </c>
      <c r="O31" s="116">
        <f>Amnt_Deposited!B26</f>
        <v>2012</v>
      </c>
      <c r="P31" s="119">
        <f>Amnt_Deposited!H26</f>
        <v>1.2731036963040001</v>
      </c>
      <c r="Q31" s="319">
        <f>MCF!R30</f>
        <v>0.8</v>
      </c>
      <c r="R31" s="87">
        <f t="shared" si="5"/>
        <v>0.12221795484518401</v>
      </c>
      <c r="S31" s="87">
        <f t="shared" si="7"/>
        <v>0.12221795484518401</v>
      </c>
      <c r="T31" s="87">
        <f t="shared" si="8"/>
        <v>0</v>
      </c>
      <c r="U31" s="87">
        <f t="shared" si="9"/>
        <v>0.89227201507132392</v>
      </c>
      <c r="V31" s="87">
        <f t="shared" si="10"/>
        <v>5.5835219374422242E-2</v>
      </c>
      <c r="W31" s="120">
        <f t="shared" si="11"/>
        <v>3.7223479582948159E-2</v>
      </c>
    </row>
    <row r="32" spans="2:23">
      <c r="B32" s="116">
        <f>Amnt_Deposited!B27</f>
        <v>2013</v>
      </c>
      <c r="C32" s="119">
        <f>Amnt_Deposited!H27</f>
        <v>1.2999119938199999</v>
      </c>
      <c r="D32" s="453">
        <f>Dry_Matter_Content!H19</f>
        <v>0.73</v>
      </c>
      <c r="E32" s="319">
        <f>MCF!R31</f>
        <v>0.8</v>
      </c>
      <c r="F32" s="87">
        <f t="shared" si="0"/>
        <v>0.11387229065863198</v>
      </c>
      <c r="G32" s="87">
        <f t="shared" si="1"/>
        <v>0.11387229065863198</v>
      </c>
      <c r="H32" s="87">
        <f t="shared" si="2"/>
        <v>0</v>
      </c>
      <c r="I32" s="87">
        <f t="shared" si="3"/>
        <v>0.87302567334000258</v>
      </c>
      <c r="J32" s="87">
        <f t="shared" si="4"/>
        <v>5.5044831071212344E-2</v>
      </c>
      <c r="K32" s="120">
        <f t="shared" si="6"/>
        <v>3.6696554047474891E-2</v>
      </c>
      <c r="O32" s="116">
        <f>Amnt_Deposited!B27</f>
        <v>2013</v>
      </c>
      <c r="P32" s="119">
        <f>Amnt_Deposited!H27</f>
        <v>1.2999119938199999</v>
      </c>
      <c r="Q32" s="319">
        <f>MCF!R31</f>
        <v>0.8</v>
      </c>
      <c r="R32" s="87">
        <f t="shared" si="5"/>
        <v>0.12479155140671999</v>
      </c>
      <c r="S32" s="87">
        <f t="shared" si="7"/>
        <v>0.12479155140671999</v>
      </c>
      <c r="T32" s="87">
        <f t="shared" si="8"/>
        <v>0</v>
      </c>
      <c r="U32" s="87">
        <f t="shared" si="9"/>
        <v>0.95674046393424961</v>
      </c>
      <c r="V32" s="87">
        <f t="shared" si="10"/>
        <v>6.032310254379436E-2</v>
      </c>
      <c r="W32" s="120">
        <f t="shared" si="11"/>
        <v>4.0215401695862907E-2</v>
      </c>
    </row>
    <row r="33" spans="2:23">
      <c r="B33" s="116">
        <f>Amnt_Deposited!B28</f>
        <v>2014</v>
      </c>
      <c r="C33" s="119">
        <f>Amnt_Deposited!H28</f>
        <v>1.326527222328</v>
      </c>
      <c r="D33" s="453">
        <f>Dry_Matter_Content!H20</f>
        <v>0.73</v>
      </c>
      <c r="E33" s="319">
        <f>MCF!R32</f>
        <v>0.8</v>
      </c>
      <c r="F33" s="87">
        <f t="shared" si="0"/>
        <v>0.1162037846759328</v>
      </c>
      <c r="G33" s="87">
        <f t="shared" si="1"/>
        <v>0.1162037846759328</v>
      </c>
      <c r="H33" s="87">
        <f t="shared" si="2"/>
        <v>0</v>
      </c>
      <c r="I33" s="87">
        <f t="shared" si="3"/>
        <v>0.93020752711738042</v>
      </c>
      <c r="J33" s="87">
        <f t="shared" si="4"/>
        <v>5.9021930898554988E-2</v>
      </c>
      <c r="K33" s="120">
        <f t="shared" si="6"/>
        <v>3.9347953932369992E-2</v>
      </c>
      <c r="O33" s="116">
        <f>Amnt_Deposited!B28</f>
        <v>2014</v>
      </c>
      <c r="P33" s="119">
        <f>Amnt_Deposited!H28</f>
        <v>1.326527222328</v>
      </c>
      <c r="Q33" s="319">
        <f>MCF!R32</f>
        <v>0.8</v>
      </c>
      <c r="R33" s="87">
        <f t="shared" si="5"/>
        <v>0.12734661334348801</v>
      </c>
      <c r="S33" s="87">
        <f t="shared" si="7"/>
        <v>0.12734661334348801</v>
      </c>
      <c r="T33" s="87">
        <f t="shared" si="8"/>
        <v>0</v>
      </c>
      <c r="U33" s="87">
        <f t="shared" si="9"/>
        <v>1.019405509169732</v>
      </c>
      <c r="V33" s="87">
        <f t="shared" si="10"/>
        <v>6.4681568108005474E-2</v>
      </c>
      <c r="W33" s="120">
        <f t="shared" si="11"/>
        <v>4.3121045405336983E-2</v>
      </c>
    </row>
    <row r="34" spans="2:23">
      <c r="B34" s="116">
        <f>Amnt_Deposited!B29</f>
        <v>2015</v>
      </c>
      <c r="C34" s="119">
        <f>Amnt_Deposited!H29</f>
        <v>1.3524766956360001</v>
      </c>
      <c r="D34" s="453">
        <f>Dry_Matter_Content!H21</f>
        <v>0.73</v>
      </c>
      <c r="E34" s="319">
        <f>MCF!R33</f>
        <v>0.8</v>
      </c>
      <c r="F34" s="87">
        <f t="shared" si="0"/>
        <v>0.11847695853771362</v>
      </c>
      <c r="G34" s="87">
        <f t="shared" si="1"/>
        <v>0.11847695853771362</v>
      </c>
      <c r="H34" s="87">
        <f t="shared" si="2"/>
        <v>0</v>
      </c>
      <c r="I34" s="87">
        <f t="shared" si="3"/>
        <v>0.98579670805195385</v>
      </c>
      <c r="J34" s="87">
        <f t="shared" si="4"/>
        <v>6.2887777603140127E-2</v>
      </c>
      <c r="K34" s="120">
        <f t="shared" si="6"/>
        <v>4.1925185068760085E-2</v>
      </c>
      <c r="O34" s="116">
        <f>Amnt_Deposited!B29</f>
        <v>2015</v>
      </c>
      <c r="P34" s="119">
        <f>Amnt_Deposited!H29</f>
        <v>1.3524766956360001</v>
      </c>
      <c r="Q34" s="319">
        <f>MCF!R33</f>
        <v>0.8</v>
      </c>
      <c r="R34" s="87">
        <f t="shared" si="5"/>
        <v>0.12983776278105602</v>
      </c>
      <c r="S34" s="87">
        <f t="shared" si="7"/>
        <v>0.12983776278105602</v>
      </c>
      <c r="T34" s="87">
        <f t="shared" si="8"/>
        <v>0</v>
      </c>
      <c r="U34" s="87">
        <f t="shared" si="9"/>
        <v>1.0803251595089907</v>
      </c>
      <c r="V34" s="87">
        <f t="shared" si="10"/>
        <v>6.8918112441797408E-2</v>
      </c>
      <c r="W34" s="120">
        <f t="shared" si="11"/>
        <v>4.5945408294531601E-2</v>
      </c>
    </row>
    <row r="35" spans="2:23">
      <c r="B35" s="116">
        <f>Amnt_Deposited!B30</f>
        <v>2016</v>
      </c>
      <c r="C35" s="119">
        <f>Amnt_Deposited!H30</f>
        <v>1.3786175735640001</v>
      </c>
      <c r="D35" s="453">
        <f>Dry_Matter_Content!H22</f>
        <v>0.73</v>
      </c>
      <c r="E35" s="319">
        <f>MCF!R34</f>
        <v>0.8</v>
      </c>
      <c r="F35" s="87">
        <f t="shared" si="0"/>
        <v>0.1207668994442064</v>
      </c>
      <c r="G35" s="87">
        <f t="shared" si="1"/>
        <v>0.1207668994442064</v>
      </c>
      <c r="H35" s="87">
        <f t="shared" si="2"/>
        <v>0</v>
      </c>
      <c r="I35" s="87">
        <f t="shared" si="3"/>
        <v>1.0399176577154765</v>
      </c>
      <c r="J35" s="87">
        <f t="shared" si="4"/>
        <v>6.6645949780683722E-2</v>
      </c>
      <c r="K35" s="120">
        <f t="shared" si="6"/>
        <v>4.4430633187122481E-2</v>
      </c>
      <c r="O35" s="116">
        <f>Amnt_Deposited!B30</f>
        <v>2016</v>
      </c>
      <c r="P35" s="119">
        <f>Amnt_Deposited!H30</f>
        <v>1.3786175735640001</v>
      </c>
      <c r="Q35" s="319">
        <f>MCF!R34</f>
        <v>0.8</v>
      </c>
      <c r="R35" s="87">
        <f t="shared" si="5"/>
        <v>0.13234728706214402</v>
      </c>
      <c r="S35" s="87">
        <f t="shared" si="7"/>
        <v>0.13234728706214402</v>
      </c>
      <c r="T35" s="87">
        <f t="shared" si="8"/>
        <v>0</v>
      </c>
      <c r="U35" s="87">
        <f t="shared" si="9"/>
        <v>1.1396357892772346</v>
      </c>
      <c r="V35" s="87">
        <f t="shared" si="10"/>
        <v>7.3036657293899979E-2</v>
      </c>
      <c r="W35" s="120">
        <f t="shared" si="11"/>
        <v>4.8691104862599983E-2</v>
      </c>
    </row>
    <row r="36" spans="2:23">
      <c r="B36" s="116">
        <f>Amnt_Deposited!B31</f>
        <v>2017</v>
      </c>
      <c r="C36" s="119">
        <f>Amnt_Deposited!H31</f>
        <v>1.411244571528</v>
      </c>
      <c r="D36" s="453">
        <f>Dry_Matter_Content!H23</f>
        <v>0.73</v>
      </c>
      <c r="E36" s="319">
        <f>MCF!R35</f>
        <v>0.8</v>
      </c>
      <c r="F36" s="87">
        <f t="shared" si="0"/>
        <v>0.1236250244658528</v>
      </c>
      <c r="G36" s="87">
        <f t="shared" si="1"/>
        <v>0.1236250244658528</v>
      </c>
      <c r="H36" s="87">
        <f t="shared" si="2"/>
        <v>0</v>
      </c>
      <c r="I36" s="87">
        <f t="shared" si="3"/>
        <v>1.0932378217308323</v>
      </c>
      <c r="J36" s="87">
        <f t="shared" si="4"/>
        <v>7.0304860450496942E-2</v>
      </c>
      <c r="K36" s="120">
        <f t="shared" si="6"/>
        <v>4.6869906966997957E-2</v>
      </c>
      <c r="O36" s="116">
        <f>Amnt_Deposited!B31</f>
        <v>2017</v>
      </c>
      <c r="P36" s="119">
        <f>Amnt_Deposited!H31</f>
        <v>1.411244571528</v>
      </c>
      <c r="Q36" s="319">
        <f>MCF!R35</f>
        <v>0.8</v>
      </c>
      <c r="R36" s="87">
        <f t="shared" si="5"/>
        <v>0.13547947886668799</v>
      </c>
      <c r="S36" s="87">
        <f t="shared" si="7"/>
        <v>0.13547947886668799</v>
      </c>
      <c r="T36" s="87">
        <f t="shared" si="8"/>
        <v>0</v>
      </c>
      <c r="U36" s="87">
        <f t="shared" si="9"/>
        <v>1.1980688457324191</v>
      </c>
      <c r="V36" s="87">
        <f t="shared" si="10"/>
        <v>7.7046422411503515E-2</v>
      </c>
      <c r="W36" s="120">
        <f t="shared" si="11"/>
        <v>5.136428160766901E-2</v>
      </c>
    </row>
    <row r="37" spans="2:23">
      <c r="B37" s="116">
        <f>Amnt_Deposited!B32</f>
        <v>2018</v>
      </c>
      <c r="C37" s="119">
        <f>Amnt_Deposited!H32</f>
        <v>1.4464397201760002</v>
      </c>
      <c r="D37" s="453">
        <f>Dry_Matter_Content!H24</f>
        <v>0.73</v>
      </c>
      <c r="E37" s="319">
        <f>MCF!R36</f>
        <v>0.8</v>
      </c>
      <c r="F37" s="87">
        <f t="shared" si="0"/>
        <v>0.12670811948741764</v>
      </c>
      <c r="G37" s="87">
        <f t="shared" si="1"/>
        <v>0.12670811948741764</v>
      </c>
      <c r="H37" s="87">
        <f t="shared" si="2"/>
        <v>0</v>
      </c>
      <c r="I37" s="87">
        <f t="shared" si="3"/>
        <v>1.1460363081566864</v>
      </c>
      <c r="J37" s="87">
        <f t="shared" si="4"/>
        <v>7.3909633061563465E-2</v>
      </c>
      <c r="K37" s="120">
        <f t="shared" si="6"/>
        <v>4.9273088707708974E-2</v>
      </c>
      <c r="O37" s="116">
        <f>Amnt_Deposited!B32</f>
        <v>2018</v>
      </c>
      <c r="P37" s="119">
        <f>Amnt_Deposited!H32</f>
        <v>1.4464397201760002</v>
      </c>
      <c r="Q37" s="319">
        <f>MCF!R36</f>
        <v>0.8</v>
      </c>
      <c r="R37" s="87">
        <f t="shared" si="5"/>
        <v>0.13885821313689603</v>
      </c>
      <c r="S37" s="87">
        <f t="shared" si="7"/>
        <v>0.13885821313689603</v>
      </c>
      <c r="T37" s="87">
        <f t="shared" si="8"/>
        <v>0</v>
      </c>
      <c r="U37" s="87">
        <f t="shared" si="9"/>
        <v>1.2559302007196567</v>
      </c>
      <c r="V37" s="87">
        <f t="shared" si="10"/>
        <v>8.0996858149658596E-2</v>
      </c>
      <c r="W37" s="120">
        <f t="shared" si="11"/>
        <v>5.3997905433105731E-2</v>
      </c>
    </row>
    <row r="38" spans="2:23">
      <c r="B38" s="116">
        <f>Amnt_Deposited!B33</f>
        <v>2019</v>
      </c>
      <c r="C38" s="119">
        <f>Amnt_Deposited!H33</f>
        <v>1.481634868824</v>
      </c>
      <c r="D38" s="453">
        <f>Dry_Matter_Content!H25</f>
        <v>0.73</v>
      </c>
      <c r="E38" s="319">
        <f>MCF!R37</f>
        <v>0.8</v>
      </c>
      <c r="F38" s="87">
        <f t="shared" si="0"/>
        <v>0.1297912145089824</v>
      </c>
      <c r="G38" s="87">
        <f t="shared" si="1"/>
        <v>0.1297912145089824</v>
      </c>
      <c r="H38" s="87">
        <f t="shared" si="2"/>
        <v>0</v>
      </c>
      <c r="I38" s="87">
        <f t="shared" si="3"/>
        <v>1.1983483856221058</v>
      </c>
      <c r="J38" s="87">
        <f t="shared" si="4"/>
        <v>7.7479137043563101E-2</v>
      </c>
      <c r="K38" s="120">
        <f t="shared" si="6"/>
        <v>5.1652758029042067E-2</v>
      </c>
      <c r="O38" s="116">
        <f>Amnt_Deposited!B33</f>
        <v>2019</v>
      </c>
      <c r="P38" s="119">
        <f>Amnt_Deposited!H33</f>
        <v>1.481634868824</v>
      </c>
      <c r="Q38" s="319">
        <f>MCF!R37</f>
        <v>0.8</v>
      </c>
      <c r="R38" s="87">
        <f t="shared" si="5"/>
        <v>0.14223694740710399</v>
      </c>
      <c r="S38" s="87">
        <f t="shared" si="7"/>
        <v>0.14223694740710399</v>
      </c>
      <c r="T38" s="87">
        <f t="shared" si="8"/>
        <v>0</v>
      </c>
      <c r="U38" s="87">
        <f t="shared" si="9"/>
        <v>1.313258504791349</v>
      </c>
      <c r="V38" s="87">
        <f t="shared" si="10"/>
        <v>8.4908643335411635E-2</v>
      </c>
      <c r="W38" s="120">
        <f t="shared" si="11"/>
        <v>5.6605762223607754E-2</v>
      </c>
    </row>
    <row r="39" spans="2:23">
      <c r="B39" s="116">
        <f>Amnt_Deposited!B34</f>
        <v>2020</v>
      </c>
      <c r="C39" s="119">
        <f>Amnt_Deposited!H34</f>
        <v>1.516830017472</v>
      </c>
      <c r="D39" s="453">
        <f>Dry_Matter_Content!H26</f>
        <v>0.73</v>
      </c>
      <c r="E39" s="319">
        <f>MCF!R38</f>
        <v>0.8</v>
      </c>
      <c r="F39" s="87">
        <f t="shared" si="0"/>
        <v>0.13287430953054721</v>
      </c>
      <c r="G39" s="87">
        <f t="shared" si="1"/>
        <v>0.13287430953054721</v>
      </c>
      <c r="H39" s="87">
        <f t="shared" si="2"/>
        <v>0</v>
      </c>
      <c r="I39" s="87">
        <f t="shared" si="3"/>
        <v>1.2502069383788688</v>
      </c>
      <c r="J39" s="87">
        <f t="shared" si="4"/>
        <v>8.1015756773784225E-2</v>
      </c>
      <c r="K39" s="120">
        <f t="shared" si="6"/>
        <v>5.401050451585615E-2</v>
      </c>
      <c r="O39" s="116">
        <f>Amnt_Deposited!B34</f>
        <v>2020</v>
      </c>
      <c r="P39" s="119">
        <f>Amnt_Deposited!H34</f>
        <v>1.516830017472</v>
      </c>
      <c r="Q39" s="319">
        <f>MCF!R38</f>
        <v>0.8</v>
      </c>
      <c r="R39" s="87">
        <f t="shared" si="5"/>
        <v>0.14561568167731198</v>
      </c>
      <c r="S39" s="87">
        <f t="shared" si="7"/>
        <v>0.14561568167731198</v>
      </c>
      <c r="T39" s="87">
        <f t="shared" si="8"/>
        <v>0</v>
      </c>
      <c r="U39" s="87">
        <f t="shared" si="9"/>
        <v>1.3700897954836919</v>
      </c>
      <c r="V39" s="87">
        <f t="shared" si="10"/>
        <v>8.8784390984969028E-2</v>
      </c>
      <c r="W39" s="120">
        <f t="shared" si="11"/>
        <v>5.9189593989979347E-2</v>
      </c>
    </row>
    <row r="40" spans="2:23">
      <c r="B40" s="116">
        <f>Amnt_Deposited!B35</f>
        <v>2021</v>
      </c>
      <c r="C40" s="119">
        <f>Amnt_Deposited!H35</f>
        <v>1.55202516612</v>
      </c>
      <c r="D40" s="453">
        <f>Dry_Matter_Content!H27</f>
        <v>0.73</v>
      </c>
      <c r="E40" s="319">
        <f>MCF!R39</f>
        <v>0.8</v>
      </c>
      <c r="F40" s="87">
        <f t="shared" si="0"/>
        <v>0.135957404552112</v>
      </c>
      <c r="G40" s="87">
        <f t="shared" si="1"/>
        <v>0.135957404552112</v>
      </c>
      <c r="H40" s="87">
        <f t="shared" si="2"/>
        <v>0</v>
      </c>
      <c r="I40" s="87">
        <f t="shared" si="3"/>
        <v>1.3016426275001058</v>
      </c>
      <c r="J40" s="87">
        <f t="shared" si="4"/>
        <v>8.4521715430874833E-2</v>
      </c>
      <c r="K40" s="120">
        <f t="shared" si="6"/>
        <v>5.6347810287249889E-2</v>
      </c>
      <c r="O40" s="116">
        <f>Amnt_Deposited!B35</f>
        <v>2021</v>
      </c>
      <c r="P40" s="119">
        <f>Amnt_Deposited!H35</f>
        <v>1.55202516612</v>
      </c>
      <c r="Q40" s="319">
        <f>MCF!R39</f>
        <v>0.8</v>
      </c>
      <c r="R40" s="87">
        <f t="shared" si="5"/>
        <v>0.14899441594752</v>
      </c>
      <c r="S40" s="87">
        <f t="shared" si="7"/>
        <v>0.14899441594752</v>
      </c>
      <c r="T40" s="87">
        <f t="shared" si="8"/>
        <v>0</v>
      </c>
      <c r="U40" s="87">
        <f t="shared" si="9"/>
        <v>1.4264576739727191</v>
      </c>
      <c r="V40" s="87">
        <f t="shared" si="10"/>
        <v>9.2626537458492975E-2</v>
      </c>
      <c r="W40" s="120">
        <f t="shared" si="11"/>
        <v>6.175102497232865E-2</v>
      </c>
    </row>
    <row r="41" spans="2:23">
      <c r="B41" s="116">
        <f>Amnt_Deposited!B36</f>
        <v>2022</v>
      </c>
      <c r="C41" s="119">
        <f>Amnt_Deposited!H36</f>
        <v>1.587220314768</v>
      </c>
      <c r="D41" s="453">
        <f>Dry_Matter_Content!H28</f>
        <v>0.73</v>
      </c>
      <c r="E41" s="319">
        <f>MCF!R40</f>
        <v>0.8</v>
      </c>
      <c r="F41" s="87">
        <f t="shared" si="0"/>
        <v>0.13904049957367678</v>
      </c>
      <c r="G41" s="87">
        <f t="shared" si="1"/>
        <v>0.13904049957367678</v>
      </c>
      <c r="H41" s="87">
        <f t="shared" si="2"/>
        <v>0</v>
      </c>
      <c r="I41" s="87">
        <f t="shared" si="3"/>
        <v>1.3526840411809158</v>
      </c>
      <c r="J41" s="87">
        <f t="shared" si="4"/>
        <v>8.7999085892866841E-2</v>
      </c>
      <c r="K41" s="120">
        <f t="shared" si="6"/>
        <v>5.8666057261911222E-2</v>
      </c>
      <c r="O41" s="116">
        <f>Amnt_Deposited!B36</f>
        <v>2022</v>
      </c>
      <c r="P41" s="119">
        <f>Amnt_Deposited!H36</f>
        <v>1.587220314768</v>
      </c>
      <c r="Q41" s="319">
        <f>MCF!R40</f>
        <v>0.8</v>
      </c>
      <c r="R41" s="87">
        <f t="shared" si="5"/>
        <v>0.15237315021772802</v>
      </c>
      <c r="S41" s="87">
        <f t="shared" si="7"/>
        <v>0.15237315021772802</v>
      </c>
      <c r="T41" s="87">
        <f t="shared" si="8"/>
        <v>0</v>
      </c>
      <c r="U41" s="87">
        <f t="shared" si="9"/>
        <v>1.4823934697873051</v>
      </c>
      <c r="V41" s="87">
        <f t="shared" si="10"/>
        <v>9.6437354403141773E-2</v>
      </c>
      <c r="W41" s="120">
        <f t="shared" si="11"/>
        <v>6.4291569602094506E-2</v>
      </c>
    </row>
    <row r="42" spans="2:23">
      <c r="B42" s="116">
        <f>Amnt_Deposited!B37</f>
        <v>2023</v>
      </c>
      <c r="C42" s="119">
        <f>Amnt_Deposited!H37</f>
        <v>1.622415463416</v>
      </c>
      <c r="D42" s="453">
        <f>Dry_Matter_Content!H29</f>
        <v>0.73</v>
      </c>
      <c r="E42" s="319">
        <f>MCF!R41</f>
        <v>0.8</v>
      </c>
      <c r="F42" s="87">
        <f t="shared" si="0"/>
        <v>0.14212359459524157</v>
      </c>
      <c r="G42" s="87">
        <f t="shared" si="1"/>
        <v>0.14212359459524157</v>
      </c>
      <c r="H42" s="87">
        <f t="shared" si="2"/>
        <v>0</v>
      </c>
      <c r="I42" s="87">
        <f t="shared" si="3"/>
        <v>1.4033578348777307</v>
      </c>
      <c r="J42" s="87">
        <f t="shared" si="4"/>
        <v>9.1449800898426678E-2</v>
      </c>
      <c r="K42" s="120">
        <f t="shared" si="6"/>
        <v>6.0966533932284447E-2</v>
      </c>
      <c r="O42" s="116">
        <f>Amnt_Deposited!B37</f>
        <v>2023</v>
      </c>
      <c r="P42" s="119">
        <f>Amnt_Deposited!H37</f>
        <v>1.622415463416</v>
      </c>
      <c r="Q42" s="319">
        <f>MCF!R41</f>
        <v>0.8</v>
      </c>
      <c r="R42" s="87">
        <f t="shared" si="5"/>
        <v>0.155751884487936</v>
      </c>
      <c r="S42" s="87">
        <f t="shared" si="7"/>
        <v>0.155751884487936</v>
      </c>
      <c r="T42" s="87">
        <f t="shared" si="8"/>
        <v>0</v>
      </c>
      <c r="U42" s="87">
        <f t="shared" si="9"/>
        <v>1.5379263943865544</v>
      </c>
      <c r="V42" s="87">
        <f t="shared" si="10"/>
        <v>0.10021895988868677</v>
      </c>
      <c r="W42" s="120">
        <f t="shared" si="11"/>
        <v>6.6812639925791173E-2</v>
      </c>
    </row>
    <row r="43" spans="2:23">
      <c r="B43" s="116">
        <f>Amnt_Deposited!B38</f>
        <v>2024</v>
      </c>
      <c r="C43" s="119">
        <f>Amnt_Deposited!H38</f>
        <v>1.6576106120640002</v>
      </c>
      <c r="D43" s="453">
        <f>Dry_Matter_Content!H30</f>
        <v>0.73</v>
      </c>
      <c r="E43" s="319">
        <f>MCF!R42</f>
        <v>0.8</v>
      </c>
      <c r="F43" s="87">
        <f t="shared" si="0"/>
        <v>0.14520668961680641</v>
      </c>
      <c r="G43" s="87">
        <f t="shared" si="1"/>
        <v>0.14520668961680641</v>
      </c>
      <c r="H43" s="87">
        <f t="shared" si="2"/>
        <v>0</v>
      </c>
      <c r="I43" s="87">
        <f t="shared" si="3"/>
        <v>1.4536888619733948</v>
      </c>
      <c r="J43" s="87">
        <f t="shared" si="4"/>
        <v>9.4875662521142365E-2</v>
      </c>
      <c r="K43" s="120">
        <f t="shared" si="6"/>
        <v>6.3250441680761577E-2</v>
      </c>
      <c r="O43" s="116">
        <f>Amnt_Deposited!B38</f>
        <v>2024</v>
      </c>
      <c r="P43" s="119">
        <f>Amnt_Deposited!H38</f>
        <v>1.6576106120640002</v>
      </c>
      <c r="Q43" s="319">
        <f>MCF!R42</f>
        <v>0.8</v>
      </c>
      <c r="R43" s="87">
        <f t="shared" si="5"/>
        <v>0.15913061875814402</v>
      </c>
      <c r="S43" s="87">
        <f t="shared" si="7"/>
        <v>0.15913061875814402</v>
      </c>
      <c r="T43" s="87">
        <f t="shared" si="8"/>
        <v>0</v>
      </c>
      <c r="U43" s="87">
        <f t="shared" si="9"/>
        <v>1.5930836843544054</v>
      </c>
      <c r="V43" s="87">
        <f t="shared" si="10"/>
        <v>0.10397332879029302</v>
      </c>
      <c r="W43" s="120">
        <f t="shared" si="11"/>
        <v>6.9315552526862001E-2</v>
      </c>
    </row>
    <row r="44" spans="2:23">
      <c r="B44" s="116">
        <f>Amnt_Deposited!B39</f>
        <v>2025</v>
      </c>
      <c r="C44" s="119">
        <f>Amnt_Deposited!H39</f>
        <v>1.6928057607120002</v>
      </c>
      <c r="D44" s="453">
        <f>Dry_Matter_Content!H31</f>
        <v>0.73</v>
      </c>
      <c r="E44" s="319">
        <f>MCF!R43</f>
        <v>0.8</v>
      </c>
      <c r="F44" s="87">
        <f t="shared" si="0"/>
        <v>0.14828978463837122</v>
      </c>
      <c r="G44" s="87">
        <f t="shared" si="1"/>
        <v>0.14828978463837122</v>
      </c>
      <c r="H44" s="87">
        <f t="shared" si="2"/>
        <v>0</v>
      </c>
      <c r="I44" s="87">
        <f t="shared" si="3"/>
        <v>1.5037002956084755</v>
      </c>
      <c r="J44" s="87">
        <f t="shared" si="4"/>
        <v>9.8278351003290423E-2</v>
      </c>
      <c r="K44" s="120">
        <f t="shared" si="6"/>
        <v>6.5518900668860278E-2</v>
      </c>
      <c r="O44" s="116">
        <f>Amnt_Deposited!B39</f>
        <v>2025</v>
      </c>
      <c r="P44" s="119">
        <f>Amnt_Deposited!H39</f>
        <v>1.6928057607120002</v>
      </c>
      <c r="Q44" s="319">
        <f>MCF!R43</f>
        <v>0.8</v>
      </c>
      <c r="R44" s="87">
        <f t="shared" si="5"/>
        <v>0.16250935302835201</v>
      </c>
      <c r="S44" s="87">
        <f t="shared" si="7"/>
        <v>0.16250935302835201</v>
      </c>
      <c r="T44" s="87">
        <f t="shared" si="8"/>
        <v>0</v>
      </c>
      <c r="U44" s="87">
        <f t="shared" si="9"/>
        <v>1.647890734913398</v>
      </c>
      <c r="V44" s="87">
        <f t="shared" si="10"/>
        <v>0.10770230246935938</v>
      </c>
      <c r="W44" s="120">
        <f t="shared" si="11"/>
        <v>7.1801534979572923E-2</v>
      </c>
    </row>
    <row r="45" spans="2:23">
      <c r="B45" s="116">
        <f>Amnt_Deposited!B40</f>
        <v>2026</v>
      </c>
      <c r="C45" s="119">
        <f>Amnt_Deposited!H40</f>
        <v>1.7280009093599999</v>
      </c>
      <c r="D45" s="453">
        <f>Dry_Matter_Content!H32</f>
        <v>0.73</v>
      </c>
      <c r="E45" s="319">
        <f>MCF!R44</f>
        <v>0.8</v>
      </c>
      <c r="F45" s="87">
        <f t="shared" si="0"/>
        <v>0.15137287965993601</v>
      </c>
      <c r="G45" s="87">
        <f t="shared" si="1"/>
        <v>0.15137287965993601</v>
      </c>
      <c r="H45" s="87">
        <f t="shared" si="2"/>
        <v>0</v>
      </c>
      <c r="I45" s="87">
        <f t="shared" si="3"/>
        <v>1.5534137422760261</v>
      </c>
      <c r="J45" s="87">
        <f t="shared" si="4"/>
        <v>0.10165943299238542</v>
      </c>
      <c r="K45" s="120">
        <f t="shared" si="6"/>
        <v>6.7772955328256945E-2</v>
      </c>
      <c r="O45" s="116">
        <f>Amnt_Deposited!B40</f>
        <v>2026</v>
      </c>
      <c r="P45" s="119">
        <f>Amnt_Deposited!H40</f>
        <v>1.7280009093599999</v>
      </c>
      <c r="Q45" s="319">
        <f>MCF!R44</f>
        <v>0.8</v>
      </c>
      <c r="R45" s="87">
        <f t="shared" si="5"/>
        <v>0.16588808729856</v>
      </c>
      <c r="S45" s="87">
        <f t="shared" si="7"/>
        <v>0.16588808729856</v>
      </c>
      <c r="T45" s="87">
        <f t="shared" si="8"/>
        <v>0</v>
      </c>
      <c r="U45" s="87">
        <f t="shared" si="9"/>
        <v>1.7023712244120834</v>
      </c>
      <c r="V45" s="87">
        <f t="shared" si="10"/>
        <v>0.11140759779987444</v>
      </c>
      <c r="W45" s="120">
        <f t="shared" si="11"/>
        <v>7.4271731866582952E-2</v>
      </c>
    </row>
    <row r="46" spans="2:23">
      <c r="B46" s="116">
        <f>Amnt_Deposited!B41</f>
        <v>2027</v>
      </c>
      <c r="C46" s="119">
        <f>Amnt_Deposited!H41</f>
        <v>1.7631960580079999</v>
      </c>
      <c r="D46" s="453">
        <f>Dry_Matter_Content!H33</f>
        <v>0.73</v>
      </c>
      <c r="E46" s="319">
        <f>MCF!R45</f>
        <v>0.8</v>
      </c>
      <c r="F46" s="87">
        <f t="shared" si="0"/>
        <v>0.1544559746815008</v>
      </c>
      <c r="G46" s="87">
        <f t="shared" si="1"/>
        <v>0.1544559746815008</v>
      </c>
      <c r="H46" s="87">
        <f t="shared" si="2"/>
        <v>0</v>
      </c>
      <c r="I46" s="87">
        <f t="shared" si="3"/>
        <v>1.602849347736639</v>
      </c>
      <c r="J46" s="87">
        <f t="shared" si="4"/>
        <v>0.10502036922088788</v>
      </c>
      <c r="K46" s="120">
        <f t="shared" si="6"/>
        <v>7.001357948059192E-2</v>
      </c>
      <c r="O46" s="116">
        <f>Amnt_Deposited!B41</f>
        <v>2027</v>
      </c>
      <c r="P46" s="119">
        <f>Amnt_Deposited!H41</f>
        <v>1.7631960580079999</v>
      </c>
      <c r="Q46" s="319">
        <f>MCF!R45</f>
        <v>0.8</v>
      </c>
      <c r="R46" s="87">
        <f t="shared" si="5"/>
        <v>0.16926682156876799</v>
      </c>
      <c r="S46" s="87">
        <f t="shared" si="7"/>
        <v>0.16926682156876799</v>
      </c>
      <c r="T46" s="87">
        <f t="shared" si="8"/>
        <v>0</v>
      </c>
      <c r="U46" s="87">
        <f t="shared" si="9"/>
        <v>1.7565472303963168</v>
      </c>
      <c r="V46" s="87">
        <f t="shared" si="10"/>
        <v>0.11509081558453466</v>
      </c>
      <c r="W46" s="120">
        <f t="shared" si="11"/>
        <v>7.6727210389689771E-2</v>
      </c>
    </row>
    <row r="47" spans="2:23">
      <c r="B47" s="116">
        <f>Amnt_Deposited!B42</f>
        <v>2028</v>
      </c>
      <c r="C47" s="119">
        <f>Amnt_Deposited!H42</f>
        <v>1.7983912066560004</v>
      </c>
      <c r="D47" s="453">
        <f>Dry_Matter_Content!H34</f>
        <v>0.73</v>
      </c>
      <c r="E47" s="319">
        <f>MCF!R46</f>
        <v>0.8</v>
      </c>
      <c r="F47" s="87">
        <f t="shared" si="0"/>
        <v>0.15753906970306564</v>
      </c>
      <c r="G47" s="87">
        <f t="shared" si="1"/>
        <v>0.15753906970306564</v>
      </c>
      <c r="H47" s="87">
        <f t="shared" si="2"/>
        <v>0</v>
      </c>
      <c r="I47" s="87">
        <f t="shared" si="3"/>
        <v>1.6520258957729881</v>
      </c>
      <c r="J47" s="87">
        <f t="shared" si="4"/>
        <v>0.10836252166671656</v>
      </c>
      <c r="K47" s="120">
        <f t="shared" si="6"/>
        <v>7.2241681111144374E-2</v>
      </c>
      <c r="O47" s="116">
        <f>Amnt_Deposited!B42</f>
        <v>2028</v>
      </c>
      <c r="P47" s="119">
        <f>Amnt_Deposited!H42</f>
        <v>1.7983912066560004</v>
      </c>
      <c r="Q47" s="319">
        <f>MCF!R46</f>
        <v>0.8</v>
      </c>
      <c r="R47" s="87">
        <f t="shared" si="5"/>
        <v>0.17264555583897603</v>
      </c>
      <c r="S47" s="87">
        <f t="shared" si="7"/>
        <v>0.17264555583897603</v>
      </c>
      <c r="T47" s="87">
        <f t="shared" si="8"/>
        <v>0</v>
      </c>
      <c r="U47" s="87">
        <f t="shared" si="9"/>
        <v>1.8104393378334118</v>
      </c>
      <c r="V47" s="87">
        <f t="shared" si="10"/>
        <v>0.11875344840188116</v>
      </c>
      <c r="W47" s="120">
        <f t="shared" si="11"/>
        <v>7.916896560125411E-2</v>
      </c>
    </row>
    <row r="48" spans="2:23">
      <c r="B48" s="116">
        <f>Amnt_Deposited!B43</f>
        <v>2029</v>
      </c>
      <c r="C48" s="119">
        <f>Amnt_Deposited!H43</f>
        <v>1.8335863553040002</v>
      </c>
      <c r="D48" s="453">
        <f>Dry_Matter_Content!H35</f>
        <v>0.73</v>
      </c>
      <c r="E48" s="319">
        <f>MCF!R47</f>
        <v>0.8</v>
      </c>
      <c r="F48" s="87">
        <f t="shared" si="0"/>
        <v>0.16062216472463042</v>
      </c>
      <c r="G48" s="87">
        <f t="shared" si="1"/>
        <v>0.16062216472463042</v>
      </c>
      <c r="H48" s="87">
        <f t="shared" si="2"/>
        <v>0</v>
      </c>
      <c r="I48" s="87">
        <f t="shared" si="3"/>
        <v>1.7009609002679527</v>
      </c>
      <c r="J48" s="87">
        <f t="shared" si="4"/>
        <v>0.11168716022966577</v>
      </c>
      <c r="K48" s="120">
        <f t="shared" si="6"/>
        <v>7.4458106819777173E-2</v>
      </c>
      <c r="O48" s="116">
        <f>Amnt_Deposited!B43</f>
        <v>2029</v>
      </c>
      <c r="P48" s="119">
        <f>Amnt_Deposited!H43</f>
        <v>1.8335863553040002</v>
      </c>
      <c r="Q48" s="319">
        <f>MCF!R47</f>
        <v>0.8</v>
      </c>
      <c r="R48" s="87">
        <f t="shared" si="5"/>
        <v>0.17602429010918402</v>
      </c>
      <c r="S48" s="87">
        <f t="shared" si="7"/>
        <v>0.17602429010918402</v>
      </c>
      <c r="T48" s="87">
        <f t="shared" si="8"/>
        <v>0</v>
      </c>
      <c r="U48" s="87">
        <f t="shared" si="9"/>
        <v>1.8640667400196744</v>
      </c>
      <c r="V48" s="87">
        <f t="shared" si="10"/>
        <v>0.1223968879229214</v>
      </c>
      <c r="W48" s="120">
        <f t="shared" si="11"/>
        <v>8.1597925281947592E-2</v>
      </c>
    </row>
    <row r="49" spans="2:23">
      <c r="B49" s="116">
        <f>Amnt_Deposited!B44</f>
        <v>2030</v>
      </c>
      <c r="C49" s="119">
        <f>Amnt_Deposited!H44</f>
        <v>1.8687815039520002</v>
      </c>
      <c r="D49" s="453">
        <f>Dry_Matter_Content!H36</f>
        <v>0.73</v>
      </c>
      <c r="E49" s="319">
        <f>MCF!R48</f>
        <v>0.8</v>
      </c>
      <c r="F49" s="87">
        <f t="shared" si="0"/>
        <v>0.16370525974619521</v>
      </c>
      <c r="G49" s="87">
        <f t="shared" si="1"/>
        <v>0.16370525974619521</v>
      </c>
      <c r="H49" s="87">
        <f t="shared" si="2"/>
        <v>0</v>
      </c>
      <c r="I49" s="87">
        <f t="shared" si="3"/>
        <v>1.7496706910576922</v>
      </c>
      <c r="J49" s="87">
        <f t="shared" si="4"/>
        <v>0.11499546895645557</v>
      </c>
      <c r="K49" s="120">
        <f t="shared" si="6"/>
        <v>7.6663645970970376E-2</v>
      </c>
      <c r="O49" s="116">
        <f>Amnt_Deposited!B44</f>
        <v>2030</v>
      </c>
      <c r="P49" s="119">
        <f>Amnt_Deposited!H44</f>
        <v>1.8687815039520002</v>
      </c>
      <c r="Q49" s="319">
        <f>MCF!R48</f>
        <v>0.8</v>
      </c>
      <c r="R49" s="87">
        <f t="shared" si="5"/>
        <v>0.17940302437939204</v>
      </c>
      <c r="S49" s="87">
        <f t="shared" si="7"/>
        <v>0.17940302437939204</v>
      </c>
      <c r="T49" s="87">
        <f t="shared" si="8"/>
        <v>0</v>
      </c>
      <c r="U49" s="87">
        <f t="shared" si="9"/>
        <v>1.9174473326659645</v>
      </c>
      <c r="V49" s="87">
        <f t="shared" si="10"/>
        <v>0.12602243173310201</v>
      </c>
      <c r="W49" s="120">
        <f t="shared" si="11"/>
        <v>8.4014954488734667E-2</v>
      </c>
    </row>
    <row r="50" spans="2:23">
      <c r="B50" s="116">
        <f>Amnt_Deposited!B45</f>
        <v>2031</v>
      </c>
      <c r="C50" s="119">
        <f>Amnt_Deposited!H45</f>
        <v>0</v>
      </c>
      <c r="D50" s="453">
        <f>Dry_Matter_Content!H37</f>
        <v>0.73</v>
      </c>
      <c r="E50" s="319">
        <f>MCF!R49</f>
        <v>0.8</v>
      </c>
      <c r="F50" s="87">
        <f t="shared" si="0"/>
        <v>0</v>
      </c>
      <c r="G50" s="87">
        <f t="shared" si="1"/>
        <v>0</v>
      </c>
      <c r="H50" s="87">
        <f t="shared" si="2"/>
        <v>0</v>
      </c>
      <c r="I50" s="87">
        <f t="shared" si="3"/>
        <v>1.6313821392127619</v>
      </c>
      <c r="J50" s="87">
        <f t="shared" si="4"/>
        <v>0.11828855184493028</v>
      </c>
      <c r="K50" s="120">
        <f t="shared" si="6"/>
        <v>7.8859034563286856E-2</v>
      </c>
      <c r="O50" s="116">
        <f>Amnt_Deposited!B45</f>
        <v>2031</v>
      </c>
      <c r="P50" s="119">
        <f>Amnt_Deposited!H45</f>
        <v>0</v>
      </c>
      <c r="Q50" s="319">
        <f>MCF!R49</f>
        <v>0.8</v>
      </c>
      <c r="R50" s="87">
        <f t="shared" si="5"/>
        <v>0</v>
      </c>
      <c r="S50" s="87">
        <f t="shared" si="7"/>
        <v>0</v>
      </c>
      <c r="T50" s="87">
        <f t="shared" si="8"/>
        <v>0</v>
      </c>
      <c r="U50" s="87">
        <f t="shared" si="9"/>
        <v>1.7878160429728902</v>
      </c>
      <c r="V50" s="87">
        <f t="shared" si="10"/>
        <v>0.1296312896930743</v>
      </c>
      <c r="W50" s="120">
        <f t="shared" si="11"/>
        <v>8.6420859795382859E-2</v>
      </c>
    </row>
    <row r="51" spans="2:23">
      <c r="B51" s="116">
        <f>Amnt_Deposited!B46</f>
        <v>2032</v>
      </c>
      <c r="C51" s="119">
        <f>Amnt_Deposited!H46</f>
        <v>0</v>
      </c>
      <c r="D51" s="453">
        <f>Dry_Matter_Content!H38</f>
        <v>0.73</v>
      </c>
      <c r="E51" s="319">
        <f>MCF!R50</f>
        <v>0.8</v>
      </c>
      <c r="F51" s="87">
        <f t="shared" ref="F51:F82" si="12">C51*D51*$K$6*DOCF*E51</f>
        <v>0</v>
      </c>
      <c r="G51" s="87">
        <f t="shared" si="1"/>
        <v>0</v>
      </c>
      <c r="H51" s="87">
        <f t="shared" si="2"/>
        <v>0</v>
      </c>
      <c r="I51" s="87">
        <f t="shared" si="3"/>
        <v>1.5210906245069244</v>
      </c>
      <c r="J51" s="87">
        <f t="shared" si="4"/>
        <v>0.11029151470583734</v>
      </c>
      <c r="K51" s="120">
        <f t="shared" si="6"/>
        <v>7.3527676470558218E-2</v>
      </c>
      <c r="O51" s="116">
        <f>Amnt_Deposited!B46</f>
        <v>2032</v>
      </c>
      <c r="P51" s="119">
        <f>Amnt_Deposited!H46</f>
        <v>0</v>
      </c>
      <c r="Q51" s="319">
        <f>MCF!R50</f>
        <v>0.8</v>
      </c>
      <c r="R51" s="87">
        <f t="shared" ref="R51:R82" si="13">P51*$W$6*DOCF*Q51</f>
        <v>0</v>
      </c>
      <c r="S51" s="87">
        <f t="shared" si="7"/>
        <v>0</v>
      </c>
      <c r="T51" s="87">
        <f t="shared" si="8"/>
        <v>0</v>
      </c>
      <c r="U51" s="87">
        <f t="shared" si="9"/>
        <v>1.66694862959663</v>
      </c>
      <c r="V51" s="87">
        <f t="shared" si="10"/>
        <v>0.12086741337626014</v>
      </c>
      <c r="W51" s="120">
        <f t="shared" si="11"/>
        <v>8.0578275584173423E-2</v>
      </c>
    </row>
    <row r="52" spans="2:23">
      <c r="B52" s="116">
        <f>Amnt_Deposited!B47</f>
        <v>2033</v>
      </c>
      <c r="C52" s="119">
        <f>Amnt_Deposited!H47</f>
        <v>0</v>
      </c>
      <c r="D52" s="453">
        <f>Dry_Matter_Content!H39</f>
        <v>0.73</v>
      </c>
      <c r="E52" s="319">
        <f>MCF!R51</f>
        <v>0.8</v>
      </c>
      <c r="F52" s="87">
        <f t="shared" si="12"/>
        <v>0</v>
      </c>
      <c r="G52" s="87">
        <f t="shared" si="1"/>
        <v>0</v>
      </c>
      <c r="H52" s="87">
        <f t="shared" si="2"/>
        <v>0</v>
      </c>
      <c r="I52" s="87">
        <f t="shared" si="3"/>
        <v>1.4182554978071358</v>
      </c>
      <c r="J52" s="87">
        <f t="shared" si="4"/>
        <v>0.10283512669978874</v>
      </c>
      <c r="K52" s="120">
        <f t="shared" si="6"/>
        <v>6.8556751133192484E-2</v>
      </c>
      <c r="O52" s="116">
        <f>Amnt_Deposited!B47</f>
        <v>2033</v>
      </c>
      <c r="P52" s="119">
        <f>Amnt_Deposited!H47</f>
        <v>0</v>
      </c>
      <c r="Q52" s="319">
        <f>MCF!R51</f>
        <v>0.8</v>
      </c>
      <c r="R52" s="87">
        <f t="shared" si="13"/>
        <v>0</v>
      </c>
      <c r="S52" s="87">
        <f t="shared" si="7"/>
        <v>0</v>
      </c>
      <c r="T52" s="87">
        <f t="shared" si="8"/>
        <v>0</v>
      </c>
      <c r="U52" s="87">
        <f t="shared" si="9"/>
        <v>1.5542526003365875</v>
      </c>
      <c r="V52" s="87">
        <f t="shared" si="10"/>
        <v>0.11269602926004249</v>
      </c>
      <c r="W52" s="120">
        <f t="shared" si="11"/>
        <v>7.513068617336166E-2</v>
      </c>
    </row>
    <row r="53" spans="2:23">
      <c r="B53" s="116">
        <f>Amnt_Deposited!B48</f>
        <v>2034</v>
      </c>
      <c r="C53" s="119">
        <f>Amnt_Deposited!H48</f>
        <v>0</v>
      </c>
      <c r="D53" s="453">
        <f>Dry_Matter_Content!H40</f>
        <v>0.73</v>
      </c>
      <c r="E53" s="319">
        <f>MCF!R52</f>
        <v>0.8</v>
      </c>
      <c r="F53" s="87">
        <f t="shared" si="12"/>
        <v>0</v>
      </c>
      <c r="G53" s="87">
        <f t="shared" si="1"/>
        <v>0</v>
      </c>
      <c r="H53" s="87">
        <f t="shared" si="2"/>
        <v>0</v>
      </c>
      <c r="I53" s="87">
        <f t="shared" si="3"/>
        <v>1.3223726612030076</v>
      </c>
      <c r="J53" s="87">
        <f t="shared" si="4"/>
        <v>9.5882836604128205E-2</v>
      </c>
      <c r="K53" s="120">
        <f t="shared" si="6"/>
        <v>6.3921891069418799E-2</v>
      </c>
      <c r="O53" s="116">
        <f>Amnt_Deposited!B48</f>
        <v>2034</v>
      </c>
      <c r="P53" s="119">
        <f>Amnt_Deposited!H48</f>
        <v>0</v>
      </c>
      <c r="Q53" s="319">
        <f>MCF!R52</f>
        <v>0.8</v>
      </c>
      <c r="R53" s="87">
        <f t="shared" si="13"/>
        <v>0</v>
      </c>
      <c r="S53" s="87">
        <f t="shared" si="7"/>
        <v>0</v>
      </c>
      <c r="T53" s="87">
        <f t="shared" si="8"/>
        <v>0</v>
      </c>
      <c r="U53" s="87">
        <f t="shared" si="9"/>
        <v>1.449175519126584</v>
      </c>
      <c r="V53" s="87">
        <f t="shared" si="10"/>
        <v>0.10507708121000353</v>
      </c>
      <c r="W53" s="120">
        <f t="shared" si="11"/>
        <v>7.0051387473335683E-2</v>
      </c>
    </row>
    <row r="54" spans="2:23">
      <c r="B54" s="116">
        <f>Amnt_Deposited!B49</f>
        <v>2035</v>
      </c>
      <c r="C54" s="119">
        <f>Amnt_Deposited!H49</f>
        <v>0</v>
      </c>
      <c r="D54" s="453">
        <f>Dry_Matter_Content!H41</f>
        <v>0.73</v>
      </c>
      <c r="E54" s="319">
        <f>MCF!R53</f>
        <v>0.8</v>
      </c>
      <c r="F54" s="87">
        <f t="shared" si="12"/>
        <v>0</v>
      </c>
      <c r="G54" s="87">
        <f t="shared" si="1"/>
        <v>0</v>
      </c>
      <c r="H54" s="87">
        <f t="shared" si="2"/>
        <v>0</v>
      </c>
      <c r="I54" s="87">
        <f t="shared" si="3"/>
        <v>1.2329720969182665</v>
      </c>
      <c r="J54" s="87">
        <f t="shared" si="4"/>
        <v>8.9400564284740983E-2</v>
      </c>
      <c r="K54" s="120">
        <f t="shared" si="6"/>
        <v>5.9600376189827317E-2</v>
      </c>
      <c r="O54" s="116">
        <f>Amnt_Deposited!B49</f>
        <v>2035</v>
      </c>
      <c r="P54" s="119">
        <f>Amnt_Deposited!H49</f>
        <v>0</v>
      </c>
      <c r="Q54" s="319">
        <f>MCF!R53</f>
        <v>0.8</v>
      </c>
      <c r="R54" s="87">
        <f t="shared" si="13"/>
        <v>0</v>
      </c>
      <c r="S54" s="87">
        <f t="shared" si="7"/>
        <v>0</v>
      </c>
      <c r="T54" s="87">
        <f t="shared" si="8"/>
        <v>0</v>
      </c>
      <c r="U54" s="87">
        <f t="shared" si="9"/>
        <v>1.3512022979926213</v>
      </c>
      <c r="V54" s="87">
        <f t="shared" si="10"/>
        <v>9.7973221133962743E-2</v>
      </c>
      <c r="W54" s="120">
        <f t="shared" si="11"/>
        <v>6.5315480755975153E-2</v>
      </c>
    </row>
    <row r="55" spans="2:23">
      <c r="B55" s="116">
        <f>Amnt_Deposited!B50</f>
        <v>2036</v>
      </c>
      <c r="C55" s="119">
        <f>Amnt_Deposited!H50</f>
        <v>0</v>
      </c>
      <c r="D55" s="453">
        <f>Dry_Matter_Content!H42</f>
        <v>0.73</v>
      </c>
      <c r="E55" s="319">
        <f>MCF!R54</f>
        <v>0.8</v>
      </c>
      <c r="F55" s="87">
        <f t="shared" si="12"/>
        <v>0</v>
      </c>
      <c r="G55" s="87">
        <f t="shared" si="1"/>
        <v>0</v>
      </c>
      <c r="H55" s="87">
        <f t="shared" si="2"/>
        <v>0</v>
      </c>
      <c r="I55" s="87">
        <f t="shared" si="3"/>
        <v>1.1496155632830696</v>
      </c>
      <c r="J55" s="87">
        <f t="shared" si="4"/>
        <v>8.3356533635196919E-2</v>
      </c>
      <c r="K55" s="120">
        <f t="shared" si="6"/>
        <v>5.5571022423464608E-2</v>
      </c>
      <c r="O55" s="116">
        <f>Amnt_Deposited!B50</f>
        <v>2036</v>
      </c>
      <c r="P55" s="119">
        <f>Amnt_Deposited!H50</f>
        <v>0</v>
      </c>
      <c r="Q55" s="319">
        <f>MCF!R54</f>
        <v>0.8</v>
      </c>
      <c r="R55" s="87">
        <f t="shared" si="13"/>
        <v>0</v>
      </c>
      <c r="S55" s="87">
        <f t="shared" si="7"/>
        <v>0</v>
      </c>
      <c r="T55" s="87">
        <f t="shared" si="8"/>
        <v>0</v>
      </c>
      <c r="U55" s="87">
        <f t="shared" si="9"/>
        <v>1.2598526720910355</v>
      </c>
      <c r="V55" s="87">
        <f t="shared" si="10"/>
        <v>9.1349625901585699E-2</v>
      </c>
      <c r="W55" s="120">
        <f t="shared" si="11"/>
        <v>6.089975060105713E-2</v>
      </c>
    </row>
    <row r="56" spans="2:23">
      <c r="B56" s="116">
        <f>Amnt_Deposited!B51</f>
        <v>2037</v>
      </c>
      <c r="C56" s="119">
        <f>Amnt_Deposited!H51</f>
        <v>0</v>
      </c>
      <c r="D56" s="453">
        <f>Dry_Matter_Content!H43</f>
        <v>0.73</v>
      </c>
      <c r="E56" s="319">
        <f>MCF!R55</f>
        <v>0.8</v>
      </c>
      <c r="F56" s="87">
        <f t="shared" si="12"/>
        <v>0</v>
      </c>
      <c r="G56" s="87">
        <f t="shared" si="1"/>
        <v>0</v>
      </c>
      <c r="H56" s="87">
        <f t="shared" si="2"/>
        <v>0</v>
      </c>
      <c r="I56" s="87">
        <f t="shared" si="3"/>
        <v>1.0718944464728297</v>
      </c>
      <c r="J56" s="87">
        <f t="shared" si="4"/>
        <v>7.7721116810239924E-2</v>
      </c>
      <c r="K56" s="120">
        <f t="shared" si="6"/>
        <v>5.1814077873493278E-2</v>
      </c>
      <c r="O56" s="116">
        <f>Amnt_Deposited!B51</f>
        <v>2037</v>
      </c>
      <c r="P56" s="119">
        <f>Amnt_Deposited!H51</f>
        <v>0</v>
      </c>
      <c r="Q56" s="319">
        <f>MCF!R55</f>
        <v>0.8</v>
      </c>
      <c r="R56" s="87">
        <f t="shared" si="13"/>
        <v>0</v>
      </c>
      <c r="S56" s="87">
        <f t="shared" si="7"/>
        <v>0</v>
      </c>
      <c r="T56" s="87">
        <f t="shared" si="8"/>
        <v>0</v>
      </c>
      <c r="U56" s="87">
        <f t="shared" si="9"/>
        <v>1.1746788454496766</v>
      </c>
      <c r="V56" s="87">
        <f t="shared" si="10"/>
        <v>8.5173826641358835E-2</v>
      </c>
      <c r="W56" s="120">
        <f t="shared" si="11"/>
        <v>5.6782551094239221E-2</v>
      </c>
    </row>
    <row r="57" spans="2:23">
      <c r="B57" s="116">
        <f>Amnt_Deposited!B52</f>
        <v>2038</v>
      </c>
      <c r="C57" s="119">
        <f>Amnt_Deposited!H52</f>
        <v>0</v>
      </c>
      <c r="D57" s="453">
        <f>Dry_Matter_Content!H44</f>
        <v>0.73</v>
      </c>
      <c r="E57" s="319">
        <f>MCF!R56</f>
        <v>0.8</v>
      </c>
      <c r="F57" s="87">
        <f t="shared" si="12"/>
        <v>0</v>
      </c>
      <c r="G57" s="87">
        <f t="shared" si="1"/>
        <v>0</v>
      </c>
      <c r="H57" s="87">
        <f t="shared" si="2"/>
        <v>0</v>
      </c>
      <c r="I57" s="87">
        <f t="shared" si="3"/>
        <v>0.99942775748277368</v>
      </c>
      <c r="J57" s="87">
        <f t="shared" si="4"/>
        <v>7.2466688990056011E-2</v>
      </c>
      <c r="K57" s="120">
        <f t="shared" si="6"/>
        <v>4.8311125993370674E-2</v>
      </c>
      <c r="O57" s="116">
        <f>Amnt_Deposited!B52</f>
        <v>2038</v>
      </c>
      <c r="P57" s="119">
        <f>Amnt_Deposited!H52</f>
        <v>0</v>
      </c>
      <c r="Q57" s="319">
        <f>MCF!R56</f>
        <v>0.8</v>
      </c>
      <c r="R57" s="87">
        <f t="shared" si="13"/>
        <v>0</v>
      </c>
      <c r="S57" s="87">
        <f t="shared" si="7"/>
        <v>0</v>
      </c>
      <c r="T57" s="87">
        <f t="shared" si="8"/>
        <v>0</v>
      </c>
      <c r="U57" s="87">
        <f t="shared" si="9"/>
        <v>1.0952632958715329</v>
      </c>
      <c r="V57" s="87">
        <f t="shared" si="10"/>
        <v>7.9415549578143591E-2</v>
      </c>
      <c r="W57" s="120">
        <f t="shared" si="11"/>
        <v>5.2943699718762394E-2</v>
      </c>
    </row>
    <row r="58" spans="2:23">
      <c r="B58" s="116">
        <f>Amnt_Deposited!B53</f>
        <v>2039</v>
      </c>
      <c r="C58" s="119">
        <f>Amnt_Deposited!H53</f>
        <v>0</v>
      </c>
      <c r="D58" s="453">
        <f>Dry_Matter_Content!H45</f>
        <v>0.73</v>
      </c>
      <c r="E58" s="319">
        <f>MCF!R57</f>
        <v>0.8</v>
      </c>
      <c r="F58" s="87">
        <f t="shared" si="12"/>
        <v>0</v>
      </c>
      <c r="G58" s="87">
        <f t="shared" si="1"/>
        <v>0</v>
      </c>
      <c r="H58" s="87">
        <f t="shared" si="2"/>
        <v>0</v>
      </c>
      <c r="I58" s="87">
        <f t="shared" si="3"/>
        <v>0.93186026451939907</v>
      </c>
      <c r="J58" s="87">
        <f t="shared" si="4"/>
        <v>6.7567492963374651E-2</v>
      </c>
      <c r="K58" s="120">
        <f t="shared" si="6"/>
        <v>4.5044995308916431E-2</v>
      </c>
      <c r="O58" s="116">
        <f>Amnt_Deposited!B53</f>
        <v>2039</v>
      </c>
      <c r="P58" s="119">
        <f>Amnt_Deposited!H53</f>
        <v>0</v>
      </c>
      <c r="Q58" s="319">
        <f>MCF!R57</f>
        <v>0.8</v>
      </c>
      <c r="R58" s="87">
        <f t="shared" si="13"/>
        <v>0</v>
      </c>
      <c r="S58" s="87">
        <f t="shared" si="7"/>
        <v>0</v>
      </c>
      <c r="T58" s="87">
        <f t="shared" si="8"/>
        <v>0</v>
      </c>
      <c r="U58" s="87">
        <f t="shared" si="9"/>
        <v>1.0212167282404374</v>
      </c>
      <c r="V58" s="87">
        <f t="shared" si="10"/>
        <v>7.4046567631095517E-2</v>
      </c>
      <c r="W58" s="120">
        <f t="shared" si="11"/>
        <v>4.936437842073034E-2</v>
      </c>
    </row>
    <row r="59" spans="2:23">
      <c r="B59" s="116">
        <f>Amnt_Deposited!B54</f>
        <v>2040</v>
      </c>
      <c r="C59" s="119">
        <f>Amnt_Deposited!H54</f>
        <v>0</v>
      </c>
      <c r="D59" s="453">
        <f>Dry_Matter_Content!H46</f>
        <v>0.73</v>
      </c>
      <c r="E59" s="319">
        <f>MCF!R58</f>
        <v>0.8</v>
      </c>
      <c r="F59" s="87">
        <f t="shared" si="12"/>
        <v>0</v>
      </c>
      <c r="G59" s="87">
        <f t="shared" si="1"/>
        <v>0</v>
      </c>
      <c r="H59" s="87">
        <f t="shared" si="2"/>
        <v>0</v>
      </c>
      <c r="I59" s="87">
        <f t="shared" si="3"/>
        <v>0.86886075165380994</v>
      </c>
      <c r="J59" s="87">
        <f t="shared" si="4"/>
        <v>6.2999512865589177E-2</v>
      </c>
      <c r="K59" s="120">
        <f t="shared" si="6"/>
        <v>4.1999675243726116E-2</v>
      </c>
      <c r="O59" s="116">
        <f>Amnt_Deposited!B54</f>
        <v>2040</v>
      </c>
      <c r="P59" s="119">
        <f>Amnt_Deposited!H54</f>
        <v>0</v>
      </c>
      <c r="Q59" s="319">
        <f>MCF!R58</f>
        <v>0.8</v>
      </c>
      <c r="R59" s="87">
        <f t="shared" si="13"/>
        <v>0</v>
      </c>
      <c r="S59" s="87">
        <f t="shared" si="7"/>
        <v>0</v>
      </c>
      <c r="T59" s="87">
        <f t="shared" si="8"/>
        <v>0</v>
      </c>
      <c r="U59" s="87">
        <f t="shared" si="9"/>
        <v>0.95217616619595613</v>
      </c>
      <c r="V59" s="87">
        <f t="shared" si="10"/>
        <v>6.9040562044481293E-2</v>
      </c>
      <c r="W59" s="120">
        <f t="shared" si="11"/>
        <v>4.6027041362987527E-2</v>
      </c>
    </row>
    <row r="60" spans="2:23">
      <c r="B60" s="116">
        <f>Amnt_Deposited!B55</f>
        <v>2041</v>
      </c>
      <c r="C60" s="119">
        <f>Amnt_Deposited!H55</f>
        <v>0</v>
      </c>
      <c r="D60" s="453">
        <f>Dry_Matter_Content!H47</f>
        <v>0.73</v>
      </c>
      <c r="E60" s="319">
        <f>MCF!R59</f>
        <v>0.8</v>
      </c>
      <c r="F60" s="87">
        <f t="shared" si="12"/>
        <v>0</v>
      </c>
      <c r="G60" s="87">
        <f t="shared" si="1"/>
        <v>0</v>
      </c>
      <c r="H60" s="87">
        <f t="shared" si="2"/>
        <v>0</v>
      </c>
      <c r="I60" s="87">
        <f t="shared" si="3"/>
        <v>0.81012039520084933</v>
      </c>
      <c r="J60" s="87">
        <f t="shared" si="4"/>
        <v>5.8740356452960628E-2</v>
      </c>
      <c r="K60" s="120">
        <f t="shared" si="6"/>
        <v>3.9160237635307085E-2</v>
      </c>
      <c r="O60" s="116">
        <f>Amnt_Deposited!B55</f>
        <v>2041</v>
      </c>
      <c r="P60" s="119">
        <f>Amnt_Deposited!H55</f>
        <v>0</v>
      </c>
      <c r="Q60" s="319">
        <f>MCF!R59</f>
        <v>0.8</v>
      </c>
      <c r="R60" s="87">
        <f t="shared" si="13"/>
        <v>0</v>
      </c>
      <c r="S60" s="87">
        <f t="shared" si="7"/>
        <v>0</v>
      </c>
      <c r="T60" s="87">
        <f t="shared" si="8"/>
        <v>0</v>
      </c>
      <c r="U60" s="87">
        <f t="shared" si="9"/>
        <v>0.8878031728228486</v>
      </c>
      <c r="V60" s="87">
        <f t="shared" si="10"/>
        <v>6.4372993373107534E-2</v>
      </c>
      <c r="W60" s="120">
        <f t="shared" si="11"/>
        <v>4.2915328915405018E-2</v>
      </c>
    </row>
    <row r="61" spans="2:23">
      <c r="B61" s="116">
        <f>Amnt_Deposited!B56</f>
        <v>2042</v>
      </c>
      <c r="C61" s="119">
        <f>Amnt_Deposited!H56</f>
        <v>0</v>
      </c>
      <c r="D61" s="453">
        <f>Dry_Matter_Content!H48</f>
        <v>0.73</v>
      </c>
      <c r="E61" s="319">
        <f>MCF!R60</f>
        <v>0.8</v>
      </c>
      <c r="F61" s="87">
        <f t="shared" si="12"/>
        <v>0</v>
      </c>
      <c r="G61" s="87">
        <f t="shared" si="1"/>
        <v>0</v>
      </c>
      <c r="H61" s="87">
        <f t="shared" si="2"/>
        <v>0</v>
      </c>
      <c r="I61" s="87">
        <f t="shared" si="3"/>
        <v>0.75535124986503632</v>
      </c>
      <c r="J61" s="87">
        <f t="shared" si="4"/>
        <v>5.476914533581298E-2</v>
      </c>
      <c r="K61" s="120">
        <f t="shared" si="6"/>
        <v>3.6512763557208651E-2</v>
      </c>
      <c r="O61" s="116">
        <f>Amnt_Deposited!B56</f>
        <v>2042</v>
      </c>
      <c r="P61" s="119">
        <f>Amnt_Deposited!H56</f>
        <v>0</v>
      </c>
      <c r="Q61" s="319">
        <f>MCF!R60</f>
        <v>0.8</v>
      </c>
      <c r="R61" s="87">
        <f t="shared" si="13"/>
        <v>0</v>
      </c>
      <c r="S61" s="87">
        <f t="shared" si="7"/>
        <v>0</v>
      </c>
      <c r="T61" s="87">
        <f t="shared" si="8"/>
        <v>0</v>
      </c>
      <c r="U61" s="87">
        <f t="shared" si="9"/>
        <v>0.82778219163291655</v>
      </c>
      <c r="V61" s="87">
        <f t="shared" si="10"/>
        <v>6.0020981189932029E-2</v>
      </c>
      <c r="W61" s="120">
        <f t="shared" si="11"/>
        <v>4.0013987459954686E-2</v>
      </c>
    </row>
    <row r="62" spans="2:23">
      <c r="B62" s="116">
        <f>Amnt_Deposited!B57</f>
        <v>2043</v>
      </c>
      <c r="C62" s="119">
        <f>Amnt_Deposited!H57</f>
        <v>0</v>
      </c>
      <c r="D62" s="453">
        <f>Dry_Matter_Content!H49</f>
        <v>0.73</v>
      </c>
      <c r="E62" s="319">
        <f>MCF!R61</f>
        <v>0.8</v>
      </c>
      <c r="F62" s="87">
        <f t="shared" si="12"/>
        <v>0</v>
      </c>
      <c r="G62" s="87">
        <f t="shared" si="1"/>
        <v>0</v>
      </c>
      <c r="H62" s="87">
        <f t="shared" si="2"/>
        <v>0</v>
      </c>
      <c r="I62" s="87">
        <f t="shared" si="3"/>
        <v>0.70428483723239366</v>
      </c>
      <c r="J62" s="87">
        <f t="shared" si="4"/>
        <v>5.1066412632642708E-2</v>
      </c>
      <c r="K62" s="120">
        <f t="shared" si="6"/>
        <v>3.4044275088428472E-2</v>
      </c>
      <c r="O62" s="116">
        <f>Amnt_Deposited!B57</f>
        <v>2043</v>
      </c>
      <c r="P62" s="119">
        <f>Amnt_Deposited!H57</f>
        <v>0</v>
      </c>
      <c r="Q62" s="319">
        <f>MCF!R61</f>
        <v>0.8</v>
      </c>
      <c r="R62" s="87">
        <f t="shared" si="13"/>
        <v>0</v>
      </c>
      <c r="S62" s="87">
        <f t="shared" si="7"/>
        <v>0</v>
      </c>
      <c r="T62" s="87">
        <f t="shared" si="8"/>
        <v>0</v>
      </c>
      <c r="U62" s="87">
        <f t="shared" si="9"/>
        <v>0.77181899970673273</v>
      </c>
      <c r="V62" s="87">
        <f t="shared" si="10"/>
        <v>5.5963191926183792E-2</v>
      </c>
      <c r="W62" s="120">
        <f t="shared" si="11"/>
        <v>3.7308794617455857E-2</v>
      </c>
    </row>
    <row r="63" spans="2:23">
      <c r="B63" s="116">
        <f>Amnt_Deposited!B58</f>
        <v>2044</v>
      </c>
      <c r="C63" s="119">
        <f>Amnt_Deposited!H58</f>
        <v>0</v>
      </c>
      <c r="D63" s="453">
        <f>Dry_Matter_Content!H50</f>
        <v>0.73</v>
      </c>
      <c r="E63" s="319">
        <f>MCF!R62</f>
        <v>0.8</v>
      </c>
      <c r="F63" s="87">
        <f t="shared" si="12"/>
        <v>0</v>
      </c>
      <c r="G63" s="87">
        <f t="shared" si="1"/>
        <v>0</v>
      </c>
      <c r="H63" s="87">
        <f t="shared" si="2"/>
        <v>0</v>
      </c>
      <c r="I63" s="87">
        <f t="shared" si="3"/>
        <v>0.65667082968895052</v>
      </c>
      <c r="J63" s="87">
        <f t="shared" si="4"/>
        <v>4.761400754344311E-2</v>
      </c>
      <c r="K63" s="120">
        <f t="shared" si="6"/>
        <v>3.1742671695628735E-2</v>
      </c>
      <c r="O63" s="116">
        <f>Amnt_Deposited!B58</f>
        <v>2044</v>
      </c>
      <c r="P63" s="119">
        <f>Amnt_Deposited!H58</f>
        <v>0</v>
      </c>
      <c r="Q63" s="319">
        <f>MCF!R62</f>
        <v>0.8</v>
      </c>
      <c r="R63" s="87">
        <f t="shared" si="13"/>
        <v>0</v>
      </c>
      <c r="S63" s="87">
        <f t="shared" si="7"/>
        <v>0</v>
      </c>
      <c r="T63" s="87">
        <f t="shared" si="8"/>
        <v>0</v>
      </c>
      <c r="U63" s="87">
        <f t="shared" si="9"/>
        <v>0.71963926541254852</v>
      </c>
      <c r="V63" s="87">
        <f t="shared" si="10"/>
        <v>5.2179734294184231E-2</v>
      </c>
      <c r="W63" s="120">
        <f t="shared" si="11"/>
        <v>3.4786489529456149E-2</v>
      </c>
    </row>
    <row r="64" spans="2:23">
      <c r="B64" s="116">
        <f>Amnt_Deposited!B59</f>
        <v>2045</v>
      </c>
      <c r="C64" s="119">
        <f>Amnt_Deposited!H59</f>
        <v>0</v>
      </c>
      <c r="D64" s="453">
        <f>Dry_Matter_Content!H51</f>
        <v>0.73</v>
      </c>
      <c r="E64" s="319">
        <f>MCF!R63</f>
        <v>0.8</v>
      </c>
      <c r="F64" s="87">
        <f t="shared" si="12"/>
        <v>0</v>
      </c>
      <c r="G64" s="87">
        <f t="shared" si="1"/>
        <v>0</v>
      </c>
      <c r="H64" s="87">
        <f t="shared" si="2"/>
        <v>0</v>
      </c>
      <c r="I64" s="87">
        <f t="shared" si="3"/>
        <v>0.61227582331448893</v>
      </c>
      <c r="J64" s="87">
        <f t="shared" si="4"/>
        <v>4.439500637446156E-2</v>
      </c>
      <c r="K64" s="120">
        <f t="shared" si="6"/>
        <v>2.9596670916307705E-2</v>
      </c>
      <c r="O64" s="116">
        <f>Amnt_Deposited!B59</f>
        <v>2045</v>
      </c>
      <c r="P64" s="119">
        <f>Amnt_Deposited!H59</f>
        <v>0</v>
      </c>
      <c r="Q64" s="319">
        <f>MCF!R63</f>
        <v>0.8</v>
      </c>
      <c r="R64" s="87">
        <f t="shared" si="13"/>
        <v>0</v>
      </c>
      <c r="S64" s="87">
        <f t="shared" si="7"/>
        <v>0</v>
      </c>
      <c r="T64" s="87">
        <f t="shared" si="8"/>
        <v>0</v>
      </c>
      <c r="U64" s="87">
        <f t="shared" si="9"/>
        <v>0.67098720363231668</v>
      </c>
      <c r="V64" s="87">
        <f t="shared" si="10"/>
        <v>4.8652061780231848E-2</v>
      </c>
      <c r="W64" s="120">
        <f t="shared" si="11"/>
        <v>3.2434707853487899E-2</v>
      </c>
    </row>
    <row r="65" spans="2:23">
      <c r="B65" s="116">
        <f>Amnt_Deposited!B60</f>
        <v>2046</v>
      </c>
      <c r="C65" s="119">
        <f>Amnt_Deposited!H60</f>
        <v>0</v>
      </c>
      <c r="D65" s="453">
        <f>Dry_Matter_Content!H52</f>
        <v>0.73</v>
      </c>
      <c r="E65" s="319">
        <f>MCF!R64</f>
        <v>0.8</v>
      </c>
      <c r="F65" s="87">
        <f t="shared" si="12"/>
        <v>0</v>
      </c>
      <c r="G65" s="87">
        <f t="shared" si="1"/>
        <v>0</v>
      </c>
      <c r="H65" s="87">
        <f t="shared" si="2"/>
        <v>0</v>
      </c>
      <c r="I65" s="87">
        <f t="shared" si="3"/>
        <v>0.57088219373625582</v>
      </c>
      <c r="J65" s="87">
        <f t="shared" si="4"/>
        <v>4.1393629578233136E-2</v>
      </c>
      <c r="K65" s="120">
        <f t="shared" si="6"/>
        <v>2.7595753052155423E-2</v>
      </c>
      <c r="O65" s="116">
        <f>Amnt_Deposited!B60</f>
        <v>2046</v>
      </c>
      <c r="P65" s="119">
        <f>Amnt_Deposited!H60</f>
        <v>0</v>
      </c>
      <c r="Q65" s="319">
        <f>MCF!R64</f>
        <v>0.8</v>
      </c>
      <c r="R65" s="87">
        <f t="shared" si="13"/>
        <v>0</v>
      </c>
      <c r="S65" s="87">
        <f t="shared" si="7"/>
        <v>0</v>
      </c>
      <c r="T65" s="87">
        <f t="shared" si="8"/>
        <v>0</v>
      </c>
      <c r="U65" s="87">
        <f t="shared" si="9"/>
        <v>0.62562432190274608</v>
      </c>
      <c r="V65" s="87">
        <f t="shared" si="10"/>
        <v>4.5362881729570557E-2</v>
      </c>
      <c r="W65" s="120">
        <f t="shared" si="11"/>
        <v>3.0241921153047038E-2</v>
      </c>
    </row>
    <row r="66" spans="2:23">
      <c r="B66" s="116">
        <f>Amnt_Deposited!B61</f>
        <v>2047</v>
      </c>
      <c r="C66" s="119">
        <f>Amnt_Deposited!H61</f>
        <v>0</v>
      </c>
      <c r="D66" s="453">
        <f>Dry_Matter_Content!H53</f>
        <v>0.73</v>
      </c>
      <c r="E66" s="319">
        <f>MCF!R65</f>
        <v>0.8</v>
      </c>
      <c r="F66" s="87">
        <f t="shared" si="12"/>
        <v>0</v>
      </c>
      <c r="G66" s="87">
        <f t="shared" si="1"/>
        <v>0</v>
      </c>
      <c r="H66" s="87">
        <f t="shared" si="2"/>
        <v>0</v>
      </c>
      <c r="I66" s="87">
        <f t="shared" si="3"/>
        <v>0.53228702933403516</v>
      </c>
      <c r="J66" s="87">
        <f t="shared" si="4"/>
        <v>3.859516440222064E-2</v>
      </c>
      <c r="K66" s="120">
        <f t="shared" si="6"/>
        <v>2.5730109601480426E-2</v>
      </c>
      <c r="O66" s="116">
        <f>Amnt_Deposited!B61</f>
        <v>2047</v>
      </c>
      <c r="P66" s="119">
        <f>Amnt_Deposited!H61</f>
        <v>0</v>
      </c>
      <c r="Q66" s="319">
        <f>MCF!R65</f>
        <v>0.8</v>
      </c>
      <c r="R66" s="87">
        <f t="shared" si="13"/>
        <v>0</v>
      </c>
      <c r="S66" s="87">
        <f t="shared" si="7"/>
        <v>0</v>
      </c>
      <c r="T66" s="87">
        <f t="shared" si="8"/>
        <v>0</v>
      </c>
      <c r="U66" s="87">
        <f t="shared" si="9"/>
        <v>0.58332825132497002</v>
      </c>
      <c r="V66" s="87">
        <f t="shared" si="10"/>
        <v>4.229607057777604E-2</v>
      </c>
      <c r="W66" s="120">
        <f t="shared" si="11"/>
        <v>2.8197380385184025E-2</v>
      </c>
    </row>
    <row r="67" spans="2:23">
      <c r="B67" s="116">
        <f>Amnt_Deposited!B62</f>
        <v>2048</v>
      </c>
      <c r="C67" s="119">
        <f>Amnt_Deposited!H62</f>
        <v>0</v>
      </c>
      <c r="D67" s="453">
        <f>Dry_Matter_Content!H54</f>
        <v>0.73</v>
      </c>
      <c r="E67" s="319">
        <f>MCF!R66</f>
        <v>0.8</v>
      </c>
      <c r="F67" s="87">
        <f t="shared" si="12"/>
        <v>0</v>
      </c>
      <c r="G67" s="87">
        <f t="shared" si="1"/>
        <v>0</v>
      </c>
      <c r="H67" s="87">
        <f t="shared" si="2"/>
        <v>0</v>
      </c>
      <c r="I67" s="87">
        <f t="shared" si="3"/>
        <v>0.49630113656715058</v>
      </c>
      <c r="J67" s="87">
        <f t="shared" si="4"/>
        <v>3.5985892766884575E-2</v>
      </c>
      <c r="K67" s="120">
        <f t="shared" si="6"/>
        <v>2.3990595177923048E-2</v>
      </c>
      <c r="O67" s="116">
        <f>Amnt_Deposited!B62</f>
        <v>2048</v>
      </c>
      <c r="P67" s="119">
        <f>Amnt_Deposited!H62</f>
        <v>0</v>
      </c>
      <c r="Q67" s="319">
        <f>MCF!R66</f>
        <v>0.8</v>
      </c>
      <c r="R67" s="87">
        <f t="shared" si="13"/>
        <v>0</v>
      </c>
      <c r="S67" s="87">
        <f t="shared" si="7"/>
        <v>0</v>
      </c>
      <c r="T67" s="87">
        <f t="shared" si="8"/>
        <v>0</v>
      </c>
      <c r="U67" s="87">
        <f t="shared" si="9"/>
        <v>0.54389165651194582</v>
      </c>
      <c r="V67" s="87">
        <f t="shared" si="10"/>
        <v>3.9436594813024188E-2</v>
      </c>
      <c r="W67" s="120">
        <f t="shared" si="11"/>
        <v>2.629106320868279E-2</v>
      </c>
    </row>
    <row r="68" spans="2:23">
      <c r="B68" s="116">
        <f>Amnt_Deposited!B63</f>
        <v>2049</v>
      </c>
      <c r="C68" s="119">
        <f>Amnt_Deposited!H63</f>
        <v>0</v>
      </c>
      <c r="D68" s="453">
        <f>Dry_Matter_Content!H55</f>
        <v>0.73</v>
      </c>
      <c r="E68" s="319">
        <f>MCF!R67</f>
        <v>0.8</v>
      </c>
      <c r="F68" s="87">
        <f t="shared" si="12"/>
        <v>0</v>
      </c>
      <c r="G68" s="87">
        <f t="shared" si="1"/>
        <v>0</v>
      </c>
      <c r="H68" s="87">
        <f t="shared" si="2"/>
        <v>0</v>
      </c>
      <c r="I68" s="87">
        <f t="shared" si="3"/>
        <v>0.46274811254750925</v>
      </c>
      <c r="J68" s="87">
        <f t="shared" si="4"/>
        <v>3.3553024019641345E-2</v>
      </c>
      <c r="K68" s="120">
        <f t="shared" si="6"/>
        <v>2.2368682679760894E-2</v>
      </c>
      <c r="O68" s="116">
        <f>Amnt_Deposited!B63</f>
        <v>2049</v>
      </c>
      <c r="P68" s="119">
        <f>Amnt_Deposited!H63</f>
        <v>0</v>
      </c>
      <c r="Q68" s="319">
        <f>MCF!R67</f>
        <v>0.8</v>
      </c>
      <c r="R68" s="87">
        <f t="shared" si="13"/>
        <v>0</v>
      </c>
      <c r="S68" s="87">
        <f t="shared" si="7"/>
        <v>0</v>
      </c>
      <c r="T68" s="87">
        <f t="shared" si="8"/>
        <v>0</v>
      </c>
      <c r="U68" s="87">
        <f t="shared" si="9"/>
        <v>0.50712121923014708</v>
      </c>
      <c r="V68" s="87">
        <f t="shared" si="10"/>
        <v>3.6770437281798733E-2</v>
      </c>
      <c r="W68" s="120">
        <f t="shared" si="11"/>
        <v>2.4513624854532488E-2</v>
      </c>
    </row>
    <row r="69" spans="2:23">
      <c r="B69" s="116">
        <f>Amnt_Deposited!B64</f>
        <v>2050</v>
      </c>
      <c r="C69" s="119">
        <f>Amnt_Deposited!H64</f>
        <v>0</v>
      </c>
      <c r="D69" s="453">
        <f>Dry_Matter_Content!H56</f>
        <v>0.73</v>
      </c>
      <c r="E69" s="319">
        <f>MCF!R68</f>
        <v>0.8</v>
      </c>
      <c r="F69" s="87">
        <f t="shared" si="12"/>
        <v>0</v>
      </c>
      <c r="G69" s="87">
        <f t="shared" si="1"/>
        <v>0</v>
      </c>
      <c r="H69" s="87">
        <f t="shared" si="2"/>
        <v>0</v>
      </c>
      <c r="I69" s="87">
        <f t="shared" si="3"/>
        <v>0.43146348031243981</v>
      </c>
      <c r="J69" s="87">
        <f t="shared" si="4"/>
        <v>3.1284632235069429E-2</v>
      </c>
      <c r="K69" s="120">
        <f t="shared" si="6"/>
        <v>2.0856421490046285E-2</v>
      </c>
      <c r="O69" s="116">
        <f>Amnt_Deposited!B64</f>
        <v>2050</v>
      </c>
      <c r="P69" s="119">
        <f>Amnt_Deposited!H64</f>
        <v>0</v>
      </c>
      <c r="Q69" s="319">
        <f>MCF!R68</f>
        <v>0.8</v>
      </c>
      <c r="R69" s="87">
        <f t="shared" si="13"/>
        <v>0</v>
      </c>
      <c r="S69" s="87">
        <f t="shared" si="7"/>
        <v>0</v>
      </c>
      <c r="T69" s="87">
        <f t="shared" si="8"/>
        <v>0</v>
      </c>
      <c r="U69" s="87">
        <f t="shared" si="9"/>
        <v>0.47283669075335866</v>
      </c>
      <c r="V69" s="87">
        <f t="shared" si="10"/>
        <v>3.4284528476788409E-2</v>
      </c>
      <c r="W69" s="120">
        <f t="shared" si="11"/>
        <v>2.2856352317858937E-2</v>
      </c>
    </row>
    <row r="70" spans="2:23">
      <c r="B70" s="116">
        <f>Amnt_Deposited!B65</f>
        <v>2051</v>
      </c>
      <c r="C70" s="119">
        <f>Amnt_Deposited!H65</f>
        <v>0</v>
      </c>
      <c r="D70" s="453">
        <f>Dry_Matter_Content!H57</f>
        <v>0.73</v>
      </c>
      <c r="E70" s="319">
        <f>MCF!R69</f>
        <v>0.8</v>
      </c>
      <c r="F70" s="87">
        <f t="shared" si="12"/>
        <v>0</v>
      </c>
      <c r="G70" s="87">
        <f t="shared" si="1"/>
        <v>0</v>
      </c>
      <c r="H70" s="87">
        <f t="shared" si="2"/>
        <v>0</v>
      </c>
      <c r="I70" s="87">
        <f t="shared" si="3"/>
        <v>0.40229388255843068</v>
      </c>
      <c r="J70" s="87">
        <f t="shared" si="4"/>
        <v>2.9169597754009149E-2</v>
      </c>
      <c r="K70" s="120">
        <f t="shared" si="6"/>
        <v>1.9446398502672765E-2</v>
      </c>
      <c r="O70" s="116">
        <f>Amnt_Deposited!B65</f>
        <v>2051</v>
      </c>
      <c r="P70" s="119">
        <f>Amnt_Deposited!H65</f>
        <v>0</v>
      </c>
      <c r="Q70" s="319">
        <f>MCF!R69</f>
        <v>0.8</v>
      </c>
      <c r="R70" s="87">
        <f t="shared" si="13"/>
        <v>0</v>
      </c>
      <c r="S70" s="87">
        <f t="shared" si="7"/>
        <v>0</v>
      </c>
      <c r="T70" s="87">
        <f t="shared" si="8"/>
        <v>0</v>
      </c>
      <c r="U70" s="87">
        <f t="shared" si="9"/>
        <v>0.44087000828321166</v>
      </c>
      <c r="V70" s="87">
        <f t="shared" si="10"/>
        <v>3.1966682470147008E-2</v>
      </c>
      <c r="W70" s="120">
        <f t="shared" si="11"/>
        <v>2.1311121646764672E-2</v>
      </c>
    </row>
    <row r="71" spans="2:23">
      <c r="B71" s="116">
        <f>Amnt_Deposited!B66</f>
        <v>2052</v>
      </c>
      <c r="C71" s="119">
        <f>Amnt_Deposited!H66</f>
        <v>0</v>
      </c>
      <c r="D71" s="453">
        <f>Dry_Matter_Content!H58</f>
        <v>0.73</v>
      </c>
      <c r="E71" s="319">
        <f>MCF!R70</f>
        <v>0.8</v>
      </c>
      <c r="F71" s="87">
        <f t="shared" si="12"/>
        <v>0</v>
      </c>
      <c r="G71" s="87">
        <f t="shared" si="1"/>
        <v>0</v>
      </c>
      <c r="H71" s="87">
        <f t="shared" si="2"/>
        <v>0</v>
      </c>
      <c r="I71" s="87">
        <f t="shared" si="3"/>
        <v>0.3750963298834501</v>
      </c>
      <c r="J71" s="87">
        <f t="shared" si="4"/>
        <v>2.7197552674980561E-2</v>
      </c>
      <c r="K71" s="120">
        <f t="shared" si="6"/>
        <v>1.8131701783320374E-2</v>
      </c>
      <c r="O71" s="116">
        <f>Amnt_Deposited!B66</f>
        <v>2052</v>
      </c>
      <c r="P71" s="119">
        <f>Amnt_Deposited!H66</f>
        <v>0</v>
      </c>
      <c r="Q71" s="319">
        <f>MCF!R70</f>
        <v>0.8</v>
      </c>
      <c r="R71" s="87">
        <f t="shared" si="13"/>
        <v>0</v>
      </c>
      <c r="S71" s="87">
        <f t="shared" si="7"/>
        <v>0</v>
      </c>
      <c r="T71" s="87">
        <f t="shared" si="8"/>
        <v>0</v>
      </c>
      <c r="U71" s="87">
        <f t="shared" si="9"/>
        <v>0.41106447110515076</v>
      </c>
      <c r="V71" s="87">
        <f t="shared" si="10"/>
        <v>2.9805537178060882E-2</v>
      </c>
      <c r="W71" s="120">
        <f t="shared" si="11"/>
        <v>1.9870358118707254E-2</v>
      </c>
    </row>
    <row r="72" spans="2:23">
      <c r="B72" s="116">
        <f>Amnt_Deposited!B67</f>
        <v>2053</v>
      </c>
      <c r="C72" s="119">
        <f>Amnt_Deposited!H67</f>
        <v>0</v>
      </c>
      <c r="D72" s="453">
        <f>Dry_Matter_Content!H59</f>
        <v>0.73</v>
      </c>
      <c r="E72" s="319">
        <f>MCF!R71</f>
        <v>0.8</v>
      </c>
      <c r="F72" s="87">
        <f t="shared" si="12"/>
        <v>0</v>
      </c>
      <c r="G72" s="87">
        <f t="shared" si="1"/>
        <v>0</v>
      </c>
      <c r="H72" s="87">
        <f t="shared" si="2"/>
        <v>0</v>
      </c>
      <c r="I72" s="87">
        <f t="shared" si="3"/>
        <v>0.34973749985273173</v>
      </c>
      <c r="J72" s="87">
        <f t="shared" si="4"/>
        <v>2.5358830030718364E-2</v>
      </c>
      <c r="K72" s="120">
        <f t="shared" si="6"/>
        <v>1.6905886687145575E-2</v>
      </c>
      <c r="O72" s="116">
        <f>Amnt_Deposited!B67</f>
        <v>2053</v>
      </c>
      <c r="P72" s="119">
        <f>Amnt_Deposited!H67</f>
        <v>0</v>
      </c>
      <c r="Q72" s="319">
        <f>MCF!R71</f>
        <v>0.8</v>
      </c>
      <c r="R72" s="87">
        <f t="shared" si="13"/>
        <v>0</v>
      </c>
      <c r="S72" s="87">
        <f t="shared" si="7"/>
        <v>0</v>
      </c>
      <c r="T72" s="87">
        <f t="shared" si="8"/>
        <v>0</v>
      </c>
      <c r="U72" s="87">
        <f t="shared" si="9"/>
        <v>0.38327397244134981</v>
      </c>
      <c r="V72" s="87">
        <f t="shared" si="10"/>
        <v>2.7790498663800945E-2</v>
      </c>
      <c r="W72" s="120">
        <f t="shared" si="11"/>
        <v>1.852699910920063E-2</v>
      </c>
    </row>
    <row r="73" spans="2:23">
      <c r="B73" s="116">
        <f>Amnt_Deposited!B68</f>
        <v>2054</v>
      </c>
      <c r="C73" s="119">
        <f>Amnt_Deposited!H68</f>
        <v>0</v>
      </c>
      <c r="D73" s="453">
        <f>Dry_Matter_Content!H60</f>
        <v>0.73</v>
      </c>
      <c r="E73" s="319">
        <f>MCF!R72</f>
        <v>0.8</v>
      </c>
      <c r="F73" s="87">
        <f t="shared" si="12"/>
        <v>0</v>
      </c>
      <c r="G73" s="87">
        <f t="shared" si="1"/>
        <v>0</v>
      </c>
      <c r="H73" s="87">
        <f t="shared" si="2"/>
        <v>0</v>
      </c>
      <c r="I73" s="87">
        <f t="shared" si="3"/>
        <v>0.32609308345204457</v>
      </c>
      <c r="J73" s="87">
        <f t="shared" si="4"/>
        <v>2.3644416400687169E-2</v>
      </c>
      <c r="K73" s="120">
        <f t="shared" si="6"/>
        <v>1.5762944267124778E-2</v>
      </c>
      <c r="O73" s="116">
        <f>Amnt_Deposited!B68</f>
        <v>2054</v>
      </c>
      <c r="P73" s="119">
        <f>Amnt_Deposited!H68</f>
        <v>0</v>
      </c>
      <c r="Q73" s="319">
        <f>MCF!R72</f>
        <v>0.8</v>
      </c>
      <c r="R73" s="87">
        <f t="shared" si="13"/>
        <v>0</v>
      </c>
      <c r="S73" s="87">
        <f t="shared" si="7"/>
        <v>0</v>
      </c>
      <c r="T73" s="87">
        <f t="shared" si="8"/>
        <v>0</v>
      </c>
      <c r="U73" s="87">
        <f t="shared" si="9"/>
        <v>0.35736228323511732</v>
      </c>
      <c r="V73" s="87">
        <f t="shared" si="10"/>
        <v>2.5911689206232512E-2</v>
      </c>
      <c r="W73" s="120">
        <f t="shared" si="11"/>
        <v>1.7274459470821672E-2</v>
      </c>
    </row>
    <row r="74" spans="2:23">
      <c r="B74" s="116">
        <f>Amnt_Deposited!B69</f>
        <v>2055</v>
      </c>
      <c r="C74" s="119">
        <f>Amnt_Deposited!H69</f>
        <v>0</v>
      </c>
      <c r="D74" s="453">
        <f>Dry_Matter_Content!H61</f>
        <v>0.73</v>
      </c>
      <c r="E74" s="319">
        <f>MCF!R73</f>
        <v>0.8</v>
      </c>
      <c r="F74" s="87">
        <f t="shared" si="12"/>
        <v>0</v>
      </c>
      <c r="G74" s="87">
        <f t="shared" si="1"/>
        <v>0</v>
      </c>
      <c r="H74" s="87">
        <f t="shared" si="2"/>
        <v>0</v>
      </c>
      <c r="I74" s="87">
        <f t="shared" si="3"/>
        <v>0.30404717572476103</v>
      </c>
      <c r="J74" s="87">
        <f t="shared" si="4"/>
        <v>2.2045907727283563E-2</v>
      </c>
      <c r="K74" s="120">
        <f t="shared" si="6"/>
        <v>1.4697271818189042E-2</v>
      </c>
      <c r="O74" s="116">
        <f>Amnt_Deposited!B69</f>
        <v>2055</v>
      </c>
      <c r="P74" s="119">
        <f>Amnt_Deposited!H69</f>
        <v>0</v>
      </c>
      <c r="Q74" s="319">
        <f>MCF!R73</f>
        <v>0.8</v>
      </c>
      <c r="R74" s="87">
        <f t="shared" si="13"/>
        <v>0</v>
      </c>
      <c r="S74" s="87">
        <f t="shared" si="7"/>
        <v>0</v>
      </c>
      <c r="T74" s="87">
        <f t="shared" si="8"/>
        <v>0</v>
      </c>
      <c r="U74" s="87">
        <f t="shared" si="9"/>
        <v>0.33320238435590244</v>
      </c>
      <c r="V74" s="87">
        <f t="shared" si="10"/>
        <v>2.4159898879214863E-2</v>
      </c>
      <c r="W74" s="120">
        <f t="shared" si="11"/>
        <v>1.6106599252809908E-2</v>
      </c>
    </row>
    <row r="75" spans="2:23">
      <c r="B75" s="116">
        <f>Amnt_Deposited!B70</f>
        <v>2056</v>
      </c>
      <c r="C75" s="119">
        <f>Amnt_Deposited!H70</f>
        <v>0</v>
      </c>
      <c r="D75" s="453">
        <f>Dry_Matter_Content!H62</f>
        <v>0.73</v>
      </c>
      <c r="E75" s="319">
        <f>MCF!R74</f>
        <v>0.8</v>
      </c>
      <c r="F75" s="87">
        <f t="shared" si="12"/>
        <v>0</v>
      </c>
      <c r="G75" s="87">
        <f t="shared" si="1"/>
        <v>0</v>
      </c>
      <c r="H75" s="87">
        <f t="shared" si="2"/>
        <v>0</v>
      </c>
      <c r="I75" s="87">
        <f t="shared" si="3"/>
        <v>0.28349170760562503</v>
      </c>
      <c r="J75" s="87">
        <f t="shared" si="4"/>
        <v>2.0555468119135986E-2</v>
      </c>
      <c r="K75" s="120">
        <f t="shared" si="6"/>
        <v>1.3703645412757324E-2</v>
      </c>
      <c r="O75" s="116">
        <f>Amnt_Deposited!B70</f>
        <v>2056</v>
      </c>
      <c r="P75" s="119">
        <f>Amnt_Deposited!H70</f>
        <v>0</v>
      </c>
      <c r="Q75" s="319">
        <f>MCF!R74</f>
        <v>0.8</v>
      </c>
      <c r="R75" s="87">
        <f t="shared" si="13"/>
        <v>0</v>
      </c>
      <c r="S75" s="87">
        <f t="shared" si="7"/>
        <v>0</v>
      </c>
      <c r="T75" s="87">
        <f t="shared" si="8"/>
        <v>0</v>
      </c>
      <c r="U75" s="87">
        <f t="shared" si="9"/>
        <v>0.31067584395136988</v>
      </c>
      <c r="V75" s="87">
        <f t="shared" si="10"/>
        <v>2.2526540404532582E-2</v>
      </c>
      <c r="W75" s="120">
        <f t="shared" si="11"/>
        <v>1.5017693603021721E-2</v>
      </c>
    </row>
    <row r="76" spans="2:23">
      <c r="B76" s="116">
        <f>Amnt_Deposited!B71</f>
        <v>2057</v>
      </c>
      <c r="C76" s="119">
        <f>Amnt_Deposited!H71</f>
        <v>0</v>
      </c>
      <c r="D76" s="453">
        <f>Dry_Matter_Content!H63</f>
        <v>0.73</v>
      </c>
      <c r="E76" s="319">
        <f>MCF!R75</f>
        <v>0.8</v>
      </c>
      <c r="F76" s="87">
        <f t="shared" si="12"/>
        <v>0</v>
      </c>
      <c r="G76" s="87">
        <f t="shared" si="1"/>
        <v>0</v>
      </c>
      <c r="H76" s="87">
        <f t="shared" si="2"/>
        <v>0</v>
      </c>
      <c r="I76" s="87">
        <f t="shared" si="3"/>
        <v>0.26432591616606887</v>
      </c>
      <c r="J76" s="87">
        <f t="shared" si="4"/>
        <v>1.9165791439556139E-2</v>
      </c>
      <c r="K76" s="120">
        <f t="shared" si="6"/>
        <v>1.2777194293037426E-2</v>
      </c>
      <c r="O76" s="116">
        <f>Amnt_Deposited!B71</f>
        <v>2057</v>
      </c>
      <c r="P76" s="119">
        <f>Amnt_Deposited!H71</f>
        <v>0</v>
      </c>
      <c r="Q76" s="319">
        <f>MCF!R75</f>
        <v>0.8</v>
      </c>
      <c r="R76" s="87">
        <f t="shared" si="13"/>
        <v>0</v>
      </c>
      <c r="S76" s="87">
        <f t="shared" si="7"/>
        <v>0</v>
      </c>
      <c r="T76" s="87">
        <f t="shared" si="8"/>
        <v>0</v>
      </c>
      <c r="U76" s="87">
        <f t="shared" si="9"/>
        <v>0.28967223689432203</v>
      </c>
      <c r="V76" s="87">
        <f t="shared" si="10"/>
        <v>2.1003607057047822E-2</v>
      </c>
      <c r="W76" s="120">
        <f t="shared" si="11"/>
        <v>1.4002404704698547E-2</v>
      </c>
    </row>
    <row r="77" spans="2:23">
      <c r="B77" s="116">
        <f>Amnt_Deposited!B72</f>
        <v>2058</v>
      </c>
      <c r="C77" s="119">
        <f>Amnt_Deposited!H72</f>
        <v>0</v>
      </c>
      <c r="D77" s="453">
        <f>Dry_Matter_Content!H64</f>
        <v>0.73</v>
      </c>
      <c r="E77" s="319">
        <f>MCF!R76</f>
        <v>0.8</v>
      </c>
      <c r="F77" s="87">
        <f t="shared" si="12"/>
        <v>0</v>
      </c>
      <c r="G77" s="87">
        <f t="shared" si="1"/>
        <v>0</v>
      </c>
      <c r="H77" s="87">
        <f t="shared" si="2"/>
        <v>0</v>
      </c>
      <c r="I77" s="87">
        <f t="shared" si="3"/>
        <v>0.24645585067422041</v>
      </c>
      <c r="J77" s="87">
        <f t="shared" si="4"/>
        <v>1.7870065491848473E-2</v>
      </c>
      <c r="K77" s="120">
        <f t="shared" si="6"/>
        <v>1.1913376994565648E-2</v>
      </c>
      <c r="O77" s="116">
        <f>Amnt_Deposited!B72</f>
        <v>2058</v>
      </c>
      <c r="P77" s="119">
        <f>Amnt_Deposited!H72</f>
        <v>0</v>
      </c>
      <c r="Q77" s="319">
        <f>MCF!R76</f>
        <v>0.8</v>
      </c>
      <c r="R77" s="87">
        <f t="shared" si="13"/>
        <v>0</v>
      </c>
      <c r="S77" s="87">
        <f t="shared" si="7"/>
        <v>0</v>
      </c>
      <c r="T77" s="87">
        <f t="shared" si="8"/>
        <v>0</v>
      </c>
      <c r="U77" s="87">
        <f t="shared" si="9"/>
        <v>0.2700886034785977</v>
      </c>
      <c r="V77" s="87">
        <f t="shared" si="10"/>
        <v>1.958363341572435E-2</v>
      </c>
      <c r="W77" s="120">
        <f t="shared" si="11"/>
        <v>1.3055755610482899E-2</v>
      </c>
    </row>
    <row r="78" spans="2:23">
      <c r="B78" s="116">
        <f>Amnt_Deposited!B73</f>
        <v>2059</v>
      </c>
      <c r="C78" s="119">
        <f>Amnt_Deposited!H73</f>
        <v>0</v>
      </c>
      <c r="D78" s="453">
        <f>Dry_Matter_Content!H65</f>
        <v>0.73</v>
      </c>
      <c r="E78" s="319">
        <f>MCF!R77</f>
        <v>0.8</v>
      </c>
      <c r="F78" s="87">
        <f t="shared" si="12"/>
        <v>0</v>
      </c>
      <c r="G78" s="87">
        <f t="shared" si="1"/>
        <v>0</v>
      </c>
      <c r="H78" s="87">
        <f t="shared" si="2"/>
        <v>0</v>
      </c>
      <c r="I78" s="87">
        <f t="shared" si="3"/>
        <v>0.22979391204830635</v>
      </c>
      <c r="J78" s="87">
        <f t="shared" si="4"/>
        <v>1.6661938625914065E-2</v>
      </c>
      <c r="K78" s="120">
        <f t="shared" si="6"/>
        <v>1.1107959083942709E-2</v>
      </c>
      <c r="O78" s="116">
        <f>Amnt_Deposited!B73</f>
        <v>2059</v>
      </c>
      <c r="P78" s="119">
        <f>Amnt_Deposited!H73</f>
        <v>0</v>
      </c>
      <c r="Q78" s="319">
        <f>MCF!R77</f>
        <v>0.8</v>
      </c>
      <c r="R78" s="87">
        <f t="shared" si="13"/>
        <v>0</v>
      </c>
      <c r="S78" s="87">
        <f t="shared" si="7"/>
        <v>0</v>
      </c>
      <c r="T78" s="87">
        <f t="shared" si="8"/>
        <v>0</v>
      </c>
      <c r="U78" s="87">
        <f t="shared" si="9"/>
        <v>0.25182894471047268</v>
      </c>
      <c r="V78" s="87">
        <f t="shared" si="10"/>
        <v>1.8259658768125003E-2</v>
      </c>
      <c r="W78" s="120">
        <f t="shared" si="11"/>
        <v>1.2173105845416667E-2</v>
      </c>
    </row>
    <row r="79" spans="2:23">
      <c r="B79" s="116">
        <f>Amnt_Deposited!B74</f>
        <v>2060</v>
      </c>
      <c r="C79" s="119">
        <f>Amnt_Deposited!H74</f>
        <v>0</v>
      </c>
      <c r="D79" s="453">
        <f>Dry_Matter_Content!H66</f>
        <v>0.73</v>
      </c>
      <c r="E79" s="319">
        <f>MCF!R78</f>
        <v>0.8</v>
      </c>
      <c r="F79" s="87">
        <f t="shared" si="12"/>
        <v>0</v>
      </c>
      <c r="G79" s="87">
        <f t="shared" si="1"/>
        <v>0</v>
      </c>
      <c r="H79" s="87">
        <f t="shared" si="2"/>
        <v>0</v>
      </c>
      <c r="I79" s="87">
        <f t="shared" si="3"/>
        <v>0.21425842344585186</v>
      </c>
      <c r="J79" s="87">
        <f t="shared" si="4"/>
        <v>1.5535488602454482E-2</v>
      </c>
      <c r="K79" s="120">
        <f t="shared" si="6"/>
        <v>1.035699240163632E-2</v>
      </c>
      <c r="O79" s="116">
        <f>Amnt_Deposited!B74</f>
        <v>2060</v>
      </c>
      <c r="P79" s="119">
        <f>Amnt_Deposited!H74</f>
        <v>0</v>
      </c>
      <c r="Q79" s="319">
        <f>MCF!R78</f>
        <v>0.8</v>
      </c>
      <c r="R79" s="87">
        <f t="shared" si="13"/>
        <v>0</v>
      </c>
      <c r="S79" s="87">
        <f t="shared" si="7"/>
        <v>0</v>
      </c>
      <c r="T79" s="87">
        <f t="shared" si="8"/>
        <v>0</v>
      </c>
      <c r="U79" s="87">
        <f t="shared" si="9"/>
        <v>0.23480375172148146</v>
      </c>
      <c r="V79" s="87">
        <f t="shared" si="10"/>
        <v>1.702519298899121E-2</v>
      </c>
      <c r="W79" s="120">
        <f t="shared" si="11"/>
        <v>1.1350128659327472E-2</v>
      </c>
    </row>
    <row r="80" spans="2:23">
      <c r="B80" s="116">
        <f>Amnt_Deposited!B75</f>
        <v>2061</v>
      </c>
      <c r="C80" s="119">
        <f>Amnt_Deposited!H75</f>
        <v>0</v>
      </c>
      <c r="D80" s="453">
        <f>Dry_Matter_Content!H67</f>
        <v>0.73</v>
      </c>
      <c r="E80" s="319">
        <f>MCF!R79</f>
        <v>0.8</v>
      </c>
      <c r="F80" s="87">
        <f t="shared" si="12"/>
        <v>0</v>
      </c>
      <c r="G80" s="87">
        <f t="shared" si="1"/>
        <v>0</v>
      </c>
      <c r="H80" s="87">
        <f t="shared" si="2"/>
        <v>0</v>
      </c>
      <c r="I80" s="87">
        <f t="shared" si="3"/>
        <v>0.199773229883704</v>
      </c>
      <c r="J80" s="87">
        <f t="shared" si="4"/>
        <v>1.4485193562147856E-2</v>
      </c>
      <c r="K80" s="120">
        <f t="shared" si="6"/>
        <v>9.6567957080985704E-3</v>
      </c>
      <c r="O80" s="116">
        <f>Amnt_Deposited!B75</f>
        <v>2061</v>
      </c>
      <c r="P80" s="119">
        <f>Amnt_Deposited!H75</f>
        <v>0</v>
      </c>
      <c r="Q80" s="319">
        <f>MCF!R79</f>
        <v>0.8</v>
      </c>
      <c r="R80" s="87">
        <f t="shared" si="13"/>
        <v>0</v>
      </c>
      <c r="S80" s="87">
        <f t="shared" si="7"/>
        <v>0</v>
      </c>
      <c r="T80" s="87">
        <f t="shared" si="8"/>
        <v>0</v>
      </c>
      <c r="U80" s="87">
        <f t="shared" si="9"/>
        <v>0.21892956699583999</v>
      </c>
      <c r="V80" s="87">
        <f t="shared" si="10"/>
        <v>1.5874184725641484E-2</v>
      </c>
      <c r="W80" s="120">
        <f t="shared" si="11"/>
        <v>1.0582789817094321E-2</v>
      </c>
    </row>
    <row r="81" spans="2:23">
      <c r="B81" s="116">
        <f>Amnt_Deposited!B76</f>
        <v>2062</v>
      </c>
      <c r="C81" s="119">
        <f>Amnt_Deposited!H76</f>
        <v>0</v>
      </c>
      <c r="D81" s="453">
        <f>Dry_Matter_Content!H68</f>
        <v>0.73</v>
      </c>
      <c r="E81" s="319">
        <f>MCF!R80</f>
        <v>0.8</v>
      </c>
      <c r="F81" s="87">
        <f t="shared" si="12"/>
        <v>0</v>
      </c>
      <c r="G81" s="87">
        <f t="shared" si="1"/>
        <v>0</v>
      </c>
      <c r="H81" s="87">
        <f t="shared" si="2"/>
        <v>0</v>
      </c>
      <c r="I81" s="87">
        <f t="shared" si="3"/>
        <v>0.18626732492621589</v>
      </c>
      <c r="J81" s="87">
        <f t="shared" si="4"/>
        <v>1.3505904957488088E-2</v>
      </c>
      <c r="K81" s="120">
        <f t="shared" si="6"/>
        <v>9.0039366383253914E-3</v>
      </c>
      <c r="O81" s="116">
        <f>Amnt_Deposited!B76</f>
        <v>2062</v>
      </c>
      <c r="P81" s="119">
        <f>Amnt_Deposited!H76</f>
        <v>0</v>
      </c>
      <c r="Q81" s="319">
        <f>MCF!R80</f>
        <v>0.8</v>
      </c>
      <c r="R81" s="87">
        <f t="shared" si="13"/>
        <v>0</v>
      </c>
      <c r="S81" s="87">
        <f t="shared" si="7"/>
        <v>0</v>
      </c>
      <c r="T81" s="87">
        <f t="shared" si="8"/>
        <v>0</v>
      </c>
      <c r="U81" s="87">
        <f t="shared" si="9"/>
        <v>0.20412857526160647</v>
      </c>
      <c r="V81" s="87">
        <f t="shared" si="10"/>
        <v>1.4800991734233521E-2</v>
      </c>
      <c r="W81" s="120">
        <f t="shared" si="11"/>
        <v>9.8673278228223471E-3</v>
      </c>
    </row>
    <row r="82" spans="2:23">
      <c r="B82" s="116">
        <f>Amnt_Deposited!B77</f>
        <v>2063</v>
      </c>
      <c r="C82" s="119">
        <f>Amnt_Deposited!H77</f>
        <v>0</v>
      </c>
      <c r="D82" s="453">
        <f>Dry_Matter_Content!H69</f>
        <v>0.73</v>
      </c>
      <c r="E82" s="319">
        <f>MCF!R81</f>
        <v>0.8</v>
      </c>
      <c r="F82" s="87">
        <f t="shared" si="12"/>
        <v>0</v>
      </c>
      <c r="G82" s="87">
        <f t="shared" si="1"/>
        <v>0</v>
      </c>
      <c r="H82" s="87">
        <f t="shared" si="2"/>
        <v>0</v>
      </c>
      <c r="I82" s="87">
        <f t="shared" si="3"/>
        <v>0.1736745026116169</v>
      </c>
      <c r="J82" s="87">
        <f t="shared" si="4"/>
        <v>1.2592822314599001E-2</v>
      </c>
      <c r="K82" s="120">
        <f t="shared" si="6"/>
        <v>8.3952148763993331E-3</v>
      </c>
      <c r="O82" s="116">
        <f>Amnt_Deposited!B77</f>
        <v>2063</v>
      </c>
      <c r="P82" s="119">
        <f>Amnt_Deposited!H77</f>
        <v>0</v>
      </c>
      <c r="Q82" s="319">
        <f>MCF!R81</f>
        <v>0.8</v>
      </c>
      <c r="R82" s="87">
        <f t="shared" si="13"/>
        <v>0</v>
      </c>
      <c r="S82" s="87">
        <f t="shared" si="7"/>
        <v>0</v>
      </c>
      <c r="T82" s="87">
        <f t="shared" si="8"/>
        <v>0</v>
      </c>
      <c r="U82" s="87">
        <f t="shared" si="9"/>
        <v>0.19032822204012811</v>
      </c>
      <c r="V82" s="87">
        <f t="shared" si="10"/>
        <v>1.380035322147836E-2</v>
      </c>
      <c r="W82" s="120">
        <f t="shared" si="11"/>
        <v>9.2002354809855719E-3</v>
      </c>
    </row>
    <row r="83" spans="2:23">
      <c r="B83" s="116">
        <f>Amnt_Deposited!B78</f>
        <v>2064</v>
      </c>
      <c r="C83" s="119">
        <f>Amnt_Deposited!H78</f>
        <v>0</v>
      </c>
      <c r="D83" s="453">
        <f>Dry_Matter_Content!H70</f>
        <v>0.73</v>
      </c>
      <c r="E83" s="319">
        <f>MCF!R82</f>
        <v>0.8</v>
      </c>
      <c r="F83" s="87">
        <f t="shared" ref="F83:F99" si="14">C83*D83*$K$6*DOCF*E83</f>
        <v>0</v>
      </c>
      <c r="G83" s="87">
        <f t="shared" ref="G83:G99" si="15">F83*$K$12</f>
        <v>0</v>
      </c>
      <c r="H83" s="87">
        <f t="shared" ref="H83:H99" si="16">F83*(1-$K$12)</f>
        <v>0</v>
      </c>
      <c r="I83" s="87">
        <f t="shared" ref="I83:I99" si="17">G83+I82*$K$10</f>
        <v>0.16193303291031108</v>
      </c>
      <c r="J83" s="87">
        <f t="shared" ref="J83:J99" si="18">I82*(1-$K$10)+H83</f>
        <v>1.1741469701305829E-2</v>
      </c>
      <c r="K83" s="120">
        <f t="shared" si="6"/>
        <v>7.8276464675372179E-3</v>
      </c>
      <c r="O83" s="116">
        <f>Amnt_Deposited!B78</f>
        <v>2064</v>
      </c>
      <c r="P83" s="119">
        <f>Amnt_Deposited!H78</f>
        <v>0</v>
      </c>
      <c r="Q83" s="319">
        <f>MCF!R82</f>
        <v>0.8</v>
      </c>
      <c r="R83" s="87">
        <f t="shared" ref="R83:R99" si="19">P83*$W$6*DOCF*Q83</f>
        <v>0</v>
      </c>
      <c r="S83" s="87">
        <f t="shared" si="7"/>
        <v>0</v>
      </c>
      <c r="T83" s="87">
        <f t="shared" si="8"/>
        <v>0</v>
      </c>
      <c r="U83" s="87">
        <f t="shared" si="9"/>
        <v>0.17746085798390254</v>
      </c>
      <c r="V83" s="87">
        <f t="shared" si="10"/>
        <v>1.2867364056225567E-2</v>
      </c>
      <c r="W83" s="120">
        <f t="shared" si="11"/>
        <v>8.5782427041503767E-3</v>
      </c>
    </row>
    <row r="84" spans="2:23">
      <c r="B84" s="116">
        <f>Amnt_Deposited!B79</f>
        <v>2065</v>
      </c>
      <c r="C84" s="119">
        <f>Amnt_Deposited!H79</f>
        <v>0</v>
      </c>
      <c r="D84" s="453">
        <f>Dry_Matter_Content!H71</f>
        <v>0.73</v>
      </c>
      <c r="E84" s="319">
        <f>MCF!R83</f>
        <v>0.8</v>
      </c>
      <c r="F84" s="87">
        <f t="shared" si="14"/>
        <v>0</v>
      </c>
      <c r="G84" s="87">
        <f t="shared" si="15"/>
        <v>0</v>
      </c>
      <c r="H84" s="87">
        <f t="shared" si="16"/>
        <v>0</v>
      </c>
      <c r="I84" s="87">
        <f t="shared" si="17"/>
        <v>0.15098535912420058</v>
      </c>
      <c r="J84" s="87">
        <f t="shared" si="18"/>
        <v>1.0947673786110496E-2</v>
      </c>
      <c r="K84" s="120">
        <f t="shared" si="6"/>
        <v>7.29844919074033E-3</v>
      </c>
      <c r="O84" s="116">
        <f>Amnt_Deposited!B79</f>
        <v>2065</v>
      </c>
      <c r="P84" s="119">
        <f>Amnt_Deposited!H79</f>
        <v>0</v>
      </c>
      <c r="Q84" s="319">
        <f>MCF!R83</f>
        <v>0.8</v>
      </c>
      <c r="R84" s="87">
        <f t="shared" si="19"/>
        <v>0</v>
      </c>
      <c r="S84" s="87">
        <f t="shared" si="7"/>
        <v>0</v>
      </c>
      <c r="T84" s="87">
        <f t="shared" si="8"/>
        <v>0</v>
      </c>
      <c r="U84" s="87">
        <f t="shared" si="9"/>
        <v>0.1654634072593979</v>
      </c>
      <c r="V84" s="87">
        <f t="shared" si="10"/>
        <v>1.1997450724504652E-2</v>
      </c>
      <c r="W84" s="120">
        <f t="shared" si="11"/>
        <v>7.9983004830031009E-3</v>
      </c>
    </row>
    <row r="85" spans="2:23">
      <c r="B85" s="116">
        <f>Amnt_Deposited!B80</f>
        <v>2066</v>
      </c>
      <c r="C85" s="119">
        <f>Amnt_Deposited!H80</f>
        <v>0</v>
      </c>
      <c r="D85" s="453">
        <f>Dry_Matter_Content!H72</f>
        <v>0.73</v>
      </c>
      <c r="E85" s="319">
        <f>MCF!R84</f>
        <v>0.8</v>
      </c>
      <c r="F85" s="87">
        <f t="shared" si="14"/>
        <v>0</v>
      </c>
      <c r="G85" s="87">
        <f t="shared" si="15"/>
        <v>0</v>
      </c>
      <c r="H85" s="87">
        <f t="shared" si="16"/>
        <v>0</v>
      </c>
      <c r="I85" s="87">
        <f t="shared" si="17"/>
        <v>0.14077781574368481</v>
      </c>
      <c r="J85" s="87">
        <f t="shared" si="18"/>
        <v>1.020754338051578E-2</v>
      </c>
      <c r="K85" s="120">
        <f t="shared" ref="K85:K99" si="20">J85*CH4_fraction*conv</f>
        <v>6.8050289203438526E-3</v>
      </c>
      <c r="O85" s="116">
        <f>Amnt_Deposited!B80</f>
        <v>2066</v>
      </c>
      <c r="P85" s="119">
        <f>Amnt_Deposited!H80</f>
        <v>0</v>
      </c>
      <c r="Q85" s="319">
        <f>MCF!R84</f>
        <v>0.8</v>
      </c>
      <c r="R85" s="87">
        <f t="shared" si="19"/>
        <v>0</v>
      </c>
      <c r="S85" s="87">
        <f t="shared" ref="S85:S98" si="21">R85*$W$12</f>
        <v>0</v>
      </c>
      <c r="T85" s="87">
        <f t="shared" ref="T85:T98" si="22">R85*(1-$W$12)</f>
        <v>0</v>
      </c>
      <c r="U85" s="87">
        <f t="shared" ref="U85:U98" si="23">S85+U84*$W$10</f>
        <v>0.15427705834924363</v>
      </c>
      <c r="V85" s="87">
        <f t="shared" ref="V85:V98" si="24">U84*(1-$W$10)+T85</f>
        <v>1.1186348910154281E-2</v>
      </c>
      <c r="W85" s="120">
        <f t="shared" ref="W85:W99" si="25">V85*CH4_fraction*conv</f>
        <v>7.4575659401028534E-3</v>
      </c>
    </row>
    <row r="86" spans="2:23">
      <c r="B86" s="116">
        <f>Amnt_Deposited!B81</f>
        <v>2067</v>
      </c>
      <c r="C86" s="119">
        <f>Amnt_Deposited!H81</f>
        <v>0</v>
      </c>
      <c r="D86" s="453">
        <f>Dry_Matter_Content!H73</f>
        <v>0.73</v>
      </c>
      <c r="E86" s="319">
        <f>MCF!R85</f>
        <v>0.8</v>
      </c>
      <c r="F86" s="87">
        <f t="shared" si="14"/>
        <v>0</v>
      </c>
      <c r="G86" s="87">
        <f t="shared" si="15"/>
        <v>0</v>
      </c>
      <c r="H86" s="87">
        <f t="shared" si="16"/>
        <v>0</v>
      </c>
      <c r="I86" s="87">
        <f t="shared" si="17"/>
        <v>0.13126036537927002</v>
      </c>
      <c r="J86" s="87">
        <f t="shared" si="18"/>
        <v>9.517450364414785E-3</v>
      </c>
      <c r="K86" s="120">
        <f t="shared" si="20"/>
        <v>6.3449669096098567E-3</v>
      </c>
      <c r="O86" s="116">
        <f>Amnt_Deposited!B81</f>
        <v>2067</v>
      </c>
      <c r="P86" s="119">
        <f>Amnt_Deposited!H81</f>
        <v>0</v>
      </c>
      <c r="Q86" s="319">
        <f>MCF!R85</f>
        <v>0.8</v>
      </c>
      <c r="R86" s="87">
        <f t="shared" si="19"/>
        <v>0</v>
      </c>
      <c r="S86" s="87">
        <f t="shared" si="21"/>
        <v>0</v>
      </c>
      <c r="T86" s="87">
        <f t="shared" si="22"/>
        <v>0</v>
      </c>
      <c r="U86" s="87">
        <f t="shared" si="23"/>
        <v>0.14384697575810415</v>
      </c>
      <c r="V86" s="87">
        <f t="shared" si="24"/>
        <v>1.0430082591139492E-2</v>
      </c>
      <c r="W86" s="120">
        <f t="shared" si="25"/>
        <v>6.9533883940929939E-3</v>
      </c>
    </row>
    <row r="87" spans="2:23">
      <c r="B87" s="116">
        <f>Amnt_Deposited!B82</f>
        <v>2068</v>
      </c>
      <c r="C87" s="119">
        <f>Amnt_Deposited!H82</f>
        <v>0</v>
      </c>
      <c r="D87" s="453">
        <f>Dry_Matter_Content!H74</f>
        <v>0.73</v>
      </c>
      <c r="E87" s="319">
        <f>MCF!R86</f>
        <v>0.8</v>
      </c>
      <c r="F87" s="87">
        <f t="shared" si="14"/>
        <v>0</v>
      </c>
      <c r="G87" s="87">
        <f t="shared" si="15"/>
        <v>0</v>
      </c>
      <c r="H87" s="87">
        <f t="shared" si="16"/>
        <v>0</v>
      </c>
      <c r="I87" s="87">
        <f t="shared" si="17"/>
        <v>0.12238635347822806</v>
      </c>
      <c r="J87" s="87">
        <f t="shared" si="18"/>
        <v>8.8740119010419609E-3</v>
      </c>
      <c r="K87" s="120">
        <f t="shared" si="20"/>
        <v>5.9160079340279739E-3</v>
      </c>
      <c r="O87" s="116">
        <f>Amnt_Deposited!B82</f>
        <v>2068</v>
      </c>
      <c r="P87" s="119">
        <f>Amnt_Deposited!H82</f>
        <v>0</v>
      </c>
      <c r="Q87" s="319">
        <f>MCF!R86</f>
        <v>0.8</v>
      </c>
      <c r="R87" s="87">
        <f t="shared" si="19"/>
        <v>0</v>
      </c>
      <c r="S87" s="87">
        <f t="shared" si="21"/>
        <v>0</v>
      </c>
      <c r="T87" s="87">
        <f t="shared" si="22"/>
        <v>0</v>
      </c>
      <c r="U87" s="87">
        <f t="shared" si="23"/>
        <v>0.13412203120901706</v>
      </c>
      <c r="V87" s="87">
        <f t="shared" si="24"/>
        <v>9.7249445490870823E-3</v>
      </c>
      <c r="W87" s="120">
        <f t="shared" si="25"/>
        <v>6.4832963660580549E-3</v>
      </c>
    </row>
    <row r="88" spans="2:23">
      <c r="B88" s="116">
        <f>Amnt_Deposited!B83</f>
        <v>2069</v>
      </c>
      <c r="C88" s="119">
        <f>Amnt_Deposited!H83</f>
        <v>0</v>
      </c>
      <c r="D88" s="453">
        <f>Dry_Matter_Content!H75</f>
        <v>0.73</v>
      </c>
      <c r="E88" s="319">
        <f>MCF!R87</f>
        <v>0.8</v>
      </c>
      <c r="F88" s="87">
        <f t="shared" si="14"/>
        <v>0</v>
      </c>
      <c r="G88" s="87">
        <f t="shared" si="15"/>
        <v>0</v>
      </c>
      <c r="H88" s="87">
        <f t="shared" si="16"/>
        <v>0</v>
      </c>
      <c r="I88" s="87">
        <f t="shared" si="17"/>
        <v>0.1141122796239247</v>
      </c>
      <c r="J88" s="87">
        <f t="shared" si="18"/>
        <v>8.2740738543033605E-3</v>
      </c>
      <c r="K88" s="120">
        <f t="shared" si="20"/>
        <v>5.5160492362022404E-3</v>
      </c>
      <c r="O88" s="116">
        <f>Amnt_Deposited!B83</f>
        <v>2069</v>
      </c>
      <c r="P88" s="119">
        <f>Amnt_Deposited!H83</f>
        <v>0</v>
      </c>
      <c r="Q88" s="319">
        <f>MCF!R87</f>
        <v>0.8</v>
      </c>
      <c r="R88" s="87">
        <f t="shared" si="19"/>
        <v>0</v>
      </c>
      <c r="S88" s="87">
        <f t="shared" si="21"/>
        <v>0</v>
      </c>
      <c r="T88" s="87">
        <f t="shared" si="22"/>
        <v>0</v>
      </c>
      <c r="U88" s="87">
        <f t="shared" si="23"/>
        <v>0.12505455301252022</v>
      </c>
      <c r="V88" s="87">
        <f t="shared" si="24"/>
        <v>9.067478196496833E-3</v>
      </c>
      <c r="W88" s="120">
        <f t="shared" si="25"/>
        <v>6.044985464331222E-3</v>
      </c>
    </row>
    <row r="89" spans="2:23">
      <c r="B89" s="116">
        <f>Amnt_Deposited!B84</f>
        <v>2070</v>
      </c>
      <c r="C89" s="119">
        <f>Amnt_Deposited!H84</f>
        <v>0</v>
      </c>
      <c r="D89" s="453">
        <f>Dry_Matter_Content!H76</f>
        <v>0.73</v>
      </c>
      <c r="E89" s="319">
        <f>MCF!R88</f>
        <v>0.8</v>
      </c>
      <c r="F89" s="87">
        <f t="shared" si="14"/>
        <v>0</v>
      </c>
      <c r="G89" s="87">
        <f t="shared" si="15"/>
        <v>0</v>
      </c>
      <c r="H89" s="87">
        <f t="shared" si="16"/>
        <v>0</v>
      </c>
      <c r="I89" s="87">
        <f t="shared" si="17"/>
        <v>0.10639758429672685</v>
      </c>
      <c r="J89" s="87">
        <f t="shared" si="18"/>
        <v>7.7146953271978423E-3</v>
      </c>
      <c r="K89" s="120">
        <f t="shared" si="20"/>
        <v>5.1431302181318946E-3</v>
      </c>
      <c r="O89" s="116">
        <f>Amnt_Deposited!B84</f>
        <v>2070</v>
      </c>
      <c r="P89" s="119">
        <f>Amnt_Deposited!H84</f>
        <v>0</v>
      </c>
      <c r="Q89" s="319">
        <f>MCF!R88</f>
        <v>0.8</v>
      </c>
      <c r="R89" s="87">
        <f t="shared" si="19"/>
        <v>0</v>
      </c>
      <c r="S89" s="87">
        <f t="shared" si="21"/>
        <v>0</v>
      </c>
      <c r="T89" s="87">
        <f t="shared" si="22"/>
        <v>0</v>
      </c>
      <c r="U89" s="87">
        <f t="shared" si="23"/>
        <v>0.11660009237997464</v>
      </c>
      <c r="V89" s="87">
        <f t="shared" si="24"/>
        <v>8.4544606325455806E-3</v>
      </c>
      <c r="W89" s="120">
        <f t="shared" si="25"/>
        <v>5.6363070883637201E-3</v>
      </c>
    </row>
    <row r="90" spans="2:23">
      <c r="B90" s="116">
        <f>Amnt_Deposited!B85</f>
        <v>2071</v>
      </c>
      <c r="C90" s="119">
        <f>Amnt_Deposited!H85</f>
        <v>0</v>
      </c>
      <c r="D90" s="453">
        <f>Dry_Matter_Content!H77</f>
        <v>0.73</v>
      </c>
      <c r="E90" s="319">
        <f>MCF!R89</f>
        <v>0.8</v>
      </c>
      <c r="F90" s="87">
        <f t="shared" si="14"/>
        <v>0</v>
      </c>
      <c r="G90" s="87">
        <f t="shared" si="15"/>
        <v>0</v>
      </c>
      <c r="H90" s="87">
        <f t="shared" si="16"/>
        <v>0</v>
      </c>
      <c r="I90" s="87">
        <f t="shared" si="17"/>
        <v>9.9204450051190288E-2</v>
      </c>
      <c r="J90" s="87">
        <f t="shared" si="18"/>
        <v>7.1931342455365654E-3</v>
      </c>
      <c r="K90" s="120">
        <f t="shared" si="20"/>
        <v>4.7954228303577102E-3</v>
      </c>
      <c r="O90" s="116">
        <f>Amnt_Deposited!B85</f>
        <v>2071</v>
      </c>
      <c r="P90" s="119">
        <f>Amnt_Deposited!H85</f>
        <v>0</v>
      </c>
      <c r="Q90" s="319">
        <f>MCF!R89</f>
        <v>0.8</v>
      </c>
      <c r="R90" s="87">
        <f t="shared" si="19"/>
        <v>0</v>
      </c>
      <c r="S90" s="87">
        <f t="shared" si="21"/>
        <v>0</v>
      </c>
      <c r="T90" s="87">
        <f t="shared" si="22"/>
        <v>0</v>
      </c>
      <c r="U90" s="87">
        <f t="shared" si="23"/>
        <v>0.108717205535551</v>
      </c>
      <c r="V90" s="87">
        <f t="shared" si="24"/>
        <v>7.8828868444236339E-3</v>
      </c>
      <c r="W90" s="120">
        <f t="shared" si="25"/>
        <v>5.2552578962824226E-3</v>
      </c>
    </row>
    <row r="91" spans="2:23">
      <c r="B91" s="116">
        <f>Amnt_Deposited!B86</f>
        <v>2072</v>
      </c>
      <c r="C91" s="119">
        <f>Amnt_Deposited!H86</f>
        <v>0</v>
      </c>
      <c r="D91" s="453">
        <f>Dry_Matter_Content!H78</f>
        <v>0.73</v>
      </c>
      <c r="E91" s="319">
        <f>MCF!R90</f>
        <v>0.8</v>
      </c>
      <c r="F91" s="87">
        <f t="shared" si="14"/>
        <v>0</v>
      </c>
      <c r="G91" s="87">
        <f t="shared" si="15"/>
        <v>0</v>
      </c>
      <c r="H91" s="87">
        <f t="shared" si="16"/>
        <v>0</v>
      </c>
      <c r="I91" s="87">
        <f t="shared" si="17"/>
        <v>9.2497616134898153E-2</v>
      </c>
      <c r="J91" s="87">
        <f t="shared" si="18"/>
        <v>6.7068339162921296E-3</v>
      </c>
      <c r="K91" s="120">
        <f t="shared" si="20"/>
        <v>4.4712226108614191E-3</v>
      </c>
      <c r="O91" s="116">
        <f>Amnt_Deposited!B86</f>
        <v>2072</v>
      </c>
      <c r="P91" s="119">
        <f>Amnt_Deposited!H86</f>
        <v>0</v>
      </c>
      <c r="Q91" s="319">
        <f>MCF!R90</f>
        <v>0.8</v>
      </c>
      <c r="R91" s="87">
        <f t="shared" si="19"/>
        <v>0</v>
      </c>
      <c r="S91" s="87">
        <f t="shared" si="21"/>
        <v>0</v>
      </c>
      <c r="T91" s="87">
        <f t="shared" si="22"/>
        <v>0</v>
      </c>
      <c r="U91" s="87">
        <f t="shared" si="23"/>
        <v>0.1013672505587925</v>
      </c>
      <c r="V91" s="87">
        <f t="shared" si="24"/>
        <v>7.3499549767584984E-3</v>
      </c>
      <c r="W91" s="120">
        <f t="shared" si="25"/>
        <v>4.899969984505665E-3</v>
      </c>
    </row>
    <row r="92" spans="2:23">
      <c r="B92" s="116">
        <f>Amnt_Deposited!B87</f>
        <v>2073</v>
      </c>
      <c r="C92" s="119">
        <f>Amnt_Deposited!H87</f>
        <v>0</v>
      </c>
      <c r="D92" s="453">
        <f>Dry_Matter_Content!H79</f>
        <v>0.73</v>
      </c>
      <c r="E92" s="319">
        <f>MCF!R91</f>
        <v>0.8</v>
      </c>
      <c r="F92" s="87">
        <f t="shared" si="14"/>
        <v>0</v>
      </c>
      <c r="G92" s="87">
        <f t="shared" si="15"/>
        <v>0</v>
      </c>
      <c r="H92" s="87">
        <f t="shared" si="16"/>
        <v>0</v>
      </c>
      <c r="I92" s="87">
        <f t="shared" si="17"/>
        <v>8.6244205640211763E-2</v>
      </c>
      <c r="J92" s="87">
        <f t="shared" si="18"/>
        <v>6.2534104946863891E-3</v>
      </c>
      <c r="K92" s="120">
        <f t="shared" si="20"/>
        <v>4.1689403297909258E-3</v>
      </c>
      <c r="O92" s="116">
        <f>Amnt_Deposited!B87</f>
        <v>2073</v>
      </c>
      <c r="P92" s="119">
        <f>Amnt_Deposited!H87</f>
        <v>0</v>
      </c>
      <c r="Q92" s="319">
        <f>MCF!R91</f>
        <v>0.8</v>
      </c>
      <c r="R92" s="87">
        <f t="shared" si="19"/>
        <v>0</v>
      </c>
      <c r="S92" s="87">
        <f t="shared" si="21"/>
        <v>0</v>
      </c>
      <c r="T92" s="87">
        <f t="shared" si="22"/>
        <v>0</v>
      </c>
      <c r="U92" s="87">
        <f t="shared" si="23"/>
        <v>9.4514197961875906E-2</v>
      </c>
      <c r="V92" s="87">
        <f t="shared" si="24"/>
        <v>6.8530525969165918E-3</v>
      </c>
      <c r="W92" s="120">
        <f t="shared" si="25"/>
        <v>4.5687017312777273E-3</v>
      </c>
    </row>
    <row r="93" spans="2:23">
      <c r="B93" s="116">
        <f>Amnt_Deposited!B88</f>
        <v>2074</v>
      </c>
      <c r="C93" s="119">
        <f>Amnt_Deposited!H88</f>
        <v>0</v>
      </c>
      <c r="D93" s="453">
        <f>Dry_Matter_Content!H80</f>
        <v>0.73</v>
      </c>
      <c r="E93" s="319">
        <f>MCF!R92</f>
        <v>0.8</v>
      </c>
      <c r="F93" s="87">
        <f t="shared" si="14"/>
        <v>0</v>
      </c>
      <c r="G93" s="87">
        <f t="shared" si="15"/>
        <v>0</v>
      </c>
      <c r="H93" s="87">
        <f t="shared" si="16"/>
        <v>0</v>
      </c>
      <c r="I93" s="87">
        <f t="shared" si="17"/>
        <v>8.0413564341631175E-2</v>
      </c>
      <c r="J93" s="87">
        <f t="shared" si="18"/>
        <v>5.8306412985805883E-3</v>
      </c>
      <c r="K93" s="120">
        <f t="shared" si="20"/>
        <v>3.8870941990537256E-3</v>
      </c>
      <c r="O93" s="116">
        <f>Amnt_Deposited!B88</f>
        <v>2074</v>
      </c>
      <c r="P93" s="119">
        <f>Amnt_Deposited!H88</f>
        <v>0</v>
      </c>
      <c r="Q93" s="319">
        <f>MCF!R92</f>
        <v>0.8</v>
      </c>
      <c r="R93" s="87">
        <f t="shared" si="19"/>
        <v>0</v>
      </c>
      <c r="S93" s="87">
        <f t="shared" si="21"/>
        <v>0</v>
      </c>
      <c r="T93" s="87">
        <f t="shared" si="22"/>
        <v>0</v>
      </c>
      <c r="U93" s="87">
        <f t="shared" si="23"/>
        <v>8.812445407302047E-2</v>
      </c>
      <c r="V93" s="87">
        <f t="shared" si="24"/>
        <v>6.3897438888554396E-3</v>
      </c>
      <c r="W93" s="120">
        <f t="shared" si="25"/>
        <v>4.2598292592369597E-3</v>
      </c>
    </row>
    <row r="94" spans="2:23">
      <c r="B94" s="116">
        <f>Amnt_Deposited!B89</f>
        <v>2075</v>
      </c>
      <c r="C94" s="119">
        <f>Amnt_Deposited!H89</f>
        <v>0</v>
      </c>
      <c r="D94" s="453">
        <f>Dry_Matter_Content!H81</f>
        <v>0.73</v>
      </c>
      <c r="E94" s="319">
        <f>MCF!R93</f>
        <v>0.8</v>
      </c>
      <c r="F94" s="87">
        <f t="shared" si="14"/>
        <v>0</v>
      </c>
      <c r="G94" s="87">
        <f t="shared" si="15"/>
        <v>0</v>
      </c>
      <c r="H94" s="87">
        <f t="shared" si="16"/>
        <v>0</v>
      </c>
      <c r="I94" s="87">
        <f t="shared" si="17"/>
        <v>7.4977110428746246E-2</v>
      </c>
      <c r="J94" s="87">
        <f t="shared" si="18"/>
        <v>5.4364539128849334E-3</v>
      </c>
      <c r="K94" s="120">
        <f t="shared" si="20"/>
        <v>3.6243026085899556E-3</v>
      </c>
      <c r="O94" s="116">
        <f>Amnt_Deposited!B89</f>
        <v>2075</v>
      </c>
      <c r="P94" s="119">
        <f>Amnt_Deposited!H89</f>
        <v>0</v>
      </c>
      <c r="Q94" s="319">
        <f>MCF!R93</f>
        <v>0.8</v>
      </c>
      <c r="R94" s="87">
        <f t="shared" si="19"/>
        <v>0</v>
      </c>
      <c r="S94" s="87">
        <f t="shared" si="21"/>
        <v>0</v>
      </c>
      <c r="T94" s="87">
        <f t="shared" si="22"/>
        <v>0</v>
      </c>
      <c r="U94" s="87">
        <f t="shared" si="23"/>
        <v>8.2166696360269853E-2</v>
      </c>
      <c r="V94" s="87">
        <f t="shared" si="24"/>
        <v>5.9577577127506122E-3</v>
      </c>
      <c r="W94" s="120">
        <f t="shared" si="25"/>
        <v>3.9718384751670742E-3</v>
      </c>
    </row>
    <row r="95" spans="2:23">
      <c r="B95" s="116">
        <f>Amnt_Deposited!B90</f>
        <v>2076</v>
      </c>
      <c r="C95" s="119">
        <f>Amnt_Deposited!H90</f>
        <v>0</v>
      </c>
      <c r="D95" s="453">
        <f>Dry_Matter_Content!H82</f>
        <v>0.73</v>
      </c>
      <c r="E95" s="319">
        <f>MCF!R94</f>
        <v>0.8</v>
      </c>
      <c r="F95" s="87">
        <f t="shared" si="14"/>
        <v>0</v>
      </c>
      <c r="G95" s="87">
        <f t="shared" si="15"/>
        <v>0</v>
      </c>
      <c r="H95" s="87">
        <f t="shared" si="16"/>
        <v>0</v>
      </c>
      <c r="I95" s="87">
        <f t="shared" si="17"/>
        <v>6.9908194398168824E-2</v>
      </c>
      <c r="J95" s="87">
        <f t="shared" si="18"/>
        <v>5.0689160305774222E-3</v>
      </c>
      <c r="K95" s="120">
        <f t="shared" si="20"/>
        <v>3.3792773537182812E-3</v>
      </c>
      <c r="O95" s="116">
        <f>Amnt_Deposited!B90</f>
        <v>2076</v>
      </c>
      <c r="P95" s="119">
        <f>Amnt_Deposited!H90</f>
        <v>0</v>
      </c>
      <c r="Q95" s="319">
        <f>MCF!R94</f>
        <v>0.8</v>
      </c>
      <c r="R95" s="87">
        <f t="shared" si="19"/>
        <v>0</v>
      </c>
      <c r="S95" s="87">
        <f t="shared" si="21"/>
        <v>0</v>
      </c>
      <c r="T95" s="87">
        <f t="shared" si="22"/>
        <v>0</v>
      </c>
      <c r="U95" s="87">
        <f t="shared" si="23"/>
        <v>7.6611719888404178E-2</v>
      </c>
      <c r="V95" s="87">
        <f t="shared" si="24"/>
        <v>5.5549764718656686E-3</v>
      </c>
      <c r="W95" s="120">
        <f t="shared" si="25"/>
        <v>3.7033176479104456E-3</v>
      </c>
    </row>
    <row r="96" spans="2:23">
      <c r="B96" s="116">
        <f>Amnt_Deposited!B91</f>
        <v>2077</v>
      </c>
      <c r="C96" s="119">
        <f>Amnt_Deposited!H91</f>
        <v>0</v>
      </c>
      <c r="D96" s="453">
        <f>Dry_Matter_Content!H83</f>
        <v>0.73</v>
      </c>
      <c r="E96" s="319">
        <f>MCF!R95</f>
        <v>0.8</v>
      </c>
      <c r="F96" s="87">
        <f t="shared" si="14"/>
        <v>0</v>
      </c>
      <c r="G96" s="87">
        <f t="shared" si="15"/>
        <v>0</v>
      </c>
      <c r="H96" s="87">
        <f t="shared" si="16"/>
        <v>0</v>
      </c>
      <c r="I96" s="87">
        <f t="shared" si="17"/>
        <v>6.5181968417636238E-2</v>
      </c>
      <c r="J96" s="87">
        <f t="shared" si="18"/>
        <v>4.7262259805325793E-3</v>
      </c>
      <c r="K96" s="120">
        <f t="shared" si="20"/>
        <v>3.1508173203550526E-3</v>
      </c>
      <c r="O96" s="116">
        <f>Amnt_Deposited!B91</f>
        <v>2077</v>
      </c>
      <c r="P96" s="119">
        <f>Amnt_Deposited!H91</f>
        <v>0</v>
      </c>
      <c r="Q96" s="319">
        <f>MCF!R95</f>
        <v>0.8</v>
      </c>
      <c r="R96" s="87">
        <f t="shared" si="19"/>
        <v>0</v>
      </c>
      <c r="S96" s="87">
        <f t="shared" si="21"/>
        <v>0</v>
      </c>
      <c r="T96" s="87">
        <f t="shared" si="22"/>
        <v>0</v>
      </c>
      <c r="U96" s="87">
        <f t="shared" si="23"/>
        <v>7.1432294156313678E-2</v>
      </c>
      <c r="V96" s="87">
        <f t="shared" si="24"/>
        <v>5.1794257320904973E-3</v>
      </c>
      <c r="W96" s="120">
        <f t="shared" si="25"/>
        <v>3.4529504880603315E-3</v>
      </c>
    </row>
    <row r="97" spans="2:23">
      <c r="B97" s="116">
        <f>Amnt_Deposited!B92</f>
        <v>2078</v>
      </c>
      <c r="C97" s="119">
        <f>Amnt_Deposited!H92</f>
        <v>0</v>
      </c>
      <c r="D97" s="453">
        <f>Dry_Matter_Content!H84</f>
        <v>0.73</v>
      </c>
      <c r="E97" s="319">
        <f>MCF!R96</f>
        <v>0.8</v>
      </c>
      <c r="F97" s="87">
        <f t="shared" si="14"/>
        <v>0</v>
      </c>
      <c r="G97" s="87">
        <f t="shared" si="15"/>
        <v>0</v>
      </c>
      <c r="H97" s="87">
        <f t="shared" si="16"/>
        <v>0</v>
      </c>
      <c r="I97" s="87">
        <f t="shared" si="17"/>
        <v>6.0775264521908734E-2</v>
      </c>
      <c r="J97" s="87">
        <f t="shared" si="18"/>
        <v>4.4067038957275075E-3</v>
      </c>
      <c r="K97" s="120">
        <f t="shared" si="20"/>
        <v>2.9378025971516716E-3</v>
      </c>
      <c r="O97" s="116">
        <f>Amnt_Deposited!B92</f>
        <v>2078</v>
      </c>
      <c r="P97" s="119">
        <f>Amnt_Deposited!H92</f>
        <v>0</v>
      </c>
      <c r="Q97" s="319">
        <f>MCF!R96</f>
        <v>0.8</v>
      </c>
      <c r="R97" s="87">
        <f t="shared" si="19"/>
        <v>0</v>
      </c>
      <c r="S97" s="87">
        <f t="shared" si="21"/>
        <v>0</v>
      </c>
      <c r="T97" s="87">
        <f t="shared" si="22"/>
        <v>0</v>
      </c>
      <c r="U97" s="87">
        <f t="shared" si="23"/>
        <v>6.660302961305066E-2</v>
      </c>
      <c r="V97" s="87">
        <f t="shared" si="24"/>
        <v>4.8292645432630212E-3</v>
      </c>
      <c r="W97" s="120">
        <f t="shared" si="25"/>
        <v>3.2195096955086808E-3</v>
      </c>
    </row>
    <row r="98" spans="2:23">
      <c r="B98" s="116">
        <f>Amnt_Deposited!B93</f>
        <v>2079</v>
      </c>
      <c r="C98" s="119">
        <f>Amnt_Deposited!H93</f>
        <v>0</v>
      </c>
      <c r="D98" s="453">
        <f>Dry_Matter_Content!H85</f>
        <v>0.73</v>
      </c>
      <c r="E98" s="319">
        <f>MCF!R97</f>
        <v>0.8</v>
      </c>
      <c r="F98" s="87">
        <f t="shared" si="14"/>
        <v>0</v>
      </c>
      <c r="G98" s="87">
        <f t="shared" si="15"/>
        <v>0</v>
      </c>
      <c r="H98" s="87">
        <f t="shared" si="16"/>
        <v>0</v>
      </c>
      <c r="I98" s="87">
        <f t="shared" si="17"/>
        <v>5.6666481043376939E-2</v>
      </c>
      <c r="J98" s="87">
        <f t="shared" si="18"/>
        <v>4.1087834785317945E-3</v>
      </c>
      <c r="K98" s="120">
        <f t="shared" si="20"/>
        <v>2.739188985687863E-3</v>
      </c>
      <c r="O98" s="116">
        <f>Amnt_Deposited!B93</f>
        <v>2079</v>
      </c>
      <c r="P98" s="119">
        <f>Amnt_Deposited!H93</f>
        <v>0</v>
      </c>
      <c r="Q98" s="319">
        <f>MCF!R97</f>
        <v>0.8</v>
      </c>
      <c r="R98" s="87">
        <f t="shared" si="19"/>
        <v>0</v>
      </c>
      <c r="S98" s="87">
        <f t="shared" si="21"/>
        <v>0</v>
      </c>
      <c r="T98" s="87">
        <f t="shared" si="22"/>
        <v>0</v>
      </c>
      <c r="U98" s="87">
        <f t="shared" si="23"/>
        <v>6.2100253198221295E-2</v>
      </c>
      <c r="V98" s="87">
        <f t="shared" si="24"/>
        <v>4.5027764148293636E-3</v>
      </c>
      <c r="W98" s="120">
        <f t="shared" si="25"/>
        <v>3.0018509432195757E-3</v>
      </c>
    </row>
    <row r="99" spans="2:23" ht="13.5" thickBot="1">
      <c r="B99" s="117">
        <f>Amnt_Deposited!B94</f>
        <v>2080</v>
      </c>
      <c r="C99" s="121">
        <f>Amnt_Deposited!H94</f>
        <v>0</v>
      </c>
      <c r="D99" s="454">
        <f>Dry_Matter_Content!H86</f>
        <v>0.73</v>
      </c>
      <c r="E99" s="320">
        <f>MCF!R98</f>
        <v>0.8</v>
      </c>
      <c r="F99" s="88">
        <f t="shared" si="14"/>
        <v>0</v>
      </c>
      <c r="G99" s="88">
        <f t="shared" si="15"/>
        <v>0</v>
      </c>
      <c r="H99" s="88">
        <f t="shared" si="16"/>
        <v>0</v>
      </c>
      <c r="I99" s="88">
        <f t="shared" si="17"/>
        <v>5.2835476720662231E-2</v>
      </c>
      <c r="J99" s="88">
        <f t="shared" si="18"/>
        <v>3.8310043227147094E-3</v>
      </c>
      <c r="K99" s="122">
        <f t="shared" si="20"/>
        <v>2.5540028818098063E-3</v>
      </c>
      <c r="O99" s="117">
        <f>Amnt_Deposited!B94</f>
        <v>2080</v>
      </c>
      <c r="P99" s="121">
        <f>Amnt_Deposited!H94</f>
        <v>0</v>
      </c>
      <c r="Q99" s="320">
        <f>MCF!R98</f>
        <v>0.8</v>
      </c>
      <c r="R99" s="88">
        <f t="shared" si="19"/>
        <v>0</v>
      </c>
      <c r="S99" s="88">
        <f>R99*$W$12</f>
        <v>0</v>
      </c>
      <c r="T99" s="88">
        <f>R99*(1-$W$12)</f>
        <v>0</v>
      </c>
      <c r="U99" s="88">
        <f>S99+U98*$W$10</f>
        <v>5.7901892296616131E-2</v>
      </c>
      <c r="V99" s="88">
        <f>U98*(1-$W$10)+T99</f>
        <v>4.1983609016051603E-3</v>
      </c>
      <c r="W99" s="122">
        <f t="shared" si="25"/>
        <v>2.7989072677367735E-3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1"/>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9" t="s">
        <v>342</v>
      </c>
      <c r="E2" s="770"/>
      <c r="F2" s="771"/>
    </row>
    <row r="3" spans="1:18" ht="16.5" thickBot="1">
      <c r="B3" s="12"/>
      <c r="C3" s="5" t="s">
        <v>276</v>
      </c>
      <c r="D3" s="769" t="s">
        <v>337</v>
      </c>
      <c r="E3" s="770"/>
      <c r="F3" s="771"/>
    </row>
    <row r="4" spans="1:18" ht="16.5" thickBot="1">
      <c r="B4" s="12"/>
      <c r="C4" s="5" t="s">
        <v>30</v>
      </c>
      <c r="D4" s="769" t="s">
        <v>266</v>
      </c>
      <c r="E4" s="770"/>
      <c r="F4" s="771"/>
    </row>
    <row r="5" spans="1:18" ht="16.5" thickBot="1">
      <c r="B5" s="12"/>
      <c r="C5" s="5" t="s">
        <v>117</v>
      </c>
      <c r="D5" s="772"/>
      <c r="E5" s="773"/>
      <c r="F5" s="774"/>
    </row>
    <row r="6" spans="1:18">
      <c r="B6" s="13" t="s">
        <v>201</v>
      </c>
    </row>
    <row r="7" spans="1:18">
      <c r="B7" s="35" t="s">
        <v>31</v>
      </c>
    </row>
    <row r="8" spans="1:18" ht="13.5" thickBot="1">
      <c r="B8" s="35"/>
    </row>
    <row r="9" spans="1:18" ht="12.75" customHeight="1">
      <c r="A9" s="1"/>
      <c r="C9" s="767" t="s">
        <v>18</v>
      </c>
      <c r="D9" s="768"/>
      <c r="E9" s="765" t="s">
        <v>100</v>
      </c>
      <c r="F9" s="766"/>
      <c r="H9" s="767" t="s">
        <v>18</v>
      </c>
      <c r="I9" s="768"/>
      <c r="J9" s="765" t="s">
        <v>100</v>
      </c>
      <c r="K9" s="766"/>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63" t="s">
        <v>250</v>
      </c>
      <c r="D12" s="764"/>
      <c r="E12" s="763" t="s">
        <v>250</v>
      </c>
      <c r="F12" s="764"/>
      <c r="H12" s="763" t="s">
        <v>251</v>
      </c>
      <c r="I12" s="764"/>
      <c r="J12" s="763" t="s">
        <v>251</v>
      </c>
      <c r="K12" s="764"/>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f>D15</f>
        <v>0.38</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0.38</v>
      </c>
      <c r="Q15" s="55" t="s">
        <v>6</v>
      </c>
      <c r="R15" s="423">
        <f>IF(Select2=1,J15,0)</f>
        <v>0.15</v>
      </c>
    </row>
    <row r="16" spans="1:18">
      <c r="B16" s="8" t="str">
        <f>IF(Select2=1,"Paper/cardboard","Sewage sludge")</f>
        <v>Paper/cardboard</v>
      </c>
      <c r="C16" s="185" t="str">
        <f>INDEX(DOC_table,IF(Select2=1,2,13),2)</f>
        <v>0.40-0.50</v>
      </c>
      <c r="D16" s="47">
        <f>INDEX(DOC_table,IF(Select2=1,2,13),1)</f>
        <v>0.44</v>
      </c>
      <c r="E16" s="291">
        <f>D16</f>
        <v>0.44</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0.44</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f t="shared" ref="E17:E21" si="0">D17</f>
        <v>0.49</v>
      </c>
      <c r="F17" s="271"/>
      <c r="H17" s="185" t="str">
        <f>INDEX(DOC_table,IF(Select2=1,3,15),4)</f>
        <v>0.18-0.22</v>
      </c>
      <c r="I17" s="47">
        <f>INDEX(DOC_table,IF(Select2=1,3,15),3)</f>
        <v>0.2</v>
      </c>
      <c r="J17" s="291">
        <f>I17</f>
        <v>0.2</v>
      </c>
      <c r="K17" s="271"/>
      <c r="L17" s="6"/>
      <c r="N17" s="445" t="s">
        <v>261</v>
      </c>
      <c r="O17" s="2">
        <f>IF(Select2=1,E17,E62)</f>
        <v>0.49</v>
      </c>
      <c r="Q17" s="445" t="s">
        <v>261</v>
      </c>
      <c r="R17" s="424">
        <f>IF(Select2=1,J17,J62)</f>
        <v>0.2</v>
      </c>
    </row>
    <row r="18" spans="2:18">
      <c r="B18" s="2" t="str">
        <f>IF(Select2=1,"Textiles","")</f>
        <v>Textiles</v>
      </c>
      <c r="C18" s="186" t="str">
        <f>IF(Select2=1,INDEX(DOC_table,4,2),"")</f>
        <v>0.25-0.50</v>
      </c>
      <c r="D18" s="19">
        <f>IF(Select2=1,INDEX(DOC_table,4,1),"")</f>
        <v>0.3</v>
      </c>
      <c r="E18" s="291">
        <f t="shared" si="0"/>
        <v>0.3</v>
      </c>
      <c r="F18" s="271"/>
      <c r="H18" s="186" t="str">
        <f>IF(Select2=1,INDEX(DOC_table,4,4),"")</f>
        <v>0.20-0.40</v>
      </c>
      <c r="I18" s="19">
        <f>IF(Select2=1,INDEX(DOC_table,4,3),"")</f>
        <v>0.24</v>
      </c>
      <c r="J18" s="291">
        <f>I18</f>
        <v>0.24</v>
      </c>
      <c r="K18" s="271"/>
      <c r="L18" s="6"/>
      <c r="N18" s="2" t="s">
        <v>16</v>
      </c>
      <c r="O18" s="2">
        <f>IF(Select2=1,E18,0)</f>
        <v>0.3</v>
      </c>
      <c r="Q18" s="2" t="s">
        <v>16</v>
      </c>
      <c r="R18" s="424">
        <f>IF(Select2=1,J18,0)</f>
        <v>0.24</v>
      </c>
    </row>
    <row r="19" spans="2:18">
      <c r="B19" s="2" t="str">
        <f>IF(Select2=1,"Rubber and Leather","")</f>
        <v>Rubber and Leather</v>
      </c>
      <c r="C19" s="186" t="str">
        <f>IF(Select2=1,INDEX(DOC_table,5,2),"")</f>
        <v>0.47</v>
      </c>
      <c r="D19" s="19">
        <f>IF(Select2=1,INDEX(DOC_table,5,1),"")</f>
        <v>0.47</v>
      </c>
      <c r="E19" s="291">
        <f t="shared" si="0"/>
        <v>0.47</v>
      </c>
      <c r="F19" s="271"/>
      <c r="H19" s="186" t="str">
        <f>IF(Select2=1,INDEX(DOC_table,5,4),"")</f>
        <v>0.39</v>
      </c>
      <c r="I19" s="19">
        <f>IF(Select2=1,INDEX(DOC_table,5,3),"")</f>
        <v>0.39</v>
      </c>
      <c r="J19" s="291">
        <f t="shared" ref="J19:J25" si="1">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24">
        <f>IF(Select2=1,J19,0)</f>
        <v>0.39</v>
      </c>
    </row>
    <row r="20" spans="2:18">
      <c r="B20" s="2" t="str">
        <f>IF(Select2=1,"Wood","")</f>
        <v>Wood</v>
      </c>
      <c r="C20" s="186" t="str">
        <f>IF(Select2=1,INDEX(DOC_table,6,2),"")</f>
        <v>0.46-0.54</v>
      </c>
      <c r="D20" s="19">
        <f>IF(Select2=1,INDEX(DOC_table,6,1),"")</f>
        <v>0.5</v>
      </c>
      <c r="E20" s="291">
        <f t="shared" si="0"/>
        <v>0.5</v>
      </c>
      <c r="F20" s="271"/>
      <c r="H20" s="186" t="str">
        <f>IF(Select2=1,INDEX(DOC_table,6,4),"")</f>
        <v>0.39-0.46</v>
      </c>
      <c r="I20" s="19">
        <f>IF(Select2=1,INDEX(DOC_table,6,3),"")</f>
        <v>0.43</v>
      </c>
      <c r="J20" s="291">
        <f t="shared" si="1"/>
        <v>0.43</v>
      </c>
      <c r="K20" s="271"/>
      <c r="L20" s="581"/>
      <c r="N20" s="444" t="s">
        <v>2</v>
      </c>
      <c r="O20" s="2">
        <f>IF(Select2=1,E20,E64)</f>
        <v>0.5</v>
      </c>
      <c r="Q20" s="444" t="s">
        <v>2</v>
      </c>
      <c r="R20" s="424">
        <f>IF(Select2=1,J20,J64)</f>
        <v>0.43</v>
      </c>
    </row>
    <row r="21" spans="2:18">
      <c r="B21" s="2" t="str">
        <f>IF(Select2=1,"Nappies","")</f>
        <v>Nappies</v>
      </c>
      <c r="C21" s="186" t="str">
        <f>IF(Select2=1,INDEX(DOC_table,7,2),"")</f>
        <v>0.44-0.80</v>
      </c>
      <c r="D21" s="19">
        <f>IF(Select2=1,INDEX(DOC_table,7,1),"")</f>
        <v>0.6</v>
      </c>
      <c r="E21" s="291">
        <f t="shared" si="0"/>
        <v>0.6</v>
      </c>
      <c r="F21" s="271"/>
      <c r="H21" s="186" t="str">
        <f>IF(Select2=1,INDEX(DOC_table,7,4),"")</f>
        <v>0.18-0.32</v>
      </c>
      <c r="I21" s="19">
        <f>IF(Select2=1,INDEX(DOC_table,7,3),"")</f>
        <v>0.24</v>
      </c>
      <c r="J21" s="291">
        <f t="shared" si="1"/>
        <v>0.24</v>
      </c>
      <c r="K21" s="271"/>
      <c r="L21" s="581"/>
      <c r="N21" s="444" t="s">
        <v>267</v>
      </c>
      <c r="O21" s="2">
        <f>IF(Select2=1,E21,0)</f>
        <v>0.6</v>
      </c>
      <c r="Q21" s="444" t="s">
        <v>267</v>
      </c>
      <c r="R21" s="424">
        <f>IF(Select2=1,J21,0)</f>
        <v>0.24</v>
      </c>
    </row>
    <row r="22" spans="2:18">
      <c r="B22" s="166" t="str">
        <f>IF(Select2=1,"Plastics","")</f>
        <v>Plastics</v>
      </c>
      <c r="C22" s="187">
        <f>IF(Select2=1,INDEX(DOC_table,9,2),"")</f>
        <v>0</v>
      </c>
      <c r="D22" s="220">
        <f>IF(Select2=1,INDEX(DOC_table,9,1),"")</f>
        <v>0</v>
      </c>
      <c r="E22" s="291">
        <f t="shared" ref="E22:E28" si="2">D22</f>
        <v>0</v>
      </c>
      <c r="F22" s="271"/>
      <c r="H22" s="187">
        <f>IF(Select2=1,INDEX(DOC_table,9,4),"")</f>
        <v>0</v>
      </c>
      <c r="I22" s="220">
        <f>IF(Select2=1,INDEX(DOC_table,9,3),"")</f>
        <v>0</v>
      </c>
      <c r="J22" s="291">
        <f t="shared" si="1"/>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2"/>
        <v>0</v>
      </c>
      <c r="F23" s="271"/>
      <c r="H23" s="187">
        <f>IF(Select2=1,INDEX(DOC_table,10,4),"")</f>
        <v>0</v>
      </c>
      <c r="I23" s="220">
        <f>IF(Select2=1,INDEX(DOC_table,10,3),"")</f>
        <v>0</v>
      </c>
      <c r="J23" s="291">
        <f t="shared" si="1"/>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2"/>
        <v>0</v>
      </c>
      <c r="F24" s="271"/>
      <c r="H24" s="187">
        <f>IF(Select2=1,INDEX(DOC_table,11,4),"")</f>
        <v>0</v>
      </c>
      <c r="I24" s="220">
        <f>IF(Select2=1,INDEX(DOC_table,11,3),"")</f>
        <v>0</v>
      </c>
      <c r="J24" s="291">
        <f t="shared" si="1"/>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2"/>
        <v>0</v>
      </c>
      <c r="F25" s="271"/>
      <c r="H25" s="187">
        <f>IF(Select2=1,INDEX(DOC_table,12,4),"")</f>
        <v>0</v>
      </c>
      <c r="I25" s="220">
        <f>IF(Select2=1,INDEX(DOC_table,12,3),"")</f>
        <v>0</v>
      </c>
      <c r="J25" s="291">
        <f t="shared" si="1"/>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si="2"/>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2"/>
        <v>0</v>
      </c>
      <c r="F28" s="579"/>
      <c r="H28" s="577" t="str">
        <f>IF(Select2=1,INDEX(DOC_table,15,4),"")</f>
        <v>0-0.54</v>
      </c>
      <c r="I28" s="578">
        <f>IF(Select2=1,INDEX(DOC_table,15,3),"")</f>
        <v>0.15</v>
      </c>
      <c r="J28" s="292">
        <f t="shared" ref="J28" si="3">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4">D34</f>
        <v>0.4</v>
      </c>
      <c r="F34" s="152"/>
      <c r="L34" s="384"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4"/>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5"/>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4"/>
        <v>0.17</v>
      </c>
      <c r="F36" s="58"/>
      <c r="L36" s="6"/>
      <c r="N36" s="445" t="s">
        <v>261</v>
      </c>
      <c r="O36" s="2">
        <f t="shared" si="5"/>
        <v>0.17</v>
      </c>
    </row>
    <row r="37" spans="2:15">
      <c r="B37" s="2" t="str">
        <f>IF(Select2=1,"Textiles","")</f>
        <v>Textiles</v>
      </c>
      <c r="C37" s="186" t="str">
        <f>IF(Select2=1,INDEX(half_life,1,selected*2),"")</f>
        <v>0.06–0.085</v>
      </c>
      <c r="D37" s="90">
        <f>IF(Select2=1,INDEX(half_life,1,selected*2-1),"")</f>
        <v>7.0000000000000007E-2</v>
      </c>
      <c r="E37" s="630">
        <f t="shared" si="4"/>
        <v>7.0000000000000007E-2</v>
      </c>
      <c r="F37" s="58"/>
      <c r="L37" s="6"/>
      <c r="N37" s="2" t="s">
        <v>16</v>
      </c>
      <c r="O37" s="2">
        <f t="shared" si="5"/>
        <v>7.0000000000000007E-2</v>
      </c>
    </row>
    <row r="38" spans="2:15">
      <c r="B38" s="2" t="str">
        <f>IF(Select2=1,"Rubber and Leather","")</f>
        <v>Rubber and Leather</v>
      </c>
      <c r="C38" s="186" t="str">
        <f>IF(Select2=1,INDEX(half_life,2,selected*2),"")</f>
        <v>0.03–0.05</v>
      </c>
      <c r="D38" s="90">
        <f>IF(Select2=1,INDEX(half_life,2,selected*2-1),"")</f>
        <v>3.5000000000000003E-2</v>
      </c>
      <c r="E38" s="631">
        <f t="shared" si="4"/>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86" t="str">
        <f>IF(Select2=1,INDEX(half_life,2,selected*2),"")</f>
        <v>0.03–0.05</v>
      </c>
      <c r="D39" s="90">
        <f>IF(Select2=1,INDEX(half_life,2,selected*2-1),"")</f>
        <v>3.5000000000000003E-2</v>
      </c>
      <c r="E39" s="631">
        <f t="shared" si="4"/>
        <v>3.5000000000000003E-2</v>
      </c>
      <c r="F39" s="271"/>
      <c r="N39" s="444" t="s">
        <v>2</v>
      </c>
      <c r="O39" s="2">
        <f t="shared" si="5"/>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5"/>
        <v>0.17</v>
      </c>
    </row>
    <row r="41" spans="2:15">
      <c r="B41" s="166" t="str">
        <f>IF(Select2=1,"Plastics","")</f>
        <v>Plastics</v>
      </c>
      <c r="C41" s="186">
        <f t="shared" ref="C41:D44" si="6">IF(Select2=1,0,"")</f>
        <v>0</v>
      </c>
      <c r="D41" s="464">
        <f t="shared" si="6"/>
        <v>0</v>
      </c>
      <c r="E41" s="631">
        <f>D41</f>
        <v>0</v>
      </c>
      <c r="F41" s="271"/>
      <c r="N41" s="166" t="s">
        <v>230</v>
      </c>
      <c r="O41" s="2">
        <f t="shared" si="5"/>
        <v>0</v>
      </c>
    </row>
    <row r="42" spans="2:15">
      <c r="B42" s="166" t="str">
        <f>IF(Select2=1,"Metal","")</f>
        <v>Metal</v>
      </c>
      <c r="C42" s="186">
        <f t="shared" si="6"/>
        <v>0</v>
      </c>
      <c r="D42" s="464">
        <f t="shared" si="6"/>
        <v>0</v>
      </c>
      <c r="E42" s="631">
        <f>D42</f>
        <v>0</v>
      </c>
      <c r="F42" s="271"/>
      <c r="N42" s="166" t="s">
        <v>231</v>
      </c>
      <c r="O42" s="2">
        <f t="shared" si="5"/>
        <v>0</v>
      </c>
    </row>
    <row r="43" spans="2:15">
      <c r="B43" s="166" t="str">
        <f>IF(Select2=1,"Glass","")</f>
        <v>Glass</v>
      </c>
      <c r="C43" s="186">
        <f t="shared" si="6"/>
        <v>0</v>
      </c>
      <c r="D43" s="464">
        <f t="shared" si="6"/>
        <v>0</v>
      </c>
      <c r="E43" s="631">
        <f>D43</f>
        <v>0</v>
      </c>
      <c r="F43" s="271"/>
      <c r="N43" s="166" t="s">
        <v>232</v>
      </c>
      <c r="O43" s="2">
        <f t="shared" si="5"/>
        <v>0</v>
      </c>
    </row>
    <row r="44" spans="2:15">
      <c r="B44" s="166" t="str">
        <f>IF(Select2=1,"Other","")</f>
        <v>Other</v>
      </c>
      <c r="C44" s="186">
        <f t="shared" si="6"/>
        <v>0</v>
      </c>
      <c r="D44" s="464">
        <f t="shared" si="6"/>
        <v>0</v>
      </c>
      <c r="E44" s="631">
        <f>D44</f>
        <v>0</v>
      </c>
      <c r="F44" s="271"/>
      <c r="N44" s="166" t="s">
        <v>233</v>
      </c>
      <c r="O44" s="2">
        <f t="shared" si="5"/>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7">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60" t="s">
        <v>250</v>
      </c>
      <c r="E61" s="761"/>
      <c r="F61" s="762"/>
      <c r="H61" s="53"/>
      <c r="I61" s="760" t="s">
        <v>251</v>
      </c>
      <c r="J61" s="761"/>
      <c r="K61" s="762"/>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75" t="s">
        <v>317</v>
      </c>
      <c r="C71" s="775"/>
      <c r="D71" s="776" t="s">
        <v>318</v>
      </c>
      <c r="E71" s="776"/>
      <c r="F71" s="776"/>
      <c r="G71" s="776"/>
      <c r="H71" s="776"/>
    </row>
    <row r="72" spans="2:8">
      <c r="B72" s="775" t="s">
        <v>319</v>
      </c>
      <c r="C72" s="775"/>
      <c r="D72" s="776" t="s">
        <v>320</v>
      </c>
      <c r="E72" s="776"/>
      <c r="F72" s="776"/>
      <c r="G72" s="776"/>
      <c r="H72" s="776"/>
    </row>
    <row r="73" spans="2:8">
      <c r="B73" s="775" t="s">
        <v>321</v>
      </c>
      <c r="C73" s="775"/>
      <c r="D73" s="776" t="s">
        <v>322</v>
      </c>
      <c r="E73" s="776"/>
      <c r="F73" s="776"/>
      <c r="G73" s="776"/>
      <c r="H73" s="776"/>
    </row>
    <row r="74" spans="2:8">
      <c r="B74" s="775" t="s">
        <v>323</v>
      </c>
      <c r="C74" s="775"/>
      <c r="D74" s="776" t="s">
        <v>324</v>
      </c>
      <c r="E74" s="776"/>
      <c r="F74" s="776"/>
      <c r="G74" s="776"/>
      <c r="H74" s="776"/>
    </row>
    <row r="75" spans="2:8">
      <c r="B75" s="611"/>
      <c r="C75" s="612"/>
      <c r="D75" s="612"/>
      <c r="E75" s="612"/>
      <c r="F75" s="612"/>
      <c r="G75" s="612"/>
      <c r="H75" s="612"/>
    </row>
    <row r="76" spans="2:8">
      <c r="B76" s="614"/>
      <c r="C76" s="615" t="s">
        <v>325</v>
      </c>
      <c r="D76" s="616" t="s">
        <v>87</v>
      </c>
      <c r="E76" s="616" t="s">
        <v>88</v>
      </c>
    </row>
    <row r="77" spans="2:8">
      <c r="B77" s="781" t="s">
        <v>133</v>
      </c>
      <c r="C77" s="617" t="s">
        <v>326</v>
      </c>
      <c r="D77" s="618" t="s">
        <v>327</v>
      </c>
      <c r="E77" s="618" t="s">
        <v>9</v>
      </c>
      <c r="F77" s="525"/>
      <c r="G77" s="597"/>
      <c r="H77" s="6"/>
    </row>
    <row r="78" spans="2:8">
      <c r="B78" s="782"/>
      <c r="C78" s="619"/>
      <c r="D78" s="620"/>
      <c r="E78" s="621"/>
      <c r="F78" s="6"/>
      <c r="G78" s="525"/>
      <c r="H78" s="6"/>
    </row>
    <row r="79" spans="2:8">
      <c r="B79" s="782"/>
      <c r="C79" s="619"/>
      <c r="D79" s="620"/>
      <c r="E79" s="621"/>
      <c r="F79" s="6"/>
      <c r="G79" s="525"/>
      <c r="H79" s="6"/>
    </row>
    <row r="80" spans="2:8">
      <c r="B80" s="782"/>
      <c r="C80" s="619"/>
      <c r="D80" s="620"/>
      <c r="E80" s="621"/>
      <c r="F80" s="6"/>
      <c r="G80" s="525"/>
      <c r="H80" s="6"/>
    </row>
    <row r="81" spans="2:8">
      <c r="B81" s="782"/>
      <c r="C81" s="619"/>
      <c r="D81" s="620"/>
      <c r="E81" s="621"/>
      <c r="F81" s="6"/>
      <c r="G81" s="525"/>
      <c r="H81" s="6"/>
    </row>
    <row r="82" spans="2:8">
      <c r="B82" s="782"/>
      <c r="C82" s="619"/>
      <c r="D82" s="620" t="s">
        <v>328</v>
      </c>
      <c r="E82" s="621"/>
      <c r="F82" s="6"/>
      <c r="G82" s="525"/>
      <c r="H82" s="6"/>
    </row>
    <row r="83" spans="2:8" ht="13.5" thickBot="1">
      <c r="B83" s="783"/>
      <c r="C83" s="622"/>
      <c r="D83" s="622"/>
      <c r="E83" s="623" t="s">
        <v>329</v>
      </c>
      <c r="F83" s="6"/>
      <c r="G83" s="6"/>
      <c r="H83" s="6"/>
    </row>
    <row r="84" spans="2:8" ht="13.5" thickTop="1">
      <c r="B84" s="614"/>
      <c r="C84" s="621"/>
      <c r="D84" s="614"/>
      <c r="E84" s="624"/>
      <c r="F84" s="6"/>
      <c r="G84" s="6"/>
      <c r="H84" s="6"/>
    </row>
    <row r="85" spans="2:8">
      <c r="B85" s="777" t="s">
        <v>330</v>
      </c>
      <c r="C85" s="778"/>
      <c r="D85" s="778"/>
      <c r="E85" s="779"/>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8">C87*D87</f>
        <v>4.1680000000000002E-2</v>
      </c>
      <c r="F87" s="6"/>
      <c r="G87" s="6"/>
      <c r="H87" s="6"/>
    </row>
    <row r="88" spans="2:8">
      <c r="B88" s="625" t="s">
        <v>2</v>
      </c>
      <c r="C88" s="626">
        <v>0</v>
      </c>
      <c r="D88" s="627">
        <v>0.43</v>
      </c>
      <c r="E88" s="627">
        <f t="shared" si="8"/>
        <v>0</v>
      </c>
      <c r="F88" s="6"/>
      <c r="G88" s="6"/>
      <c r="H88" s="6"/>
    </row>
    <row r="89" spans="2:8">
      <c r="B89" s="625" t="s">
        <v>16</v>
      </c>
      <c r="C89" s="626">
        <v>0</v>
      </c>
      <c r="D89" s="627">
        <v>0.24</v>
      </c>
      <c r="E89" s="627">
        <f t="shared" si="8"/>
        <v>0</v>
      </c>
      <c r="F89" s="6"/>
      <c r="G89" s="6"/>
      <c r="H89" s="6"/>
    </row>
    <row r="90" spans="2:8">
      <c r="B90" s="625" t="s">
        <v>331</v>
      </c>
      <c r="C90" s="626">
        <v>0</v>
      </c>
      <c r="D90" s="627">
        <v>0.39</v>
      </c>
      <c r="E90" s="627">
        <f t="shared" si="8"/>
        <v>0</v>
      </c>
    </row>
    <row r="91" spans="2:8">
      <c r="B91" s="625" t="s">
        <v>332</v>
      </c>
      <c r="C91" s="626">
        <v>1.4500000000000001E-2</v>
      </c>
      <c r="D91" s="627">
        <v>0</v>
      </c>
      <c r="E91" s="627">
        <f t="shared" si="8"/>
        <v>0</v>
      </c>
    </row>
    <row r="92" spans="2:8">
      <c r="B92" s="625" t="s">
        <v>231</v>
      </c>
      <c r="C92" s="626">
        <v>9.7600000000000006E-2</v>
      </c>
      <c r="D92" s="627">
        <v>0</v>
      </c>
      <c r="E92" s="627">
        <f t="shared" si="8"/>
        <v>0</v>
      </c>
    </row>
    <row r="93" spans="2:8">
      <c r="B93" s="625" t="s">
        <v>232</v>
      </c>
      <c r="C93" s="626">
        <v>1.7000000000000001E-2</v>
      </c>
      <c r="D93" s="627">
        <v>0</v>
      </c>
      <c r="E93" s="627">
        <f t="shared" si="8"/>
        <v>0</v>
      </c>
    </row>
    <row r="94" spans="2:8">
      <c r="B94" s="625" t="s">
        <v>233</v>
      </c>
      <c r="C94" s="626">
        <f>(0.95+12.16)/100</f>
        <v>0.13109999999999999</v>
      </c>
      <c r="D94" s="627">
        <v>0</v>
      </c>
      <c r="E94" s="627">
        <f t="shared" si="8"/>
        <v>0</v>
      </c>
    </row>
    <row r="95" spans="2:8">
      <c r="B95" s="780" t="s">
        <v>333</v>
      </c>
      <c r="C95" s="780"/>
      <c r="D95" s="780"/>
      <c r="E95" s="628">
        <f>SUM(E86:E94)</f>
        <v>0.13702</v>
      </c>
    </row>
    <row r="96" spans="2:8">
      <c r="B96" s="777" t="s">
        <v>334</v>
      </c>
      <c r="C96" s="778"/>
      <c r="D96" s="778"/>
      <c r="E96" s="779"/>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9">C98*D98</f>
        <v>3.4279999999999998E-2</v>
      </c>
    </row>
    <row r="99" spans="2:5">
      <c r="B99" s="625" t="s">
        <v>2</v>
      </c>
      <c r="C99" s="626">
        <f>0.75/100</f>
        <v>7.4999999999999997E-3</v>
      </c>
      <c r="D99" s="627">
        <v>0.43</v>
      </c>
      <c r="E99" s="627">
        <f t="shared" si="9"/>
        <v>3.225E-3</v>
      </c>
    </row>
    <row r="100" spans="2:5">
      <c r="B100" s="625" t="s">
        <v>16</v>
      </c>
      <c r="C100" s="626">
        <f>0.79/100</f>
        <v>7.9000000000000008E-3</v>
      </c>
      <c r="D100" s="627">
        <v>0.24</v>
      </c>
      <c r="E100" s="627">
        <f t="shared" si="9"/>
        <v>1.8960000000000001E-3</v>
      </c>
    </row>
    <row r="101" spans="2:5">
      <c r="B101" s="625" t="s">
        <v>331</v>
      </c>
      <c r="C101" s="626">
        <f>0.35/100</f>
        <v>3.4999999999999996E-3</v>
      </c>
      <c r="D101" s="627">
        <v>0.39</v>
      </c>
      <c r="E101" s="627">
        <f t="shared" si="9"/>
        <v>1.3649999999999999E-3</v>
      </c>
    </row>
    <row r="102" spans="2:5">
      <c r="B102" s="625" t="s">
        <v>332</v>
      </c>
      <c r="C102" s="626">
        <f>6.51/100</f>
        <v>6.5099999999999991E-2</v>
      </c>
      <c r="D102" s="627">
        <v>0</v>
      </c>
      <c r="E102" s="627">
        <f t="shared" si="9"/>
        <v>0</v>
      </c>
    </row>
    <row r="103" spans="2:5">
      <c r="B103" s="625" t="s">
        <v>231</v>
      </c>
      <c r="C103" s="626">
        <f>1.45/100</f>
        <v>1.4499999999999999E-2</v>
      </c>
      <c r="D103" s="627">
        <v>0</v>
      </c>
      <c r="E103" s="627">
        <f t="shared" si="9"/>
        <v>0</v>
      </c>
    </row>
    <row r="104" spans="2:5">
      <c r="B104" s="625" t="s">
        <v>232</v>
      </c>
      <c r="C104" s="626">
        <f>1.54/100</f>
        <v>1.54E-2</v>
      </c>
      <c r="D104" s="627">
        <v>0</v>
      </c>
      <c r="E104" s="627">
        <f t="shared" si="9"/>
        <v>0</v>
      </c>
    </row>
    <row r="105" spans="2:5">
      <c r="B105" s="625" t="s">
        <v>233</v>
      </c>
      <c r="C105" s="626">
        <f>0.67/100</f>
        <v>6.7000000000000002E-3</v>
      </c>
      <c r="D105" s="627">
        <v>0</v>
      </c>
      <c r="E105" s="627">
        <f t="shared" si="9"/>
        <v>0</v>
      </c>
    </row>
    <row r="106" spans="2:5">
      <c r="B106" s="780" t="s">
        <v>333</v>
      </c>
      <c r="C106" s="780"/>
      <c r="D106" s="780"/>
      <c r="E106" s="628">
        <f>SUM(E97:E105)</f>
        <v>0.15982100000000002</v>
      </c>
    </row>
    <row r="107" spans="2:5">
      <c r="B107" s="777" t="s">
        <v>335</v>
      </c>
      <c r="C107" s="778"/>
      <c r="D107" s="778"/>
      <c r="E107" s="779"/>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10">C109*D109</f>
        <v>5.1400000000000001E-2</v>
      </c>
    </row>
    <row r="110" spans="2:5">
      <c r="B110" s="625" t="s">
        <v>2</v>
      </c>
      <c r="C110" s="626">
        <v>0</v>
      </c>
      <c r="D110" s="627">
        <v>0.43</v>
      </c>
      <c r="E110" s="627">
        <f t="shared" si="10"/>
        <v>0</v>
      </c>
    </row>
    <row r="111" spans="2:5">
      <c r="B111" s="625" t="s">
        <v>16</v>
      </c>
      <c r="C111" s="626">
        <f>0.81/100</f>
        <v>8.1000000000000013E-3</v>
      </c>
      <c r="D111" s="627">
        <v>0.24</v>
      </c>
      <c r="E111" s="627">
        <f t="shared" si="10"/>
        <v>1.9440000000000002E-3</v>
      </c>
    </row>
    <row r="112" spans="2:5">
      <c r="B112" s="625" t="s">
        <v>331</v>
      </c>
      <c r="C112" s="626">
        <v>0</v>
      </c>
      <c r="D112" s="627">
        <v>0.39</v>
      </c>
      <c r="E112" s="627">
        <f t="shared" si="10"/>
        <v>0</v>
      </c>
    </row>
    <row r="113" spans="2:5">
      <c r="B113" s="625" t="s">
        <v>332</v>
      </c>
      <c r="C113" s="626">
        <f>10.71/100</f>
        <v>0.10710000000000001</v>
      </c>
      <c r="D113" s="627">
        <v>0</v>
      </c>
      <c r="E113" s="627">
        <f t="shared" si="10"/>
        <v>0</v>
      </c>
    </row>
    <row r="114" spans="2:5">
      <c r="B114" s="625" t="s">
        <v>231</v>
      </c>
      <c r="C114" s="626">
        <f>1.77/100</f>
        <v>1.77E-2</v>
      </c>
      <c r="D114" s="627">
        <v>0</v>
      </c>
      <c r="E114" s="627">
        <f t="shared" si="10"/>
        <v>0</v>
      </c>
    </row>
    <row r="115" spans="2:5">
      <c r="B115" s="625" t="s">
        <v>232</v>
      </c>
      <c r="C115" s="626">
        <f>1.33/100</f>
        <v>1.3300000000000001E-2</v>
      </c>
      <c r="D115" s="627">
        <v>0</v>
      </c>
      <c r="E115" s="627">
        <f t="shared" si="10"/>
        <v>0</v>
      </c>
    </row>
    <row r="116" spans="2:5">
      <c r="B116" s="625" t="s">
        <v>233</v>
      </c>
      <c r="C116" s="626">
        <f>6.21/100</f>
        <v>6.2100000000000002E-2</v>
      </c>
      <c r="D116" s="627">
        <v>0</v>
      </c>
      <c r="E116" s="627">
        <f t="shared" si="10"/>
        <v>0</v>
      </c>
    </row>
    <row r="117" spans="2:5">
      <c r="B117" s="780" t="s">
        <v>333</v>
      </c>
      <c r="C117" s="780"/>
      <c r="D117" s="780"/>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32.145558324</v>
      </c>
      <c r="D19" s="451">
        <f>Dry_Matter_Content!O6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32.145558324</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32.789183328</v>
      </c>
      <c r="D20" s="453">
        <f>Dry_Matter_Content!O7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32.789183328</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33.537048336000005</v>
      </c>
      <c r="D21" s="453">
        <f>Dry_Matter_Content!O8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33.537048336000005</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34.611318323999996</v>
      </c>
      <c r="D22" s="453">
        <f>Dry_Matter_Content!O9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Amnt_Deposited!O17</f>
        <v>34.611318323999996</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35.013607067999999</v>
      </c>
      <c r="D23" s="453">
        <f>Dry_Matter_Content!O10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Amnt_Deposited!O18</f>
        <v>35.013607067999999</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35.986904183999997</v>
      </c>
      <c r="D24" s="453">
        <f>Dry_Matter_Content!O11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Amnt_Deposited!O19</f>
        <v>35.986904183999997</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36.401953236000004</v>
      </c>
      <c r="D25" s="453">
        <f>Dry_Matter_Content!O12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Amnt_Deposited!O20</f>
        <v>36.401953236000004</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36.806091300000006</v>
      </c>
      <c r="D26" s="453">
        <f>Dry_Matter_Content!O13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Amnt_Deposited!O21</f>
        <v>36.806091300000006</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37.195311515999997</v>
      </c>
      <c r="D27" s="453">
        <f>Dry_Matter_Content!O14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Amnt_Deposited!O22</f>
        <v>37.195311515999997</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37.564620720000001</v>
      </c>
      <c r="D28" s="453">
        <f>Dry_Matter_Content!O15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Amnt_Deposited!O23</f>
        <v>37.564620720000001</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44.846010000000007</v>
      </c>
      <c r="D29" s="453">
        <f>Dry_Matter_Content!O16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Amnt_Deposited!O24</f>
        <v>44.846010000000007</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46.645829868</v>
      </c>
      <c r="D30" s="453">
        <f>Dry_Matter_Content!O17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Amnt_Deposited!O25</f>
        <v>46.645829868</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47.151988752000001</v>
      </c>
      <c r="D31" s="453">
        <f>Dry_Matter_Content!O18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Amnt_Deposited!O26</f>
        <v>47.151988752000001</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48.144888659999999</v>
      </c>
      <c r="D32" s="453">
        <f>Dry_Matter_Content!O19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Amnt_Deposited!O27</f>
        <v>48.144888659999999</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49.130637864000001</v>
      </c>
      <c r="D33" s="453">
        <f>Dry_Matter_Content!O20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Amnt_Deposited!O28</f>
        <v>49.130637864000001</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50.091729468000004</v>
      </c>
      <c r="D34" s="453">
        <f>Dry_Matter_Content!O21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Amnt_Deposited!O29</f>
        <v>50.091729468000004</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51.059910132000006</v>
      </c>
      <c r="D35" s="453">
        <f>Dry_Matter_Content!O22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Amnt_Deposited!O30</f>
        <v>51.059910132000006</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52.268317463999999</v>
      </c>
      <c r="D36" s="453">
        <f>Dry_Matter_Content!O23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Amnt_Deposited!O31</f>
        <v>52.268317463999999</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53.571841488000004</v>
      </c>
      <c r="D37" s="453">
        <f>Dry_Matter_Content!O24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Amnt_Deposited!O32</f>
        <v>53.571841488000004</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54.875365512000002</v>
      </c>
      <c r="D38" s="453">
        <f>Dry_Matter_Content!O25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Amnt_Deposited!O33</f>
        <v>54.875365512000002</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56.178889536</v>
      </c>
      <c r="D39" s="453">
        <f>Dry_Matter_Content!O26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Amnt_Deposited!O34</f>
        <v>56.178889536</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57.482413559999998</v>
      </c>
      <c r="D40" s="453">
        <f>Dry_Matter_Content!O27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Amnt_Deposited!O35</f>
        <v>57.482413559999998</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58.785937584000003</v>
      </c>
      <c r="D41" s="453">
        <f>Dry_Matter_Content!O28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Amnt_Deposited!O36</f>
        <v>58.785937584000003</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60.089461608000001</v>
      </c>
      <c r="D42" s="453">
        <f>Dry_Matter_Content!O29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Amnt_Deposited!O37</f>
        <v>60.089461608000001</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61.392985632000006</v>
      </c>
      <c r="D43" s="453">
        <f>Dry_Matter_Content!O30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Amnt_Deposited!O38</f>
        <v>61.392985632000006</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62.696509656000003</v>
      </c>
      <c r="D44" s="453">
        <f>Dry_Matter_Content!O31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Amnt_Deposited!O39</f>
        <v>62.696509656000003</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64.000033680000001</v>
      </c>
      <c r="D45" s="453">
        <f>Dry_Matter_Content!O32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Amnt_Deposited!O40</f>
        <v>64.000033680000001</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65.303557703999999</v>
      </c>
      <c r="D46" s="453">
        <f>Dry_Matter_Content!O33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Amnt_Deposited!O41</f>
        <v>65.303557703999999</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66.607081728000011</v>
      </c>
      <c r="D47" s="453">
        <f>Dry_Matter_Content!O34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Amnt_Deposited!O42</f>
        <v>66.607081728000011</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67.910605752000009</v>
      </c>
      <c r="D48" s="453">
        <f>Dry_Matter_Content!O35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Amnt_Deposited!O43</f>
        <v>67.910605752000009</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69.214129776000007</v>
      </c>
      <c r="D49" s="453">
        <f>Dry_Matter_Content!O36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Amnt_Deposited!O44</f>
        <v>69.214129776000007</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0" sqref="H10"/>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7" t="s">
        <v>107</v>
      </c>
      <c r="R2" s="787"/>
      <c r="S2" s="787"/>
      <c r="T2" s="787"/>
    </row>
    <row r="4" spans="2:20">
      <c r="C4" t="s">
        <v>26</v>
      </c>
    </row>
    <row r="5" spans="2:20">
      <c r="C5" t="s">
        <v>281</v>
      </c>
    </row>
    <row r="6" spans="2:20">
      <c r="C6" t="s">
        <v>29</v>
      </c>
    </row>
    <row r="7" spans="2:20">
      <c r="C7" t="s">
        <v>109</v>
      </c>
    </row>
    <row r="8" spans="2:20" ht="13.5" thickBot="1"/>
    <row r="9" spans="2:20" ht="13.5" thickBot="1">
      <c r="C9" s="788" t="s">
        <v>95</v>
      </c>
      <c r="D9" s="789"/>
      <c r="E9" s="789"/>
      <c r="F9" s="789"/>
      <c r="G9" s="789"/>
      <c r="H9" s="790"/>
      <c r="I9" s="796" t="s">
        <v>308</v>
      </c>
      <c r="J9" s="797"/>
      <c r="K9" s="797"/>
      <c r="L9" s="797"/>
      <c r="M9" s="797"/>
      <c r="N9" s="798"/>
      <c r="R9" s="174" t="s">
        <v>95</v>
      </c>
      <c r="S9" s="467" t="s">
        <v>308</v>
      </c>
    </row>
    <row r="10" spans="2:20" s="1" customFormat="1" ht="38.25" customHeight="1">
      <c r="B10" s="26"/>
      <c r="C10" s="637" t="s">
        <v>341</v>
      </c>
      <c r="D10" s="27" t="s">
        <v>340</v>
      </c>
      <c r="E10" s="27" t="s">
        <v>338</v>
      </c>
      <c r="F10" s="27" t="s">
        <v>206</v>
      </c>
      <c r="G10" s="27" t="s">
        <v>339</v>
      </c>
      <c r="H10" s="28" t="s">
        <v>161</v>
      </c>
      <c r="I10" s="584" t="s">
        <v>104</v>
      </c>
      <c r="J10" s="585" t="s">
        <v>105</v>
      </c>
      <c r="K10" s="585" t="s">
        <v>0</v>
      </c>
      <c r="L10" s="585" t="s">
        <v>206</v>
      </c>
      <c r="M10" s="585" t="s">
        <v>103</v>
      </c>
      <c r="N10" s="586" t="s">
        <v>161</v>
      </c>
      <c r="O10" s="466" t="s">
        <v>28</v>
      </c>
      <c r="R10" s="791" t="s">
        <v>147</v>
      </c>
      <c r="S10" s="791"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2"/>
      <c r="S11" s="792"/>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2"/>
      <c r="S12" s="792"/>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2"/>
      <c r="S13" s="792"/>
    </row>
    <row r="14" spans="2:20" s="3" customFormat="1" ht="13.5" thickBot="1">
      <c r="B14" s="32"/>
      <c r="C14" s="32"/>
      <c r="D14" s="21"/>
      <c r="E14" s="21"/>
      <c r="F14" s="21"/>
      <c r="G14" s="21"/>
      <c r="H14" s="169"/>
      <c r="I14" s="32"/>
      <c r="J14" s="21"/>
      <c r="K14" s="21"/>
      <c r="L14" s="21"/>
      <c r="M14" s="21"/>
      <c r="N14" s="169"/>
      <c r="O14" s="590"/>
      <c r="R14" s="792"/>
      <c r="S14" s="792"/>
    </row>
    <row r="15" spans="2:20" s="3" customFormat="1" ht="12.75" customHeight="1" thickBot="1">
      <c r="B15" s="266"/>
      <c r="C15" s="784" t="s">
        <v>158</v>
      </c>
      <c r="D15" s="785"/>
      <c r="E15" s="785"/>
      <c r="F15" s="785"/>
      <c r="G15" s="785"/>
      <c r="H15" s="786"/>
      <c r="I15" s="784" t="s">
        <v>158</v>
      </c>
      <c r="J15" s="785"/>
      <c r="K15" s="785"/>
      <c r="L15" s="785"/>
      <c r="M15" s="785"/>
      <c r="N15" s="786"/>
      <c r="O15" s="591"/>
      <c r="R15" s="792"/>
      <c r="S15" s="792"/>
    </row>
    <row r="16" spans="2:20" s="3" customFormat="1" ht="26.25" thickBot="1">
      <c r="B16" s="172" t="s">
        <v>160</v>
      </c>
      <c r="C16" s="269">
        <v>0</v>
      </c>
      <c r="D16" s="270">
        <v>1</v>
      </c>
      <c r="E16" s="270">
        <v>0</v>
      </c>
      <c r="F16" s="270">
        <v>0</v>
      </c>
      <c r="G16" s="270">
        <v>0</v>
      </c>
      <c r="H16" s="794" t="s">
        <v>36</v>
      </c>
      <c r="I16" s="592">
        <v>0.2</v>
      </c>
      <c r="J16" s="593">
        <v>0.3</v>
      </c>
      <c r="K16" s="593">
        <v>0.25</v>
      </c>
      <c r="L16" s="593">
        <v>0.05</v>
      </c>
      <c r="M16" s="593">
        <v>0.2</v>
      </c>
      <c r="N16" s="794" t="s">
        <v>36</v>
      </c>
      <c r="O16" s="594"/>
      <c r="R16" s="793"/>
      <c r="S16" s="793"/>
    </row>
    <row r="17" spans="2:19" s="3" customFormat="1" ht="13.5" thickBot="1">
      <c r="B17" s="15" t="s">
        <v>1</v>
      </c>
      <c r="C17" s="15" t="s">
        <v>24</v>
      </c>
      <c r="D17" s="16" t="s">
        <v>24</v>
      </c>
      <c r="E17" s="16" t="s">
        <v>24</v>
      </c>
      <c r="F17" s="16" t="s">
        <v>24</v>
      </c>
      <c r="G17" s="16" t="s">
        <v>24</v>
      </c>
      <c r="H17" s="795"/>
      <c r="I17" s="15" t="s">
        <v>24</v>
      </c>
      <c r="J17" s="16" t="s">
        <v>24</v>
      </c>
      <c r="K17" s="16" t="s">
        <v>24</v>
      </c>
      <c r="L17" s="16" t="s">
        <v>24</v>
      </c>
      <c r="M17" s="16" t="s">
        <v>24</v>
      </c>
      <c r="N17" s="795"/>
      <c r="O17" s="587"/>
      <c r="R17" s="172" t="s">
        <v>157</v>
      </c>
      <c r="S17" s="595" t="s">
        <v>157</v>
      </c>
    </row>
    <row r="18" spans="2:19">
      <c r="B18" s="300">
        <f>year</f>
        <v>2000</v>
      </c>
      <c r="C18" s="267">
        <f>C$16</f>
        <v>0</v>
      </c>
      <c r="D18" s="268">
        <f t="shared" ref="D18:G33" si="0">D$16</f>
        <v>1</v>
      </c>
      <c r="E18" s="268">
        <f t="shared" si="0"/>
        <v>0</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0.8</v>
      </c>
      <c r="S18" s="596">
        <f>I18*I$13+J18*J$13+K18*K$13+L18*L$13+M18*M$13</f>
        <v>0.71500000000000008</v>
      </c>
    </row>
    <row r="19" spans="2:19">
      <c r="B19" s="301">
        <f t="shared" ref="B19:B50" si="2">B18+1</f>
        <v>2001</v>
      </c>
      <c r="C19" s="61">
        <f t="shared" ref="C19:G50" si="3">C$16</f>
        <v>0</v>
      </c>
      <c r="D19" s="62">
        <f t="shared" si="0"/>
        <v>1</v>
      </c>
      <c r="E19" s="62">
        <f t="shared" si="0"/>
        <v>0</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0.8</v>
      </c>
      <c r="S19" s="596">
        <f t="shared" ref="S19:S82" si="8">I19*I$13+J19*J$13+K19*K$13+L19*L$13+M19*M$13</f>
        <v>0.71500000000000008</v>
      </c>
    </row>
    <row r="20" spans="2:19">
      <c r="B20" s="301">
        <f t="shared" si="2"/>
        <v>2002</v>
      </c>
      <c r="C20" s="61">
        <f t="shared" si="3"/>
        <v>0</v>
      </c>
      <c r="D20" s="62">
        <f t="shared" si="0"/>
        <v>1</v>
      </c>
      <c r="E20" s="62">
        <f t="shared" si="0"/>
        <v>0</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0.8</v>
      </c>
      <c r="S20" s="596">
        <f t="shared" si="8"/>
        <v>0.71500000000000008</v>
      </c>
    </row>
    <row r="21" spans="2:19">
      <c r="B21" s="301">
        <f t="shared" si="2"/>
        <v>2003</v>
      </c>
      <c r="C21" s="61">
        <f t="shared" si="3"/>
        <v>0</v>
      </c>
      <c r="D21" s="62">
        <f t="shared" si="0"/>
        <v>1</v>
      </c>
      <c r="E21" s="62">
        <f t="shared" si="0"/>
        <v>0</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0.8</v>
      </c>
      <c r="S21" s="596">
        <f t="shared" si="8"/>
        <v>0.71500000000000008</v>
      </c>
    </row>
    <row r="22" spans="2:19">
      <c r="B22" s="301">
        <f t="shared" si="2"/>
        <v>2004</v>
      </c>
      <c r="C22" s="61">
        <f t="shared" si="3"/>
        <v>0</v>
      </c>
      <c r="D22" s="62">
        <f t="shared" si="0"/>
        <v>1</v>
      </c>
      <c r="E22" s="62">
        <f t="shared" si="0"/>
        <v>0</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0.8</v>
      </c>
      <c r="S22" s="596">
        <f t="shared" si="8"/>
        <v>0.71500000000000008</v>
      </c>
    </row>
    <row r="23" spans="2:19">
      <c r="B23" s="301">
        <f t="shared" si="2"/>
        <v>2005</v>
      </c>
      <c r="C23" s="61">
        <f t="shared" si="3"/>
        <v>0</v>
      </c>
      <c r="D23" s="62">
        <f t="shared" si="0"/>
        <v>1</v>
      </c>
      <c r="E23" s="62">
        <f t="shared" si="0"/>
        <v>0</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0.8</v>
      </c>
      <c r="S23" s="596">
        <f t="shared" si="8"/>
        <v>0.71500000000000008</v>
      </c>
    </row>
    <row r="24" spans="2:19">
      <c r="B24" s="301">
        <f t="shared" si="2"/>
        <v>2006</v>
      </c>
      <c r="C24" s="61">
        <f t="shared" si="3"/>
        <v>0</v>
      </c>
      <c r="D24" s="62">
        <f t="shared" si="0"/>
        <v>1</v>
      </c>
      <c r="E24" s="62">
        <f t="shared" si="0"/>
        <v>0</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0.8</v>
      </c>
      <c r="S24" s="596">
        <f t="shared" si="8"/>
        <v>0.71500000000000008</v>
      </c>
    </row>
    <row r="25" spans="2:19">
      <c r="B25" s="301">
        <f t="shared" si="2"/>
        <v>2007</v>
      </c>
      <c r="C25" s="61">
        <f t="shared" si="3"/>
        <v>0</v>
      </c>
      <c r="D25" s="62">
        <f t="shared" si="0"/>
        <v>1</v>
      </c>
      <c r="E25" s="62">
        <f t="shared" si="0"/>
        <v>0</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0.8</v>
      </c>
      <c r="S25" s="596">
        <f t="shared" si="8"/>
        <v>0.71500000000000008</v>
      </c>
    </row>
    <row r="26" spans="2:19">
      <c r="B26" s="301">
        <f t="shared" si="2"/>
        <v>2008</v>
      </c>
      <c r="C26" s="61">
        <f t="shared" si="3"/>
        <v>0</v>
      </c>
      <c r="D26" s="62">
        <f t="shared" si="0"/>
        <v>1</v>
      </c>
      <c r="E26" s="62">
        <f t="shared" si="0"/>
        <v>0</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0.8</v>
      </c>
      <c r="S26" s="596">
        <f t="shared" si="8"/>
        <v>0.71500000000000008</v>
      </c>
    </row>
    <row r="27" spans="2:19">
      <c r="B27" s="301">
        <f t="shared" si="2"/>
        <v>2009</v>
      </c>
      <c r="C27" s="61">
        <f t="shared" si="3"/>
        <v>0</v>
      </c>
      <c r="D27" s="62">
        <f t="shared" si="0"/>
        <v>1</v>
      </c>
      <c r="E27" s="62">
        <f t="shared" si="0"/>
        <v>0</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0.8</v>
      </c>
      <c r="S27" s="596">
        <f t="shared" si="8"/>
        <v>0.71500000000000008</v>
      </c>
    </row>
    <row r="28" spans="2:19">
      <c r="B28" s="301">
        <f t="shared" si="2"/>
        <v>2010</v>
      </c>
      <c r="C28" s="61">
        <f t="shared" si="3"/>
        <v>0</v>
      </c>
      <c r="D28" s="62">
        <f t="shared" si="0"/>
        <v>1</v>
      </c>
      <c r="E28" s="62">
        <f t="shared" si="0"/>
        <v>0</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0.8</v>
      </c>
      <c r="S28" s="596">
        <f t="shared" si="8"/>
        <v>0.71500000000000008</v>
      </c>
    </row>
    <row r="29" spans="2:19">
      <c r="B29" s="301">
        <f t="shared" si="2"/>
        <v>2011</v>
      </c>
      <c r="C29" s="61">
        <f t="shared" si="3"/>
        <v>0</v>
      </c>
      <c r="D29" s="62">
        <f t="shared" si="0"/>
        <v>1</v>
      </c>
      <c r="E29" s="62">
        <f t="shared" si="0"/>
        <v>0</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0.8</v>
      </c>
      <c r="S29" s="596">
        <f t="shared" si="8"/>
        <v>0.71500000000000008</v>
      </c>
    </row>
    <row r="30" spans="2:19">
      <c r="B30" s="301">
        <f t="shared" si="2"/>
        <v>2012</v>
      </c>
      <c r="C30" s="61">
        <f t="shared" si="3"/>
        <v>0</v>
      </c>
      <c r="D30" s="62">
        <f t="shared" si="0"/>
        <v>1</v>
      </c>
      <c r="E30" s="62">
        <f t="shared" si="0"/>
        <v>0</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0.8</v>
      </c>
      <c r="S30" s="596">
        <f t="shared" si="8"/>
        <v>0.71500000000000008</v>
      </c>
    </row>
    <row r="31" spans="2:19">
      <c r="B31" s="301">
        <f t="shared" si="2"/>
        <v>2013</v>
      </c>
      <c r="C31" s="61">
        <f t="shared" si="3"/>
        <v>0</v>
      </c>
      <c r="D31" s="62">
        <f t="shared" si="0"/>
        <v>1</v>
      </c>
      <c r="E31" s="62">
        <f t="shared" si="0"/>
        <v>0</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0.8</v>
      </c>
      <c r="S31" s="596">
        <f t="shared" si="8"/>
        <v>0.71500000000000008</v>
      </c>
    </row>
    <row r="32" spans="2:19">
      <c r="B32" s="301">
        <f t="shared" si="2"/>
        <v>2014</v>
      </c>
      <c r="C32" s="61">
        <f t="shared" si="3"/>
        <v>0</v>
      </c>
      <c r="D32" s="62">
        <f t="shared" si="0"/>
        <v>1</v>
      </c>
      <c r="E32" s="62">
        <f t="shared" si="0"/>
        <v>0</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0.8</v>
      </c>
      <c r="S32" s="596">
        <f t="shared" si="8"/>
        <v>0.71500000000000008</v>
      </c>
    </row>
    <row r="33" spans="2:19">
      <c r="B33" s="301">
        <f t="shared" si="2"/>
        <v>2015</v>
      </c>
      <c r="C33" s="61">
        <f t="shared" si="3"/>
        <v>0</v>
      </c>
      <c r="D33" s="62">
        <f t="shared" si="0"/>
        <v>1</v>
      </c>
      <c r="E33" s="62">
        <f t="shared" si="0"/>
        <v>0</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0.8</v>
      </c>
      <c r="S33" s="596">
        <f t="shared" si="8"/>
        <v>0.71500000000000008</v>
      </c>
    </row>
    <row r="34" spans="2:19">
      <c r="B34" s="301">
        <f t="shared" si="2"/>
        <v>2016</v>
      </c>
      <c r="C34" s="61">
        <f t="shared" si="3"/>
        <v>0</v>
      </c>
      <c r="D34" s="62">
        <f t="shared" si="3"/>
        <v>1</v>
      </c>
      <c r="E34" s="62">
        <f t="shared" si="3"/>
        <v>0</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0.8</v>
      </c>
      <c r="S34" s="596">
        <f t="shared" si="8"/>
        <v>0.71500000000000008</v>
      </c>
    </row>
    <row r="35" spans="2:19">
      <c r="B35" s="301">
        <f t="shared" si="2"/>
        <v>2017</v>
      </c>
      <c r="C35" s="61">
        <f t="shared" si="3"/>
        <v>0</v>
      </c>
      <c r="D35" s="62">
        <f t="shared" si="3"/>
        <v>1</v>
      </c>
      <c r="E35" s="62">
        <f t="shared" si="3"/>
        <v>0</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0.8</v>
      </c>
      <c r="S35" s="596">
        <f t="shared" si="8"/>
        <v>0.71500000000000008</v>
      </c>
    </row>
    <row r="36" spans="2:19">
      <c r="B36" s="301">
        <f t="shared" si="2"/>
        <v>2018</v>
      </c>
      <c r="C36" s="61">
        <f t="shared" si="3"/>
        <v>0</v>
      </c>
      <c r="D36" s="62">
        <f t="shared" si="3"/>
        <v>1</v>
      </c>
      <c r="E36" s="62">
        <f t="shared" si="3"/>
        <v>0</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0.8</v>
      </c>
      <c r="S36" s="596">
        <f t="shared" si="8"/>
        <v>0.71500000000000008</v>
      </c>
    </row>
    <row r="37" spans="2:19">
      <c r="B37" s="301">
        <f t="shared" si="2"/>
        <v>2019</v>
      </c>
      <c r="C37" s="61">
        <f t="shared" si="3"/>
        <v>0</v>
      </c>
      <c r="D37" s="62">
        <f t="shared" si="3"/>
        <v>1</v>
      </c>
      <c r="E37" s="62">
        <f t="shared" si="3"/>
        <v>0</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0.8</v>
      </c>
      <c r="S37" s="596">
        <f t="shared" si="8"/>
        <v>0.71500000000000008</v>
      </c>
    </row>
    <row r="38" spans="2:19">
      <c r="B38" s="301">
        <f t="shared" si="2"/>
        <v>2020</v>
      </c>
      <c r="C38" s="61">
        <f t="shared" si="3"/>
        <v>0</v>
      </c>
      <c r="D38" s="62">
        <f t="shared" si="3"/>
        <v>1</v>
      </c>
      <c r="E38" s="62">
        <f t="shared" si="3"/>
        <v>0</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0.8</v>
      </c>
      <c r="S38" s="596">
        <f t="shared" si="8"/>
        <v>0.71500000000000008</v>
      </c>
    </row>
    <row r="39" spans="2:19">
      <c r="B39" s="301">
        <f t="shared" si="2"/>
        <v>2021</v>
      </c>
      <c r="C39" s="61">
        <f t="shared" si="3"/>
        <v>0</v>
      </c>
      <c r="D39" s="62">
        <f t="shared" si="3"/>
        <v>1</v>
      </c>
      <c r="E39" s="62">
        <f t="shared" si="3"/>
        <v>0</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0.8</v>
      </c>
      <c r="S39" s="596">
        <f t="shared" si="8"/>
        <v>0.71500000000000008</v>
      </c>
    </row>
    <row r="40" spans="2:19">
      <c r="B40" s="301">
        <f t="shared" si="2"/>
        <v>2022</v>
      </c>
      <c r="C40" s="61">
        <f t="shared" si="3"/>
        <v>0</v>
      </c>
      <c r="D40" s="62">
        <f t="shared" si="3"/>
        <v>1</v>
      </c>
      <c r="E40" s="62">
        <f t="shared" si="3"/>
        <v>0</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0.8</v>
      </c>
      <c r="S40" s="596">
        <f t="shared" si="8"/>
        <v>0.71500000000000008</v>
      </c>
    </row>
    <row r="41" spans="2:19">
      <c r="B41" s="301">
        <f t="shared" si="2"/>
        <v>2023</v>
      </c>
      <c r="C41" s="61">
        <f t="shared" si="3"/>
        <v>0</v>
      </c>
      <c r="D41" s="62">
        <f t="shared" si="3"/>
        <v>1</v>
      </c>
      <c r="E41" s="62">
        <f t="shared" si="3"/>
        <v>0</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0.8</v>
      </c>
      <c r="S41" s="596">
        <f t="shared" si="8"/>
        <v>0.71500000000000008</v>
      </c>
    </row>
    <row r="42" spans="2:19">
      <c r="B42" s="301">
        <f t="shared" si="2"/>
        <v>2024</v>
      </c>
      <c r="C42" s="61">
        <f t="shared" si="3"/>
        <v>0</v>
      </c>
      <c r="D42" s="62">
        <f t="shared" si="3"/>
        <v>1</v>
      </c>
      <c r="E42" s="62">
        <f t="shared" si="3"/>
        <v>0</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0.8</v>
      </c>
      <c r="S42" s="596">
        <f t="shared" si="8"/>
        <v>0.71500000000000008</v>
      </c>
    </row>
    <row r="43" spans="2:19">
      <c r="B43" s="301">
        <f t="shared" si="2"/>
        <v>2025</v>
      </c>
      <c r="C43" s="61">
        <f t="shared" si="3"/>
        <v>0</v>
      </c>
      <c r="D43" s="62">
        <f t="shared" si="3"/>
        <v>1</v>
      </c>
      <c r="E43" s="62">
        <f t="shared" si="3"/>
        <v>0</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0.8</v>
      </c>
      <c r="S43" s="596">
        <f t="shared" si="8"/>
        <v>0.71500000000000008</v>
      </c>
    </row>
    <row r="44" spans="2:19">
      <c r="B44" s="301">
        <f t="shared" si="2"/>
        <v>2026</v>
      </c>
      <c r="C44" s="61">
        <f t="shared" si="3"/>
        <v>0</v>
      </c>
      <c r="D44" s="62">
        <f t="shared" si="3"/>
        <v>1</v>
      </c>
      <c r="E44" s="62">
        <f t="shared" si="3"/>
        <v>0</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0.8</v>
      </c>
      <c r="S44" s="596">
        <f t="shared" si="8"/>
        <v>0.71500000000000008</v>
      </c>
    </row>
    <row r="45" spans="2:19">
      <c r="B45" s="301">
        <f t="shared" si="2"/>
        <v>2027</v>
      </c>
      <c r="C45" s="61">
        <f t="shared" si="3"/>
        <v>0</v>
      </c>
      <c r="D45" s="62">
        <f t="shared" si="3"/>
        <v>1</v>
      </c>
      <c r="E45" s="62">
        <f t="shared" si="3"/>
        <v>0</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0.8</v>
      </c>
      <c r="S45" s="596">
        <f t="shared" si="8"/>
        <v>0.71500000000000008</v>
      </c>
    </row>
    <row r="46" spans="2:19">
      <c r="B46" s="301">
        <f t="shared" si="2"/>
        <v>2028</v>
      </c>
      <c r="C46" s="61">
        <f t="shared" si="3"/>
        <v>0</v>
      </c>
      <c r="D46" s="62">
        <f t="shared" si="3"/>
        <v>1</v>
      </c>
      <c r="E46" s="62">
        <f t="shared" si="3"/>
        <v>0</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0.8</v>
      </c>
      <c r="S46" s="596">
        <f t="shared" si="8"/>
        <v>0.71500000000000008</v>
      </c>
    </row>
    <row r="47" spans="2:19">
      <c r="B47" s="301">
        <f t="shared" si="2"/>
        <v>2029</v>
      </c>
      <c r="C47" s="61">
        <f t="shared" si="3"/>
        <v>0</v>
      </c>
      <c r="D47" s="62">
        <f t="shared" si="3"/>
        <v>1</v>
      </c>
      <c r="E47" s="62">
        <f t="shared" si="3"/>
        <v>0</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0.8</v>
      </c>
      <c r="S47" s="596">
        <f t="shared" si="8"/>
        <v>0.71500000000000008</v>
      </c>
    </row>
    <row r="48" spans="2:19">
      <c r="B48" s="301">
        <f t="shared" si="2"/>
        <v>2030</v>
      </c>
      <c r="C48" s="61">
        <f t="shared" si="3"/>
        <v>0</v>
      </c>
      <c r="D48" s="62">
        <f t="shared" si="3"/>
        <v>1</v>
      </c>
      <c r="E48" s="62">
        <f t="shared" si="3"/>
        <v>0</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0.8</v>
      </c>
      <c r="S48" s="596">
        <f t="shared" si="8"/>
        <v>0.71500000000000008</v>
      </c>
    </row>
    <row r="49" spans="2:19">
      <c r="B49" s="301">
        <f t="shared" si="2"/>
        <v>2031</v>
      </c>
      <c r="C49" s="61">
        <f t="shared" si="3"/>
        <v>0</v>
      </c>
      <c r="D49" s="62">
        <f t="shared" si="3"/>
        <v>1</v>
      </c>
      <c r="E49" s="62">
        <f t="shared" si="3"/>
        <v>0</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0.8</v>
      </c>
      <c r="S49" s="596">
        <f t="shared" si="8"/>
        <v>0.71500000000000008</v>
      </c>
    </row>
    <row r="50" spans="2:19">
      <c r="B50" s="301">
        <f t="shared" si="2"/>
        <v>2032</v>
      </c>
      <c r="C50" s="61">
        <f t="shared" si="3"/>
        <v>0</v>
      </c>
      <c r="D50" s="62">
        <f t="shared" si="3"/>
        <v>1</v>
      </c>
      <c r="E50" s="62">
        <f t="shared" si="3"/>
        <v>0</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0.8</v>
      </c>
      <c r="S50" s="596">
        <f t="shared" si="8"/>
        <v>0.71500000000000008</v>
      </c>
    </row>
    <row r="51" spans="2:19">
      <c r="B51" s="301">
        <f t="shared" ref="B51:B82" si="9">B50+1</f>
        <v>2033</v>
      </c>
      <c r="C51" s="61">
        <f t="shared" ref="C51:G98" si="10">C$16</f>
        <v>0</v>
      </c>
      <c r="D51" s="62">
        <f t="shared" si="10"/>
        <v>1</v>
      </c>
      <c r="E51" s="62">
        <f t="shared" si="10"/>
        <v>0</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0.8</v>
      </c>
      <c r="S51" s="596">
        <f t="shared" si="8"/>
        <v>0.71500000000000008</v>
      </c>
    </row>
    <row r="52" spans="2:19">
      <c r="B52" s="301">
        <f t="shared" si="9"/>
        <v>2034</v>
      </c>
      <c r="C52" s="61">
        <f t="shared" si="10"/>
        <v>0</v>
      </c>
      <c r="D52" s="62">
        <f t="shared" si="10"/>
        <v>1</v>
      </c>
      <c r="E52" s="62">
        <f t="shared" si="10"/>
        <v>0</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0.8</v>
      </c>
      <c r="S52" s="596">
        <f t="shared" si="8"/>
        <v>0.71500000000000008</v>
      </c>
    </row>
    <row r="53" spans="2:19">
      <c r="B53" s="301">
        <f t="shared" si="9"/>
        <v>2035</v>
      </c>
      <c r="C53" s="61">
        <f t="shared" si="10"/>
        <v>0</v>
      </c>
      <c r="D53" s="62">
        <f t="shared" si="10"/>
        <v>1</v>
      </c>
      <c r="E53" s="62">
        <f t="shared" si="10"/>
        <v>0</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0.8</v>
      </c>
      <c r="S53" s="596">
        <f t="shared" si="8"/>
        <v>0.71500000000000008</v>
      </c>
    </row>
    <row r="54" spans="2:19">
      <c r="B54" s="301">
        <f t="shared" si="9"/>
        <v>2036</v>
      </c>
      <c r="C54" s="61">
        <f t="shared" si="10"/>
        <v>0</v>
      </c>
      <c r="D54" s="62">
        <f t="shared" si="10"/>
        <v>1</v>
      </c>
      <c r="E54" s="62">
        <f t="shared" si="10"/>
        <v>0</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0.8</v>
      </c>
      <c r="S54" s="596">
        <f t="shared" si="8"/>
        <v>0.71500000000000008</v>
      </c>
    </row>
    <row r="55" spans="2:19">
      <c r="B55" s="301">
        <f t="shared" si="9"/>
        <v>2037</v>
      </c>
      <c r="C55" s="61">
        <f t="shared" si="10"/>
        <v>0</v>
      </c>
      <c r="D55" s="62">
        <f t="shared" si="10"/>
        <v>1</v>
      </c>
      <c r="E55" s="62">
        <f t="shared" si="10"/>
        <v>0</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0.8</v>
      </c>
      <c r="S55" s="596">
        <f t="shared" si="8"/>
        <v>0.71500000000000008</v>
      </c>
    </row>
    <row r="56" spans="2:19">
      <c r="B56" s="301">
        <f t="shared" si="9"/>
        <v>2038</v>
      </c>
      <c r="C56" s="61">
        <f t="shared" si="10"/>
        <v>0</v>
      </c>
      <c r="D56" s="62">
        <f t="shared" si="10"/>
        <v>1</v>
      </c>
      <c r="E56" s="62">
        <f t="shared" si="10"/>
        <v>0</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0.8</v>
      </c>
      <c r="S56" s="596">
        <f t="shared" si="8"/>
        <v>0.71500000000000008</v>
      </c>
    </row>
    <row r="57" spans="2:19">
      <c r="B57" s="301">
        <f t="shared" si="9"/>
        <v>2039</v>
      </c>
      <c r="C57" s="61">
        <f t="shared" si="10"/>
        <v>0</v>
      </c>
      <c r="D57" s="62">
        <f t="shared" si="10"/>
        <v>1</v>
      </c>
      <c r="E57" s="62">
        <f t="shared" si="10"/>
        <v>0</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0.8</v>
      </c>
      <c r="S57" s="596">
        <f t="shared" si="8"/>
        <v>0.71500000000000008</v>
      </c>
    </row>
    <row r="58" spans="2:19">
      <c r="B58" s="301">
        <f t="shared" si="9"/>
        <v>2040</v>
      </c>
      <c r="C58" s="61">
        <f t="shared" si="10"/>
        <v>0</v>
      </c>
      <c r="D58" s="62">
        <f t="shared" si="10"/>
        <v>1</v>
      </c>
      <c r="E58" s="62">
        <f t="shared" si="10"/>
        <v>0</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0.8</v>
      </c>
      <c r="S58" s="596">
        <f t="shared" si="8"/>
        <v>0.71500000000000008</v>
      </c>
    </row>
    <row r="59" spans="2:19">
      <c r="B59" s="301">
        <f t="shared" si="9"/>
        <v>2041</v>
      </c>
      <c r="C59" s="61">
        <f t="shared" si="10"/>
        <v>0</v>
      </c>
      <c r="D59" s="62">
        <f t="shared" si="10"/>
        <v>1</v>
      </c>
      <c r="E59" s="62">
        <f t="shared" si="10"/>
        <v>0</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0.8</v>
      </c>
      <c r="S59" s="596">
        <f t="shared" si="8"/>
        <v>0.71500000000000008</v>
      </c>
    </row>
    <row r="60" spans="2:19">
      <c r="B60" s="301">
        <f t="shared" si="9"/>
        <v>2042</v>
      </c>
      <c r="C60" s="61">
        <f t="shared" si="10"/>
        <v>0</v>
      </c>
      <c r="D60" s="62">
        <f t="shared" si="10"/>
        <v>1</v>
      </c>
      <c r="E60" s="62">
        <f t="shared" si="10"/>
        <v>0</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0.8</v>
      </c>
      <c r="S60" s="596">
        <f t="shared" si="8"/>
        <v>0.71500000000000008</v>
      </c>
    </row>
    <row r="61" spans="2:19">
      <c r="B61" s="301">
        <f t="shared" si="9"/>
        <v>2043</v>
      </c>
      <c r="C61" s="61">
        <f t="shared" si="10"/>
        <v>0</v>
      </c>
      <c r="D61" s="62">
        <f t="shared" si="10"/>
        <v>1</v>
      </c>
      <c r="E61" s="62">
        <f t="shared" si="10"/>
        <v>0</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0.8</v>
      </c>
      <c r="S61" s="596">
        <f t="shared" si="8"/>
        <v>0.71500000000000008</v>
      </c>
    </row>
    <row r="62" spans="2:19">
      <c r="B62" s="301">
        <f t="shared" si="9"/>
        <v>2044</v>
      </c>
      <c r="C62" s="61">
        <f t="shared" si="10"/>
        <v>0</v>
      </c>
      <c r="D62" s="62">
        <f t="shared" si="10"/>
        <v>1</v>
      </c>
      <c r="E62" s="62">
        <f t="shared" si="10"/>
        <v>0</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0.8</v>
      </c>
      <c r="S62" s="596">
        <f t="shared" si="8"/>
        <v>0.71500000000000008</v>
      </c>
    </row>
    <row r="63" spans="2:19">
      <c r="B63" s="301">
        <f t="shared" si="9"/>
        <v>2045</v>
      </c>
      <c r="C63" s="61">
        <f t="shared" si="10"/>
        <v>0</v>
      </c>
      <c r="D63" s="62">
        <f t="shared" si="10"/>
        <v>1</v>
      </c>
      <c r="E63" s="62">
        <f t="shared" si="10"/>
        <v>0</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0.8</v>
      </c>
      <c r="S63" s="596">
        <f t="shared" si="8"/>
        <v>0.71500000000000008</v>
      </c>
    </row>
    <row r="64" spans="2:19">
      <c r="B64" s="301">
        <f t="shared" si="9"/>
        <v>2046</v>
      </c>
      <c r="C64" s="61">
        <f t="shared" si="10"/>
        <v>0</v>
      </c>
      <c r="D64" s="62">
        <f t="shared" si="10"/>
        <v>1</v>
      </c>
      <c r="E64" s="62">
        <f t="shared" si="10"/>
        <v>0</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0.8</v>
      </c>
      <c r="S64" s="596">
        <f t="shared" si="8"/>
        <v>0.71500000000000008</v>
      </c>
    </row>
    <row r="65" spans="2:19">
      <c r="B65" s="301">
        <f t="shared" si="9"/>
        <v>2047</v>
      </c>
      <c r="C65" s="61">
        <f t="shared" si="10"/>
        <v>0</v>
      </c>
      <c r="D65" s="62">
        <f t="shared" si="10"/>
        <v>1</v>
      </c>
      <c r="E65" s="62">
        <f t="shared" si="10"/>
        <v>0</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0.8</v>
      </c>
      <c r="S65" s="596">
        <f t="shared" si="8"/>
        <v>0.71500000000000008</v>
      </c>
    </row>
    <row r="66" spans="2:19">
      <c r="B66" s="301">
        <f t="shared" si="9"/>
        <v>2048</v>
      </c>
      <c r="C66" s="61">
        <f t="shared" si="10"/>
        <v>0</v>
      </c>
      <c r="D66" s="62">
        <f t="shared" si="10"/>
        <v>1</v>
      </c>
      <c r="E66" s="62">
        <f t="shared" si="10"/>
        <v>0</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0.8</v>
      </c>
      <c r="S66" s="596">
        <f t="shared" si="8"/>
        <v>0.71500000000000008</v>
      </c>
    </row>
    <row r="67" spans="2:19">
      <c r="B67" s="301">
        <f t="shared" si="9"/>
        <v>2049</v>
      </c>
      <c r="C67" s="61">
        <f t="shared" si="10"/>
        <v>0</v>
      </c>
      <c r="D67" s="62">
        <f t="shared" si="10"/>
        <v>1</v>
      </c>
      <c r="E67" s="62">
        <f t="shared" si="10"/>
        <v>0</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0.8</v>
      </c>
      <c r="S67" s="596">
        <f t="shared" si="8"/>
        <v>0.71500000000000008</v>
      </c>
    </row>
    <row r="68" spans="2:19">
      <c r="B68" s="301">
        <f t="shared" si="9"/>
        <v>2050</v>
      </c>
      <c r="C68" s="61">
        <f t="shared" si="10"/>
        <v>0</v>
      </c>
      <c r="D68" s="62">
        <f t="shared" si="10"/>
        <v>1</v>
      </c>
      <c r="E68" s="62">
        <f t="shared" si="10"/>
        <v>0</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0.8</v>
      </c>
      <c r="S68" s="596">
        <f t="shared" si="8"/>
        <v>0.71500000000000008</v>
      </c>
    </row>
    <row r="69" spans="2:19">
      <c r="B69" s="301">
        <f t="shared" si="9"/>
        <v>2051</v>
      </c>
      <c r="C69" s="61">
        <f t="shared" si="10"/>
        <v>0</v>
      </c>
      <c r="D69" s="62">
        <f t="shared" si="10"/>
        <v>1</v>
      </c>
      <c r="E69" s="62">
        <f t="shared" si="10"/>
        <v>0</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0.8</v>
      </c>
      <c r="S69" s="596">
        <f t="shared" si="8"/>
        <v>0.71500000000000008</v>
      </c>
    </row>
    <row r="70" spans="2:19">
      <c r="B70" s="301">
        <f t="shared" si="9"/>
        <v>2052</v>
      </c>
      <c r="C70" s="61">
        <f t="shared" si="10"/>
        <v>0</v>
      </c>
      <c r="D70" s="62">
        <f t="shared" si="10"/>
        <v>1</v>
      </c>
      <c r="E70" s="62">
        <f t="shared" si="10"/>
        <v>0</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0.8</v>
      </c>
      <c r="S70" s="596">
        <f t="shared" si="8"/>
        <v>0.71500000000000008</v>
      </c>
    </row>
    <row r="71" spans="2:19">
      <c r="B71" s="301">
        <f t="shared" si="9"/>
        <v>2053</v>
      </c>
      <c r="C71" s="61">
        <f t="shared" si="10"/>
        <v>0</v>
      </c>
      <c r="D71" s="62">
        <f t="shared" si="10"/>
        <v>1</v>
      </c>
      <c r="E71" s="62">
        <f t="shared" si="10"/>
        <v>0</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0.8</v>
      </c>
      <c r="S71" s="596">
        <f t="shared" si="8"/>
        <v>0.71500000000000008</v>
      </c>
    </row>
    <row r="72" spans="2:19">
      <c r="B72" s="301">
        <f t="shared" si="9"/>
        <v>2054</v>
      </c>
      <c r="C72" s="61">
        <f t="shared" si="10"/>
        <v>0</v>
      </c>
      <c r="D72" s="62">
        <f t="shared" si="10"/>
        <v>1</v>
      </c>
      <c r="E72" s="62">
        <f t="shared" si="10"/>
        <v>0</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0.8</v>
      </c>
      <c r="S72" s="596">
        <f t="shared" si="8"/>
        <v>0.71500000000000008</v>
      </c>
    </row>
    <row r="73" spans="2:19">
      <c r="B73" s="301">
        <f t="shared" si="9"/>
        <v>2055</v>
      </c>
      <c r="C73" s="61">
        <f t="shared" si="10"/>
        <v>0</v>
      </c>
      <c r="D73" s="62">
        <f t="shared" si="10"/>
        <v>1</v>
      </c>
      <c r="E73" s="62">
        <f t="shared" si="10"/>
        <v>0</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0.8</v>
      </c>
      <c r="S73" s="596">
        <f t="shared" si="8"/>
        <v>0.71500000000000008</v>
      </c>
    </row>
    <row r="74" spans="2:19">
      <c r="B74" s="301">
        <f t="shared" si="9"/>
        <v>2056</v>
      </c>
      <c r="C74" s="61">
        <f t="shared" si="10"/>
        <v>0</v>
      </c>
      <c r="D74" s="62">
        <f t="shared" si="10"/>
        <v>1</v>
      </c>
      <c r="E74" s="62">
        <f t="shared" si="10"/>
        <v>0</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0.8</v>
      </c>
      <c r="S74" s="596">
        <f t="shared" si="8"/>
        <v>0.71500000000000008</v>
      </c>
    </row>
    <row r="75" spans="2:19">
      <c r="B75" s="301">
        <f t="shared" si="9"/>
        <v>2057</v>
      </c>
      <c r="C75" s="61">
        <f t="shared" si="10"/>
        <v>0</v>
      </c>
      <c r="D75" s="62">
        <f t="shared" si="10"/>
        <v>1</v>
      </c>
      <c r="E75" s="62">
        <f t="shared" si="10"/>
        <v>0</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0.8</v>
      </c>
      <c r="S75" s="596">
        <f t="shared" si="8"/>
        <v>0.71500000000000008</v>
      </c>
    </row>
    <row r="76" spans="2:19">
      <c r="B76" s="301">
        <f t="shared" si="9"/>
        <v>2058</v>
      </c>
      <c r="C76" s="61">
        <f t="shared" si="10"/>
        <v>0</v>
      </c>
      <c r="D76" s="62">
        <f t="shared" si="10"/>
        <v>1</v>
      </c>
      <c r="E76" s="62">
        <f t="shared" si="10"/>
        <v>0</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0.8</v>
      </c>
      <c r="S76" s="596">
        <f t="shared" si="8"/>
        <v>0.71500000000000008</v>
      </c>
    </row>
    <row r="77" spans="2:19">
      <c r="B77" s="301">
        <f t="shared" si="9"/>
        <v>2059</v>
      </c>
      <c r="C77" s="61">
        <f t="shared" si="10"/>
        <v>0</v>
      </c>
      <c r="D77" s="62">
        <f t="shared" si="10"/>
        <v>1</v>
      </c>
      <c r="E77" s="62">
        <f t="shared" si="10"/>
        <v>0</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0.8</v>
      </c>
      <c r="S77" s="596">
        <f t="shared" si="8"/>
        <v>0.71500000000000008</v>
      </c>
    </row>
    <row r="78" spans="2:19">
      <c r="B78" s="301">
        <f t="shared" si="9"/>
        <v>2060</v>
      </c>
      <c r="C78" s="61">
        <f t="shared" si="10"/>
        <v>0</v>
      </c>
      <c r="D78" s="62">
        <f t="shared" si="10"/>
        <v>1</v>
      </c>
      <c r="E78" s="62">
        <f t="shared" si="10"/>
        <v>0</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0.8</v>
      </c>
      <c r="S78" s="596">
        <f t="shared" si="8"/>
        <v>0.71500000000000008</v>
      </c>
    </row>
    <row r="79" spans="2:19">
      <c r="B79" s="301">
        <f t="shared" si="9"/>
        <v>2061</v>
      </c>
      <c r="C79" s="61">
        <f t="shared" si="10"/>
        <v>0</v>
      </c>
      <c r="D79" s="62">
        <f t="shared" si="10"/>
        <v>1</v>
      </c>
      <c r="E79" s="62">
        <f t="shared" si="10"/>
        <v>0</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0.8</v>
      </c>
      <c r="S79" s="596">
        <f t="shared" si="8"/>
        <v>0.71500000000000008</v>
      </c>
    </row>
    <row r="80" spans="2:19">
      <c r="B80" s="301">
        <f t="shared" si="9"/>
        <v>2062</v>
      </c>
      <c r="C80" s="61">
        <f t="shared" si="10"/>
        <v>0</v>
      </c>
      <c r="D80" s="62">
        <f t="shared" si="10"/>
        <v>1</v>
      </c>
      <c r="E80" s="62">
        <f t="shared" si="10"/>
        <v>0</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0.8</v>
      </c>
      <c r="S80" s="596">
        <f t="shared" si="8"/>
        <v>0.71500000000000008</v>
      </c>
    </row>
    <row r="81" spans="2:19">
      <c r="B81" s="301">
        <f t="shared" si="9"/>
        <v>2063</v>
      </c>
      <c r="C81" s="61">
        <f t="shared" si="10"/>
        <v>0</v>
      </c>
      <c r="D81" s="62">
        <f t="shared" si="10"/>
        <v>1</v>
      </c>
      <c r="E81" s="62">
        <f t="shared" si="10"/>
        <v>0</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0.8</v>
      </c>
      <c r="S81" s="596">
        <f t="shared" si="8"/>
        <v>0.71500000000000008</v>
      </c>
    </row>
    <row r="82" spans="2:19">
      <c r="B82" s="301">
        <f t="shared" si="9"/>
        <v>2064</v>
      </c>
      <c r="C82" s="61">
        <f t="shared" si="10"/>
        <v>0</v>
      </c>
      <c r="D82" s="62">
        <f t="shared" si="10"/>
        <v>1</v>
      </c>
      <c r="E82" s="62">
        <f t="shared" si="10"/>
        <v>0</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0.8</v>
      </c>
      <c r="S82" s="596">
        <f t="shared" si="8"/>
        <v>0.71500000000000008</v>
      </c>
    </row>
    <row r="83" spans="2:19">
      <c r="B83" s="301">
        <f t="shared" ref="B83:B98" si="12">B82+1</f>
        <v>2065</v>
      </c>
      <c r="C83" s="61">
        <f t="shared" si="10"/>
        <v>0</v>
      </c>
      <c r="D83" s="62">
        <f t="shared" si="10"/>
        <v>1</v>
      </c>
      <c r="E83" s="62">
        <f t="shared" si="10"/>
        <v>0</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0.8</v>
      </c>
      <c r="S83" s="596">
        <f t="shared" ref="S83:S98" si="16">I83*I$13+J83*J$13+K83*K$13+L83*L$13+M83*M$13</f>
        <v>0.71500000000000008</v>
      </c>
    </row>
    <row r="84" spans="2:19">
      <c r="B84" s="301">
        <f t="shared" si="12"/>
        <v>2066</v>
      </c>
      <c r="C84" s="61">
        <f t="shared" si="10"/>
        <v>0</v>
      </c>
      <c r="D84" s="62">
        <f t="shared" si="10"/>
        <v>1</v>
      </c>
      <c r="E84" s="62">
        <f t="shared" si="10"/>
        <v>0</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0.8</v>
      </c>
      <c r="S84" s="596">
        <f t="shared" si="16"/>
        <v>0.71500000000000008</v>
      </c>
    </row>
    <row r="85" spans="2:19">
      <c r="B85" s="301">
        <f t="shared" si="12"/>
        <v>2067</v>
      </c>
      <c r="C85" s="61">
        <f t="shared" si="10"/>
        <v>0</v>
      </c>
      <c r="D85" s="62">
        <f t="shared" si="10"/>
        <v>1</v>
      </c>
      <c r="E85" s="62">
        <f t="shared" si="10"/>
        <v>0</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0.8</v>
      </c>
      <c r="S85" s="596">
        <f t="shared" si="16"/>
        <v>0.71500000000000008</v>
      </c>
    </row>
    <row r="86" spans="2:19">
      <c r="B86" s="301">
        <f t="shared" si="12"/>
        <v>2068</v>
      </c>
      <c r="C86" s="61">
        <f t="shared" si="10"/>
        <v>0</v>
      </c>
      <c r="D86" s="62">
        <f t="shared" si="10"/>
        <v>1</v>
      </c>
      <c r="E86" s="62">
        <f t="shared" si="10"/>
        <v>0</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0.8</v>
      </c>
      <c r="S86" s="596">
        <f t="shared" si="16"/>
        <v>0.71500000000000008</v>
      </c>
    </row>
    <row r="87" spans="2:19">
      <c r="B87" s="301">
        <f t="shared" si="12"/>
        <v>2069</v>
      </c>
      <c r="C87" s="61">
        <f t="shared" si="10"/>
        <v>0</v>
      </c>
      <c r="D87" s="62">
        <f t="shared" si="10"/>
        <v>1</v>
      </c>
      <c r="E87" s="62">
        <f t="shared" si="10"/>
        <v>0</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0.8</v>
      </c>
      <c r="S87" s="596">
        <f t="shared" si="16"/>
        <v>0.71500000000000008</v>
      </c>
    </row>
    <row r="88" spans="2:19">
      <c r="B88" s="301">
        <f t="shared" si="12"/>
        <v>2070</v>
      </c>
      <c r="C88" s="61">
        <f t="shared" si="10"/>
        <v>0</v>
      </c>
      <c r="D88" s="62">
        <f t="shared" si="10"/>
        <v>1</v>
      </c>
      <c r="E88" s="62">
        <f t="shared" si="10"/>
        <v>0</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0.8</v>
      </c>
      <c r="S88" s="596">
        <f t="shared" si="16"/>
        <v>0.71500000000000008</v>
      </c>
    </row>
    <row r="89" spans="2:19">
      <c r="B89" s="301">
        <f t="shared" si="12"/>
        <v>2071</v>
      </c>
      <c r="C89" s="61">
        <f t="shared" si="10"/>
        <v>0</v>
      </c>
      <c r="D89" s="62">
        <f t="shared" si="10"/>
        <v>1</v>
      </c>
      <c r="E89" s="62">
        <f t="shared" si="10"/>
        <v>0</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0.8</v>
      </c>
      <c r="S89" s="596">
        <f t="shared" si="16"/>
        <v>0.71500000000000008</v>
      </c>
    </row>
    <row r="90" spans="2:19">
      <c r="B90" s="301">
        <f t="shared" si="12"/>
        <v>2072</v>
      </c>
      <c r="C90" s="61">
        <f t="shared" si="10"/>
        <v>0</v>
      </c>
      <c r="D90" s="62">
        <f t="shared" si="10"/>
        <v>1</v>
      </c>
      <c r="E90" s="62">
        <f t="shared" si="10"/>
        <v>0</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0.8</v>
      </c>
      <c r="S90" s="596">
        <f t="shared" si="16"/>
        <v>0.71500000000000008</v>
      </c>
    </row>
    <row r="91" spans="2:19">
      <c r="B91" s="301">
        <f t="shared" si="12"/>
        <v>2073</v>
      </c>
      <c r="C91" s="61">
        <f t="shared" si="10"/>
        <v>0</v>
      </c>
      <c r="D91" s="62">
        <f t="shared" si="10"/>
        <v>1</v>
      </c>
      <c r="E91" s="62">
        <f t="shared" si="10"/>
        <v>0</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0.8</v>
      </c>
      <c r="S91" s="596">
        <f t="shared" si="16"/>
        <v>0.71500000000000008</v>
      </c>
    </row>
    <row r="92" spans="2:19">
      <c r="B92" s="301">
        <f t="shared" si="12"/>
        <v>2074</v>
      </c>
      <c r="C92" s="61">
        <f t="shared" si="10"/>
        <v>0</v>
      </c>
      <c r="D92" s="62">
        <f t="shared" si="10"/>
        <v>1</v>
      </c>
      <c r="E92" s="62">
        <f t="shared" si="10"/>
        <v>0</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0.8</v>
      </c>
      <c r="S92" s="596">
        <f t="shared" si="16"/>
        <v>0.71500000000000008</v>
      </c>
    </row>
    <row r="93" spans="2:19">
      <c r="B93" s="301">
        <f t="shared" si="12"/>
        <v>2075</v>
      </c>
      <c r="C93" s="61">
        <f t="shared" si="10"/>
        <v>0</v>
      </c>
      <c r="D93" s="62">
        <f t="shared" si="10"/>
        <v>1</v>
      </c>
      <c r="E93" s="62">
        <f t="shared" si="10"/>
        <v>0</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0.8</v>
      </c>
      <c r="S93" s="596">
        <f t="shared" si="16"/>
        <v>0.71500000000000008</v>
      </c>
    </row>
    <row r="94" spans="2:19">
      <c r="B94" s="301">
        <f t="shared" si="12"/>
        <v>2076</v>
      </c>
      <c r="C94" s="61">
        <f t="shared" si="10"/>
        <v>0</v>
      </c>
      <c r="D94" s="62">
        <f t="shared" si="10"/>
        <v>1</v>
      </c>
      <c r="E94" s="62">
        <f t="shared" si="10"/>
        <v>0</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0.8</v>
      </c>
      <c r="S94" s="596">
        <f t="shared" si="16"/>
        <v>0.71500000000000008</v>
      </c>
    </row>
    <row r="95" spans="2:19">
      <c r="B95" s="301">
        <f t="shared" si="12"/>
        <v>2077</v>
      </c>
      <c r="C95" s="61">
        <f t="shared" si="10"/>
        <v>0</v>
      </c>
      <c r="D95" s="62">
        <f t="shared" si="10"/>
        <v>1</v>
      </c>
      <c r="E95" s="62">
        <f t="shared" si="10"/>
        <v>0</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0.8</v>
      </c>
      <c r="S95" s="596">
        <f t="shared" si="16"/>
        <v>0.71500000000000008</v>
      </c>
    </row>
    <row r="96" spans="2:19">
      <c r="B96" s="301">
        <f t="shared" si="12"/>
        <v>2078</v>
      </c>
      <c r="C96" s="61">
        <f t="shared" si="10"/>
        <v>0</v>
      </c>
      <c r="D96" s="62">
        <f t="shared" si="10"/>
        <v>1</v>
      </c>
      <c r="E96" s="62">
        <f t="shared" si="10"/>
        <v>0</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0.8</v>
      </c>
      <c r="S96" s="596">
        <f t="shared" si="16"/>
        <v>0.71500000000000008</v>
      </c>
    </row>
    <row r="97" spans="2:19">
      <c r="B97" s="301">
        <f t="shared" si="12"/>
        <v>2079</v>
      </c>
      <c r="C97" s="61">
        <f t="shared" si="10"/>
        <v>0</v>
      </c>
      <c r="D97" s="62">
        <f t="shared" si="10"/>
        <v>1</v>
      </c>
      <c r="E97" s="62">
        <f t="shared" si="10"/>
        <v>0</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0.8</v>
      </c>
      <c r="S97" s="596">
        <f t="shared" si="16"/>
        <v>0.71500000000000008</v>
      </c>
    </row>
    <row r="98" spans="2:19" ht="13.5" thickBot="1">
      <c r="B98" s="302">
        <f t="shared" si="12"/>
        <v>2080</v>
      </c>
      <c r="C98" s="63">
        <f t="shared" si="10"/>
        <v>0</v>
      </c>
      <c r="D98" s="64">
        <f t="shared" si="10"/>
        <v>1</v>
      </c>
      <c r="E98" s="64">
        <f t="shared" si="10"/>
        <v>0</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0.8</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37"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style="638" customWidth="1"/>
    <col min="2" max="2" width="6.28515625" style="638" customWidth="1"/>
    <col min="3" max="3" width="9.28515625" style="638" customWidth="1"/>
    <col min="4" max="4" width="7.42578125" style="638" customWidth="1"/>
    <col min="5" max="14" width="8" style="638" customWidth="1"/>
    <col min="15" max="16" width="8.42578125" style="638" customWidth="1"/>
    <col min="17" max="17" width="3.85546875" style="638" customWidth="1"/>
    <col min="18" max="18" width="3.42578125" style="638" customWidth="1"/>
    <col min="19" max="21" width="11.42578125" style="638" hidden="1" customWidth="1"/>
    <col min="22" max="22" width="10.28515625" style="638" hidden="1" customWidth="1"/>
    <col min="23" max="23" width="9.7109375" style="638" hidden="1" customWidth="1"/>
    <col min="24" max="24" width="9.42578125" style="638" hidden="1" customWidth="1"/>
    <col min="25" max="27" width="0" style="638" hidden="1" customWidth="1"/>
    <col min="28" max="29" width="11.42578125" style="638"/>
    <col min="30" max="30" width="10.85546875" style="638" customWidth="1"/>
    <col min="31" max="16384" width="11.42578125" style="638"/>
  </cols>
  <sheetData>
    <row r="2" spans="2:30" ht="15.75">
      <c r="C2" s="639" t="s">
        <v>34</v>
      </c>
      <c r="S2" s="639" t="s">
        <v>300</v>
      </c>
      <c r="AC2" s="638" t="s">
        <v>6</v>
      </c>
      <c r="AD2" s="757">
        <v>0.435</v>
      </c>
    </row>
    <row r="3" spans="2:30">
      <c r="B3" s="640"/>
      <c r="C3" s="640"/>
      <c r="S3" s="640"/>
      <c r="AC3" s="638" t="s">
        <v>256</v>
      </c>
      <c r="AD3" s="757">
        <v>0.129</v>
      </c>
    </row>
    <row r="4" spans="2:30">
      <c r="B4" s="640"/>
      <c r="C4" s="640" t="s">
        <v>38</v>
      </c>
      <c r="S4" s="640" t="s">
        <v>301</v>
      </c>
      <c r="AC4" s="638" t="s">
        <v>2</v>
      </c>
      <c r="AD4" s="757">
        <v>9.9000000000000005E-2</v>
      </c>
    </row>
    <row r="5" spans="2:30">
      <c r="B5" s="640"/>
      <c r="C5" s="640"/>
      <c r="S5" s="640" t="s">
        <v>38</v>
      </c>
      <c r="AC5" s="638" t="s">
        <v>16</v>
      </c>
      <c r="AD5" s="757">
        <v>2.7E-2</v>
      </c>
    </row>
    <row r="6" spans="2:30">
      <c r="B6" s="640"/>
      <c r="S6" s="640"/>
      <c r="AC6" s="638" t="s">
        <v>331</v>
      </c>
      <c r="AD6" s="757">
        <v>8.9999999999999993E-3</v>
      </c>
    </row>
    <row r="7" spans="2:30" ht="13.5" thickBot="1">
      <c r="B7" s="640"/>
      <c r="C7" s="641"/>
      <c r="S7" s="640"/>
      <c r="AC7" s="638" t="s">
        <v>332</v>
      </c>
      <c r="AD7" s="757">
        <v>7.1999999999999995E-2</v>
      </c>
    </row>
    <row r="8" spans="2:30" ht="13.5" thickBot="1">
      <c r="B8" s="640"/>
      <c r="D8" s="642">
        <v>6.2100000000000002E-2</v>
      </c>
      <c r="E8" s="755">
        <f>AD2</f>
        <v>0.435</v>
      </c>
      <c r="F8" s="756">
        <f>AD3</f>
        <v>0.129</v>
      </c>
      <c r="G8" s="756">
        <v>0</v>
      </c>
      <c r="H8" s="756">
        <v>0</v>
      </c>
      <c r="I8" s="756">
        <f>AD4</f>
        <v>9.9000000000000005E-2</v>
      </c>
      <c r="J8" s="756">
        <f>AD5</f>
        <v>2.7E-2</v>
      </c>
      <c r="K8" s="756">
        <f>AD6</f>
        <v>8.9999999999999993E-3</v>
      </c>
      <c r="L8" s="756">
        <f>AD7</f>
        <v>7.1999999999999995E-2</v>
      </c>
      <c r="M8" s="756">
        <f>AD8</f>
        <v>3.3000000000000002E-2</v>
      </c>
      <c r="N8" s="756">
        <f>AD9</f>
        <v>0.04</v>
      </c>
      <c r="O8" s="756">
        <f>AD10</f>
        <v>0.156</v>
      </c>
      <c r="P8" s="643">
        <f>SUM(E8:O8)</f>
        <v>1</v>
      </c>
      <c r="S8" s="640"/>
      <c r="T8" s="640"/>
      <c r="AC8" s="638" t="s">
        <v>231</v>
      </c>
      <c r="AD8" s="757">
        <v>3.3000000000000002E-2</v>
      </c>
    </row>
    <row r="9" spans="2:30" ht="13.5" thickBot="1">
      <c r="B9" s="644"/>
      <c r="C9" s="645"/>
      <c r="D9" s="646"/>
      <c r="E9" s="799" t="s">
        <v>41</v>
      </c>
      <c r="F9" s="800"/>
      <c r="G9" s="800"/>
      <c r="H9" s="800"/>
      <c r="I9" s="800"/>
      <c r="J9" s="800"/>
      <c r="K9" s="800"/>
      <c r="L9" s="800"/>
      <c r="M9" s="800"/>
      <c r="N9" s="800"/>
      <c r="O9" s="800"/>
      <c r="P9" s="647"/>
      <c r="AC9" s="638" t="s">
        <v>232</v>
      </c>
      <c r="AD9" s="757">
        <v>0.04</v>
      </c>
    </row>
    <row r="10" spans="2:30" ht="21.75" customHeight="1" thickBot="1">
      <c r="B10" s="801" t="s">
        <v>1</v>
      </c>
      <c r="C10" s="801" t="s">
        <v>33</v>
      </c>
      <c r="D10" s="801" t="s">
        <v>40</v>
      </c>
      <c r="E10" s="801" t="s">
        <v>228</v>
      </c>
      <c r="F10" s="801" t="s">
        <v>271</v>
      </c>
      <c r="G10" s="791" t="s">
        <v>267</v>
      </c>
      <c r="H10" s="801" t="s">
        <v>270</v>
      </c>
      <c r="I10" s="791" t="s">
        <v>2</v>
      </c>
      <c r="J10" s="801" t="s">
        <v>16</v>
      </c>
      <c r="K10" s="791" t="s">
        <v>229</v>
      </c>
      <c r="L10" s="803" t="s">
        <v>273</v>
      </c>
      <c r="M10" s="804"/>
      <c r="N10" s="804"/>
      <c r="O10" s="805"/>
      <c r="P10" s="801" t="s">
        <v>27</v>
      </c>
      <c r="AC10" s="638" t="s">
        <v>233</v>
      </c>
      <c r="AD10" s="757">
        <v>0.156</v>
      </c>
    </row>
    <row r="11" spans="2:30" s="649" customFormat="1" ht="42" customHeight="1" thickBot="1">
      <c r="B11" s="802"/>
      <c r="C11" s="802"/>
      <c r="D11" s="802"/>
      <c r="E11" s="802"/>
      <c r="F11" s="802"/>
      <c r="G11" s="793"/>
      <c r="H11" s="802"/>
      <c r="I11" s="793"/>
      <c r="J11" s="802"/>
      <c r="K11" s="793"/>
      <c r="L11" s="648" t="s">
        <v>230</v>
      </c>
      <c r="M11" s="648" t="s">
        <v>231</v>
      </c>
      <c r="N11" s="648" t="s">
        <v>232</v>
      </c>
      <c r="O11" s="648" t="s">
        <v>233</v>
      </c>
      <c r="P11" s="802"/>
      <c r="S11" s="400" t="s">
        <v>1</v>
      </c>
      <c r="T11" s="404" t="s">
        <v>302</v>
      </c>
      <c r="U11" s="400" t="s">
        <v>303</v>
      </c>
      <c r="V11" s="404" t="s">
        <v>304</v>
      </c>
      <c r="W11" s="400" t="s">
        <v>40</v>
      </c>
      <c r="X11" s="404" t="s">
        <v>305</v>
      </c>
    </row>
    <row r="12" spans="2:30" s="656" customFormat="1" ht="26.25" thickBot="1">
      <c r="B12" s="650"/>
      <c r="C12" s="651" t="s">
        <v>15</v>
      </c>
      <c r="D12" s="651" t="s">
        <v>24</v>
      </c>
      <c r="E12" s="652" t="s">
        <v>24</v>
      </c>
      <c r="F12" s="653" t="s">
        <v>24</v>
      </c>
      <c r="G12" s="653" t="s">
        <v>24</v>
      </c>
      <c r="H12" s="653" t="s">
        <v>24</v>
      </c>
      <c r="I12" s="653" t="s">
        <v>24</v>
      </c>
      <c r="J12" s="653" t="s">
        <v>24</v>
      </c>
      <c r="K12" s="653" t="s">
        <v>24</v>
      </c>
      <c r="L12" s="653" t="s">
        <v>24</v>
      </c>
      <c r="M12" s="653" t="s">
        <v>24</v>
      </c>
      <c r="N12" s="653" t="s">
        <v>24</v>
      </c>
      <c r="O12" s="654" t="s">
        <v>24</v>
      </c>
      <c r="P12" s="655" t="s">
        <v>39</v>
      </c>
      <c r="S12" s="657"/>
      <c r="T12" s="658" t="s">
        <v>306</v>
      </c>
      <c r="U12" s="657" t="s">
        <v>307</v>
      </c>
      <c r="V12" s="658" t="s">
        <v>15</v>
      </c>
      <c r="W12" s="659" t="s">
        <v>24</v>
      </c>
      <c r="X12" s="658" t="s">
        <v>15</v>
      </c>
    </row>
    <row r="13" spans="2:30">
      <c r="B13" s="660">
        <f>year</f>
        <v>2000</v>
      </c>
      <c r="C13" s="661">
        <f>'[2]Fraksi pengelolaan sampah BaU'!C30</f>
        <v>32.145558324</v>
      </c>
      <c r="D13" s="662">
        <v>1</v>
      </c>
      <c r="E13" s="663">
        <f t="shared" ref="E13:O28" si="0">E$8</f>
        <v>0.435</v>
      </c>
      <c r="F13" s="663">
        <f t="shared" si="0"/>
        <v>0.129</v>
      </c>
      <c r="G13" s="663">
        <f t="shared" si="0"/>
        <v>0</v>
      </c>
      <c r="H13" s="663">
        <f t="shared" si="0"/>
        <v>0</v>
      </c>
      <c r="I13" s="663">
        <f t="shared" si="0"/>
        <v>9.9000000000000005E-2</v>
      </c>
      <c r="J13" s="663">
        <f t="shared" si="0"/>
        <v>2.7E-2</v>
      </c>
      <c r="K13" s="663">
        <f t="shared" si="0"/>
        <v>8.9999999999999993E-3</v>
      </c>
      <c r="L13" s="663">
        <f t="shared" si="0"/>
        <v>7.1999999999999995E-2</v>
      </c>
      <c r="M13" s="663">
        <f t="shared" si="0"/>
        <v>3.3000000000000002E-2</v>
      </c>
      <c r="N13" s="663">
        <f t="shared" si="0"/>
        <v>0.04</v>
      </c>
      <c r="O13" s="663">
        <f t="shared" si="0"/>
        <v>0.156</v>
      </c>
      <c r="P13" s="664">
        <f t="shared" ref="P13:P44" si="1">SUM(E13:O13)</f>
        <v>1</v>
      </c>
      <c r="S13" s="660">
        <f>year</f>
        <v>2000</v>
      </c>
      <c r="T13" s="665">
        <v>0</v>
      </c>
      <c r="U13" s="665">
        <v>5</v>
      </c>
      <c r="V13" s="666">
        <f>T13*U13</f>
        <v>0</v>
      </c>
      <c r="W13" s="667">
        <v>1</v>
      </c>
      <c r="X13" s="668">
        <f t="shared" ref="X13:X44" si="2">V13*W13</f>
        <v>0</v>
      </c>
    </row>
    <row r="14" spans="2:30">
      <c r="B14" s="669">
        <f t="shared" ref="B14:B45" si="3">B13+1</f>
        <v>2001</v>
      </c>
      <c r="C14" s="661">
        <f>'[2]Fraksi pengelolaan sampah BaU'!C31</f>
        <v>32.789183328</v>
      </c>
      <c r="D14" s="662">
        <v>1</v>
      </c>
      <c r="E14" s="663">
        <f t="shared" si="0"/>
        <v>0.435</v>
      </c>
      <c r="F14" s="663">
        <f t="shared" si="0"/>
        <v>0.129</v>
      </c>
      <c r="G14" s="663">
        <f t="shared" si="0"/>
        <v>0</v>
      </c>
      <c r="H14" s="663">
        <f t="shared" si="0"/>
        <v>0</v>
      </c>
      <c r="I14" s="663">
        <f t="shared" si="0"/>
        <v>9.9000000000000005E-2</v>
      </c>
      <c r="J14" s="663">
        <f t="shared" si="0"/>
        <v>2.7E-2</v>
      </c>
      <c r="K14" s="663">
        <f t="shared" si="0"/>
        <v>8.9999999999999993E-3</v>
      </c>
      <c r="L14" s="663">
        <f t="shared" si="0"/>
        <v>7.1999999999999995E-2</v>
      </c>
      <c r="M14" s="663">
        <f t="shared" si="0"/>
        <v>3.3000000000000002E-2</v>
      </c>
      <c r="N14" s="663">
        <f t="shared" si="0"/>
        <v>0.04</v>
      </c>
      <c r="O14" s="663">
        <f t="shared" si="0"/>
        <v>0.156</v>
      </c>
      <c r="P14" s="670">
        <f t="shared" si="1"/>
        <v>1</v>
      </c>
      <c r="S14" s="669">
        <f t="shared" ref="S14:S77" si="4">S13+1</f>
        <v>2001</v>
      </c>
      <c r="T14" s="671">
        <v>0</v>
      </c>
      <c r="U14" s="671">
        <v>5</v>
      </c>
      <c r="V14" s="672">
        <f>T14*U14</f>
        <v>0</v>
      </c>
      <c r="W14" s="673">
        <v>1</v>
      </c>
      <c r="X14" s="674">
        <f t="shared" si="2"/>
        <v>0</v>
      </c>
    </row>
    <row r="15" spans="2:30">
      <c r="B15" s="669">
        <f t="shared" si="3"/>
        <v>2002</v>
      </c>
      <c r="C15" s="661">
        <f>'[2]Fraksi pengelolaan sampah BaU'!C32</f>
        <v>33.537048336000005</v>
      </c>
      <c r="D15" s="662">
        <v>1</v>
      </c>
      <c r="E15" s="663">
        <f t="shared" si="0"/>
        <v>0.435</v>
      </c>
      <c r="F15" s="663">
        <f t="shared" si="0"/>
        <v>0.129</v>
      </c>
      <c r="G15" s="663">
        <f t="shared" si="0"/>
        <v>0</v>
      </c>
      <c r="H15" s="663">
        <f t="shared" si="0"/>
        <v>0</v>
      </c>
      <c r="I15" s="663">
        <f t="shared" si="0"/>
        <v>9.9000000000000005E-2</v>
      </c>
      <c r="J15" s="663">
        <f t="shared" si="0"/>
        <v>2.7E-2</v>
      </c>
      <c r="K15" s="663">
        <f t="shared" si="0"/>
        <v>8.9999999999999993E-3</v>
      </c>
      <c r="L15" s="663">
        <f t="shared" si="0"/>
        <v>7.1999999999999995E-2</v>
      </c>
      <c r="M15" s="663">
        <f t="shared" si="0"/>
        <v>3.3000000000000002E-2</v>
      </c>
      <c r="N15" s="663">
        <f t="shared" si="0"/>
        <v>0.04</v>
      </c>
      <c r="O15" s="663">
        <f t="shared" si="0"/>
        <v>0.156</v>
      </c>
      <c r="P15" s="670">
        <f t="shared" si="1"/>
        <v>1</v>
      </c>
      <c r="S15" s="669">
        <f t="shared" si="4"/>
        <v>2002</v>
      </c>
      <c r="T15" s="671">
        <v>0</v>
      </c>
      <c r="U15" s="671">
        <v>5</v>
      </c>
      <c r="V15" s="672">
        <f t="shared" ref="V15:V78" si="5">T15*U15</f>
        <v>0</v>
      </c>
      <c r="W15" s="673">
        <v>1</v>
      </c>
      <c r="X15" s="674">
        <f t="shared" si="2"/>
        <v>0</v>
      </c>
    </row>
    <row r="16" spans="2:30">
      <c r="B16" s="669">
        <f t="shared" si="3"/>
        <v>2003</v>
      </c>
      <c r="C16" s="661">
        <f>'[2]Fraksi pengelolaan sampah BaU'!C33</f>
        <v>34.611318323999996</v>
      </c>
      <c r="D16" s="662">
        <v>1</v>
      </c>
      <c r="E16" s="663">
        <f t="shared" si="0"/>
        <v>0.435</v>
      </c>
      <c r="F16" s="663">
        <f t="shared" si="0"/>
        <v>0.129</v>
      </c>
      <c r="G16" s="663">
        <f t="shared" si="0"/>
        <v>0</v>
      </c>
      <c r="H16" s="663">
        <f t="shared" si="0"/>
        <v>0</v>
      </c>
      <c r="I16" s="663">
        <f t="shared" si="0"/>
        <v>9.9000000000000005E-2</v>
      </c>
      <c r="J16" s="663">
        <f t="shared" si="0"/>
        <v>2.7E-2</v>
      </c>
      <c r="K16" s="663">
        <f t="shared" si="0"/>
        <v>8.9999999999999993E-3</v>
      </c>
      <c r="L16" s="663">
        <f t="shared" si="0"/>
        <v>7.1999999999999995E-2</v>
      </c>
      <c r="M16" s="663">
        <f t="shared" si="0"/>
        <v>3.3000000000000002E-2</v>
      </c>
      <c r="N16" s="663">
        <f t="shared" si="0"/>
        <v>0.04</v>
      </c>
      <c r="O16" s="663">
        <f t="shared" si="0"/>
        <v>0.156</v>
      </c>
      <c r="P16" s="670">
        <f t="shared" si="1"/>
        <v>1</v>
      </c>
      <c r="S16" s="669">
        <f t="shared" si="4"/>
        <v>2003</v>
      </c>
      <c r="T16" s="671">
        <v>0</v>
      </c>
      <c r="U16" s="671">
        <v>5</v>
      </c>
      <c r="V16" s="672">
        <f t="shared" si="5"/>
        <v>0</v>
      </c>
      <c r="W16" s="673">
        <v>1</v>
      </c>
      <c r="X16" s="674">
        <f t="shared" si="2"/>
        <v>0</v>
      </c>
    </row>
    <row r="17" spans="2:24">
      <c r="B17" s="669">
        <f t="shared" si="3"/>
        <v>2004</v>
      </c>
      <c r="C17" s="661">
        <f>'[2]Fraksi pengelolaan sampah BaU'!C34</f>
        <v>35.013607067999999</v>
      </c>
      <c r="D17" s="662">
        <v>1</v>
      </c>
      <c r="E17" s="663">
        <f t="shared" si="0"/>
        <v>0.435</v>
      </c>
      <c r="F17" s="663">
        <f t="shared" si="0"/>
        <v>0.129</v>
      </c>
      <c r="G17" s="663">
        <f t="shared" si="0"/>
        <v>0</v>
      </c>
      <c r="H17" s="663">
        <f t="shared" si="0"/>
        <v>0</v>
      </c>
      <c r="I17" s="663">
        <f t="shared" si="0"/>
        <v>9.9000000000000005E-2</v>
      </c>
      <c r="J17" s="663">
        <f t="shared" si="0"/>
        <v>2.7E-2</v>
      </c>
      <c r="K17" s="663">
        <f t="shared" si="0"/>
        <v>8.9999999999999993E-3</v>
      </c>
      <c r="L17" s="663">
        <f t="shared" si="0"/>
        <v>7.1999999999999995E-2</v>
      </c>
      <c r="M17" s="663">
        <f t="shared" si="0"/>
        <v>3.3000000000000002E-2</v>
      </c>
      <c r="N17" s="663">
        <f t="shared" si="0"/>
        <v>0.04</v>
      </c>
      <c r="O17" s="663">
        <f t="shared" si="0"/>
        <v>0.156</v>
      </c>
      <c r="P17" s="670">
        <f t="shared" si="1"/>
        <v>1</v>
      </c>
      <c r="S17" s="669">
        <f t="shared" si="4"/>
        <v>2004</v>
      </c>
      <c r="T17" s="671">
        <v>0</v>
      </c>
      <c r="U17" s="671">
        <v>5</v>
      </c>
      <c r="V17" s="672">
        <f t="shared" si="5"/>
        <v>0</v>
      </c>
      <c r="W17" s="673">
        <v>1</v>
      </c>
      <c r="X17" s="674">
        <f t="shared" si="2"/>
        <v>0</v>
      </c>
    </row>
    <row r="18" spans="2:24">
      <c r="B18" s="669">
        <f t="shared" si="3"/>
        <v>2005</v>
      </c>
      <c r="C18" s="661">
        <f>'[2]Fraksi pengelolaan sampah BaU'!C35</f>
        <v>35.986904183999997</v>
      </c>
      <c r="D18" s="662">
        <v>1</v>
      </c>
      <c r="E18" s="663">
        <f t="shared" si="0"/>
        <v>0.435</v>
      </c>
      <c r="F18" s="663">
        <f t="shared" si="0"/>
        <v>0.129</v>
      </c>
      <c r="G18" s="663">
        <f t="shared" si="0"/>
        <v>0</v>
      </c>
      <c r="H18" s="663">
        <f t="shared" si="0"/>
        <v>0</v>
      </c>
      <c r="I18" s="663">
        <f t="shared" si="0"/>
        <v>9.9000000000000005E-2</v>
      </c>
      <c r="J18" s="663">
        <f t="shared" si="0"/>
        <v>2.7E-2</v>
      </c>
      <c r="K18" s="663">
        <f t="shared" si="0"/>
        <v>8.9999999999999993E-3</v>
      </c>
      <c r="L18" s="663">
        <f t="shared" si="0"/>
        <v>7.1999999999999995E-2</v>
      </c>
      <c r="M18" s="663">
        <f t="shared" si="0"/>
        <v>3.3000000000000002E-2</v>
      </c>
      <c r="N18" s="663">
        <f t="shared" si="0"/>
        <v>0.04</v>
      </c>
      <c r="O18" s="663">
        <f t="shared" si="0"/>
        <v>0.156</v>
      </c>
      <c r="P18" s="670">
        <f t="shared" si="1"/>
        <v>1</v>
      </c>
      <c r="S18" s="669">
        <f t="shared" si="4"/>
        <v>2005</v>
      </c>
      <c r="T18" s="671">
        <v>0</v>
      </c>
      <c r="U18" s="671">
        <v>5</v>
      </c>
      <c r="V18" s="672">
        <f t="shared" si="5"/>
        <v>0</v>
      </c>
      <c r="W18" s="673">
        <v>1</v>
      </c>
      <c r="X18" s="674">
        <f t="shared" si="2"/>
        <v>0</v>
      </c>
    </row>
    <row r="19" spans="2:24">
      <c r="B19" s="669">
        <f t="shared" si="3"/>
        <v>2006</v>
      </c>
      <c r="C19" s="661">
        <f>'[2]Fraksi pengelolaan sampah BaU'!C36</f>
        <v>36.401953236000004</v>
      </c>
      <c r="D19" s="662">
        <v>1</v>
      </c>
      <c r="E19" s="663">
        <f t="shared" si="0"/>
        <v>0.435</v>
      </c>
      <c r="F19" s="663">
        <f t="shared" si="0"/>
        <v>0.129</v>
      </c>
      <c r="G19" s="663">
        <f t="shared" si="0"/>
        <v>0</v>
      </c>
      <c r="H19" s="663">
        <f t="shared" si="0"/>
        <v>0</v>
      </c>
      <c r="I19" s="663">
        <f t="shared" si="0"/>
        <v>9.9000000000000005E-2</v>
      </c>
      <c r="J19" s="663">
        <f t="shared" si="0"/>
        <v>2.7E-2</v>
      </c>
      <c r="K19" s="663">
        <f t="shared" si="0"/>
        <v>8.9999999999999993E-3</v>
      </c>
      <c r="L19" s="663">
        <f t="shared" si="0"/>
        <v>7.1999999999999995E-2</v>
      </c>
      <c r="M19" s="663">
        <f t="shared" si="0"/>
        <v>3.3000000000000002E-2</v>
      </c>
      <c r="N19" s="663">
        <f t="shared" si="0"/>
        <v>0.04</v>
      </c>
      <c r="O19" s="663">
        <f t="shared" si="0"/>
        <v>0.156</v>
      </c>
      <c r="P19" s="670">
        <f t="shared" si="1"/>
        <v>1</v>
      </c>
      <c r="S19" s="669">
        <f t="shared" si="4"/>
        <v>2006</v>
      </c>
      <c r="T19" s="671">
        <v>0</v>
      </c>
      <c r="U19" s="671">
        <v>5</v>
      </c>
      <c r="V19" s="672">
        <f t="shared" si="5"/>
        <v>0</v>
      </c>
      <c r="W19" s="673">
        <v>1</v>
      </c>
      <c r="X19" s="674">
        <f t="shared" si="2"/>
        <v>0</v>
      </c>
    </row>
    <row r="20" spans="2:24">
      <c r="B20" s="669">
        <f t="shared" si="3"/>
        <v>2007</v>
      </c>
      <c r="C20" s="661">
        <f>'[2]Fraksi pengelolaan sampah BaU'!C37</f>
        <v>36.806091300000006</v>
      </c>
      <c r="D20" s="662">
        <v>1</v>
      </c>
      <c r="E20" s="663">
        <f t="shared" si="0"/>
        <v>0.435</v>
      </c>
      <c r="F20" s="663">
        <f t="shared" si="0"/>
        <v>0.129</v>
      </c>
      <c r="G20" s="663">
        <f t="shared" si="0"/>
        <v>0</v>
      </c>
      <c r="H20" s="663">
        <f t="shared" si="0"/>
        <v>0</v>
      </c>
      <c r="I20" s="663">
        <f t="shared" si="0"/>
        <v>9.9000000000000005E-2</v>
      </c>
      <c r="J20" s="663">
        <f t="shared" si="0"/>
        <v>2.7E-2</v>
      </c>
      <c r="K20" s="663">
        <f t="shared" si="0"/>
        <v>8.9999999999999993E-3</v>
      </c>
      <c r="L20" s="663">
        <f t="shared" si="0"/>
        <v>7.1999999999999995E-2</v>
      </c>
      <c r="M20" s="663">
        <f t="shared" si="0"/>
        <v>3.3000000000000002E-2</v>
      </c>
      <c r="N20" s="663">
        <f t="shared" si="0"/>
        <v>0.04</v>
      </c>
      <c r="O20" s="663">
        <f t="shared" si="0"/>
        <v>0.156</v>
      </c>
      <c r="P20" s="670">
        <f t="shared" si="1"/>
        <v>1</v>
      </c>
      <c r="S20" s="669">
        <f t="shared" si="4"/>
        <v>2007</v>
      </c>
      <c r="T20" s="671">
        <v>0</v>
      </c>
      <c r="U20" s="671">
        <v>5</v>
      </c>
      <c r="V20" s="672">
        <f t="shared" si="5"/>
        <v>0</v>
      </c>
      <c r="W20" s="673">
        <v>1</v>
      </c>
      <c r="X20" s="674">
        <f t="shared" si="2"/>
        <v>0</v>
      </c>
    </row>
    <row r="21" spans="2:24">
      <c r="B21" s="669">
        <f t="shared" si="3"/>
        <v>2008</v>
      </c>
      <c r="C21" s="661">
        <f>'[2]Fraksi pengelolaan sampah BaU'!C38</f>
        <v>37.195311515999997</v>
      </c>
      <c r="D21" s="662">
        <v>1</v>
      </c>
      <c r="E21" s="663">
        <f t="shared" si="0"/>
        <v>0.435</v>
      </c>
      <c r="F21" s="663">
        <f t="shared" si="0"/>
        <v>0.129</v>
      </c>
      <c r="G21" s="663">
        <f t="shared" si="0"/>
        <v>0</v>
      </c>
      <c r="H21" s="663">
        <f t="shared" si="0"/>
        <v>0</v>
      </c>
      <c r="I21" s="663">
        <f t="shared" si="0"/>
        <v>9.9000000000000005E-2</v>
      </c>
      <c r="J21" s="663">
        <f t="shared" si="0"/>
        <v>2.7E-2</v>
      </c>
      <c r="K21" s="663">
        <f t="shared" si="0"/>
        <v>8.9999999999999993E-3</v>
      </c>
      <c r="L21" s="663">
        <f t="shared" si="0"/>
        <v>7.1999999999999995E-2</v>
      </c>
      <c r="M21" s="663">
        <f t="shared" si="0"/>
        <v>3.3000000000000002E-2</v>
      </c>
      <c r="N21" s="663">
        <f t="shared" si="0"/>
        <v>0.04</v>
      </c>
      <c r="O21" s="663">
        <f t="shared" si="0"/>
        <v>0.156</v>
      </c>
      <c r="P21" s="670">
        <f t="shared" si="1"/>
        <v>1</v>
      </c>
      <c r="S21" s="669">
        <f t="shared" si="4"/>
        <v>2008</v>
      </c>
      <c r="T21" s="671">
        <v>0</v>
      </c>
      <c r="U21" s="671">
        <v>5</v>
      </c>
      <c r="V21" s="672">
        <f t="shared" si="5"/>
        <v>0</v>
      </c>
      <c r="W21" s="673">
        <v>1</v>
      </c>
      <c r="X21" s="674">
        <f t="shared" si="2"/>
        <v>0</v>
      </c>
    </row>
    <row r="22" spans="2:24">
      <c r="B22" s="669">
        <f t="shared" si="3"/>
        <v>2009</v>
      </c>
      <c r="C22" s="661">
        <f>'[2]Fraksi pengelolaan sampah BaU'!C39</f>
        <v>37.564620720000001</v>
      </c>
      <c r="D22" s="662">
        <v>1</v>
      </c>
      <c r="E22" s="663">
        <f t="shared" si="0"/>
        <v>0.435</v>
      </c>
      <c r="F22" s="663">
        <f t="shared" si="0"/>
        <v>0.129</v>
      </c>
      <c r="G22" s="663">
        <f t="shared" si="0"/>
        <v>0</v>
      </c>
      <c r="H22" s="663">
        <f t="shared" si="0"/>
        <v>0</v>
      </c>
      <c r="I22" s="663">
        <f t="shared" si="0"/>
        <v>9.9000000000000005E-2</v>
      </c>
      <c r="J22" s="663">
        <f t="shared" si="0"/>
        <v>2.7E-2</v>
      </c>
      <c r="K22" s="663">
        <f t="shared" si="0"/>
        <v>8.9999999999999993E-3</v>
      </c>
      <c r="L22" s="663">
        <f t="shared" si="0"/>
        <v>7.1999999999999995E-2</v>
      </c>
      <c r="M22" s="663">
        <f t="shared" si="0"/>
        <v>3.3000000000000002E-2</v>
      </c>
      <c r="N22" s="663">
        <f t="shared" si="0"/>
        <v>0.04</v>
      </c>
      <c r="O22" s="663">
        <f t="shared" si="0"/>
        <v>0.156</v>
      </c>
      <c r="P22" s="670">
        <f t="shared" si="1"/>
        <v>1</v>
      </c>
      <c r="S22" s="669">
        <f t="shared" si="4"/>
        <v>2009</v>
      </c>
      <c r="T22" s="671">
        <v>0</v>
      </c>
      <c r="U22" s="671">
        <v>5</v>
      </c>
      <c r="V22" s="672">
        <f t="shared" si="5"/>
        <v>0</v>
      </c>
      <c r="W22" s="673">
        <v>1</v>
      </c>
      <c r="X22" s="674">
        <f t="shared" si="2"/>
        <v>0</v>
      </c>
    </row>
    <row r="23" spans="2:24">
      <c r="B23" s="669">
        <f t="shared" si="3"/>
        <v>2010</v>
      </c>
      <c r="C23" s="661">
        <f>'[2]Fraksi pengelolaan sampah BaU'!C40</f>
        <v>44.846010000000007</v>
      </c>
      <c r="D23" s="662">
        <v>1</v>
      </c>
      <c r="E23" s="663">
        <f t="shared" ref="E23:O38" si="6">E$8</f>
        <v>0.435</v>
      </c>
      <c r="F23" s="663">
        <f t="shared" si="6"/>
        <v>0.129</v>
      </c>
      <c r="G23" s="663">
        <f t="shared" si="0"/>
        <v>0</v>
      </c>
      <c r="H23" s="663">
        <f t="shared" si="6"/>
        <v>0</v>
      </c>
      <c r="I23" s="663">
        <f t="shared" si="0"/>
        <v>9.9000000000000005E-2</v>
      </c>
      <c r="J23" s="663">
        <f t="shared" si="6"/>
        <v>2.7E-2</v>
      </c>
      <c r="K23" s="663">
        <f t="shared" si="6"/>
        <v>8.9999999999999993E-3</v>
      </c>
      <c r="L23" s="663">
        <f t="shared" si="6"/>
        <v>7.1999999999999995E-2</v>
      </c>
      <c r="M23" s="663">
        <f t="shared" si="6"/>
        <v>3.3000000000000002E-2</v>
      </c>
      <c r="N23" s="663">
        <f t="shared" si="6"/>
        <v>0.04</v>
      </c>
      <c r="O23" s="663">
        <f t="shared" si="6"/>
        <v>0.156</v>
      </c>
      <c r="P23" s="670">
        <f t="shared" si="1"/>
        <v>1</v>
      </c>
      <c r="S23" s="669">
        <f t="shared" si="4"/>
        <v>2010</v>
      </c>
      <c r="T23" s="671">
        <v>0</v>
      </c>
      <c r="U23" s="671">
        <v>5</v>
      </c>
      <c r="V23" s="672">
        <f t="shared" si="5"/>
        <v>0</v>
      </c>
      <c r="W23" s="673">
        <v>1</v>
      </c>
      <c r="X23" s="674">
        <f t="shared" si="2"/>
        <v>0</v>
      </c>
    </row>
    <row r="24" spans="2:24">
      <c r="B24" s="669">
        <f t="shared" si="3"/>
        <v>2011</v>
      </c>
      <c r="C24" s="661">
        <f>'[3]Fraksi pengelolaan sampah BaU'!C29</f>
        <v>46.645829868</v>
      </c>
      <c r="D24" s="662">
        <v>1</v>
      </c>
      <c r="E24" s="663">
        <f t="shared" si="6"/>
        <v>0.435</v>
      </c>
      <c r="F24" s="663">
        <f t="shared" si="6"/>
        <v>0.129</v>
      </c>
      <c r="G24" s="663">
        <f t="shared" si="0"/>
        <v>0</v>
      </c>
      <c r="H24" s="663">
        <f t="shared" si="6"/>
        <v>0</v>
      </c>
      <c r="I24" s="663">
        <f t="shared" si="0"/>
        <v>9.9000000000000005E-2</v>
      </c>
      <c r="J24" s="663">
        <f t="shared" si="6"/>
        <v>2.7E-2</v>
      </c>
      <c r="K24" s="663">
        <f t="shared" si="6"/>
        <v>8.9999999999999993E-3</v>
      </c>
      <c r="L24" s="663">
        <f t="shared" si="6"/>
        <v>7.1999999999999995E-2</v>
      </c>
      <c r="M24" s="663">
        <f t="shared" si="6"/>
        <v>3.3000000000000002E-2</v>
      </c>
      <c r="N24" s="663">
        <f t="shared" si="6"/>
        <v>0.04</v>
      </c>
      <c r="O24" s="663">
        <f t="shared" si="6"/>
        <v>0.156</v>
      </c>
      <c r="P24" s="670">
        <f t="shared" si="1"/>
        <v>1</v>
      </c>
      <c r="S24" s="669">
        <f t="shared" si="4"/>
        <v>2011</v>
      </c>
      <c r="T24" s="671">
        <v>0</v>
      </c>
      <c r="U24" s="671">
        <v>5</v>
      </c>
      <c r="V24" s="672">
        <f t="shared" si="5"/>
        <v>0</v>
      </c>
      <c r="W24" s="673">
        <v>1</v>
      </c>
      <c r="X24" s="674">
        <f t="shared" si="2"/>
        <v>0</v>
      </c>
    </row>
    <row r="25" spans="2:24">
      <c r="B25" s="669">
        <f t="shared" si="3"/>
        <v>2012</v>
      </c>
      <c r="C25" s="661">
        <f>'[3]Fraksi pengelolaan sampah BaU'!C30</f>
        <v>47.151988752000001</v>
      </c>
      <c r="D25" s="662">
        <v>1</v>
      </c>
      <c r="E25" s="663">
        <f t="shared" si="6"/>
        <v>0.435</v>
      </c>
      <c r="F25" s="663">
        <f t="shared" si="6"/>
        <v>0.129</v>
      </c>
      <c r="G25" s="663">
        <f t="shared" si="0"/>
        <v>0</v>
      </c>
      <c r="H25" s="663">
        <f t="shared" si="6"/>
        <v>0</v>
      </c>
      <c r="I25" s="663">
        <f t="shared" si="0"/>
        <v>9.9000000000000005E-2</v>
      </c>
      <c r="J25" s="663">
        <f t="shared" si="6"/>
        <v>2.7E-2</v>
      </c>
      <c r="K25" s="663">
        <f t="shared" si="6"/>
        <v>8.9999999999999993E-3</v>
      </c>
      <c r="L25" s="663">
        <f t="shared" si="6"/>
        <v>7.1999999999999995E-2</v>
      </c>
      <c r="M25" s="663">
        <f t="shared" si="6"/>
        <v>3.3000000000000002E-2</v>
      </c>
      <c r="N25" s="663">
        <f t="shared" si="6"/>
        <v>0.04</v>
      </c>
      <c r="O25" s="663">
        <f t="shared" si="6"/>
        <v>0.156</v>
      </c>
      <c r="P25" s="670">
        <f t="shared" si="1"/>
        <v>1</v>
      </c>
      <c r="S25" s="669">
        <f t="shared" si="4"/>
        <v>2012</v>
      </c>
      <c r="T25" s="671">
        <v>0</v>
      </c>
      <c r="U25" s="671">
        <v>5</v>
      </c>
      <c r="V25" s="672">
        <f t="shared" si="5"/>
        <v>0</v>
      </c>
      <c r="W25" s="673">
        <v>1</v>
      </c>
      <c r="X25" s="674">
        <f t="shared" si="2"/>
        <v>0</v>
      </c>
    </row>
    <row r="26" spans="2:24">
      <c r="B26" s="669">
        <f t="shared" si="3"/>
        <v>2013</v>
      </c>
      <c r="C26" s="661">
        <f>'[3]Fraksi pengelolaan sampah BaU'!C31</f>
        <v>48.144888659999999</v>
      </c>
      <c r="D26" s="662">
        <v>1</v>
      </c>
      <c r="E26" s="663">
        <f t="shared" si="6"/>
        <v>0.435</v>
      </c>
      <c r="F26" s="663">
        <f t="shared" si="6"/>
        <v>0.129</v>
      </c>
      <c r="G26" s="663">
        <f t="shared" si="0"/>
        <v>0</v>
      </c>
      <c r="H26" s="663">
        <f t="shared" si="6"/>
        <v>0</v>
      </c>
      <c r="I26" s="663">
        <f t="shared" si="0"/>
        <v>9.9000000000000005E-2</v>
      </c>
      <c r="J26" s="663">
        <f t="shared" si="6"/>
        <v>2.7E-2</v>
      </c>
      <c r="K26" s="663">
        <f t="shared" si="6"/>
        <v>8.9999999999999993E-3</v>
      </c>
      <c r="L26" s="663">
        <f t="shared" si="6"/>
        <v>7.1999999999999995E-2</v>
      </c>
      <c r="M26" s="663">
        <f t="shared" si="6"/>
        <v>3.3000000000000002E-2</v>
      </c>
      <c r="N26" s="663">
        <f t="shared" si="6"/>
        <v>0.04</v>
      </c>
      <c r="O26" s="663">
        <f t="shared" si="6"/>
        <v>0.156</v>
      </c>
      <c r="P26" s="670">
        <f t="shared" si="1"/>
        <v>1</v>
      </c>
      <c r="S26" s="669">
        <f t="shared" si="4"/>
        <v>2013</v>
      </c>
      <c r="T26" s="671">
        <v>0</v>
      </c>
      <c r="U26" s="671">
        <v>5</v>
      </c>
      <c r="V26" s="672">
        <f t="shared" si="5"/>
        <v>0</v>
      </c>
      <c r="W26" s="673">
        <v>1</v>
      </c>
      <c r="X26" s="674">
        <f t="shared" si="2"/>
        <v>0</v>
      </c>
    </row>
    <row r="27" spans="2:24">
      <c r="B27" s="669">
        <f t="shared" si="3"/>
        <v>2014</v>
      </c>
      <c r="C27" s="661">
        <f>'[3]Fraksi pengelolaan sampah BaU'!C32</f>
        <v>49.130637864000001</v>
      </c>
      <c r="D27" s="662">
        <v>1</v>
      </c>
      <c r="E27" s="663">
        <f t="shared" si="6"/>
        <v>0.435</v>
      </c>
      <c r="F27" s="663">
        <f t="shared" si="6"/>
        <v>0.129</v>
      </c>
      <c r="G27" s="663">
        <f t="shared" si="0"/>
        <v>0</v>
      </c>
      <c r="H27" s="663">
        <f t="shared" si="6"/>
        <v>0</v>
      </c>
      <c r="I27" s="663">
        <f t="shared" si="0"/>
        <v>9.9000000000000005E-2</v>
      </c>
      <c r="J27" s="663">
        <f t="shared" si="6"/>
        <v>2.7E-2</v>
      </c>
      <c r="K27" s="663">
        <f t="shared" si="6"/>
        <v>8.9999999999999993E-3</v>
      </c>
      <c r="L27" s="663">
        <f t="shared" si="6"/>
        <v>7.1999999999999995E-2</v>
      </c>
      <c r="M27" s="663">
        <f t="shared" si="6"/>
        <v>3.3000000000000002E-2</v>
      </c>
      <c r="N27" s="663">
        <f t="shared" si="6"/>
        <v>0.04</v>
      </c>
      <c r="O27" s="663">
        <f t="shared" si="6"/>
        <v>0.156</v>
      </c>
      <c r="P27" s="670">
        <f t="shared" si="1"/>
        <v>1</v>
      </c>
      <c r="S27" s="669">
        <f t="shared" si="4"/>
        <v>2014</v>
      </c>
      <c r="T27" s="671">
        <v>0</v>
      </c>
      <c r="U27" s="671">
        <v>5</v>
      </c>
      <c r="V27" s="672">
        <f t="shared" si="5"/>
        <v>0</v>
      </c>
      <c r="W27" s="673">
        <v>1</v>
      </c>
      <c r="X27" s="674">
        <f t="shared" si="2"/>
        <v>0</v>
      </c>
    </row>
    <row r="28" spans="2:24">
      <c r="B28" s="669">
        <f t="shared" si="3"/>
        <v>2015</v>
      </c>
      <c r="C28" s="661">
        <f>'[3]Fraksi pengelolaan sampah BaU'!C33</f>
        <v>50.091729468000004</v>
      </c>
      <c r="D28" s="662">
        <v>1</v>
      </c>
      <c r="E28" s="663">
        <f t="shared" si="6"/>
        <v>0.435</v>
      </c>
      <c r="F28" s="663">
        <f t="shared" si="6"/>
        <v>0.129</v>
      </c>
      <c r="G28" s="663">
        <f t="shared" si="0"/>
        <v>0</v>
      </c>
      <c r="H28" s="663">
        <f t="shared" si="6"/>
        <v>0</v>
      </c>
      <c r="I28" s="663">
        <f t="shared" si="0"/>
        <v>9.9000000000000005E-2</v>
      </c>
      <c r="J28" s="663">
        <f t="shared" si="6"/>
        <v>2.7E-2</v>
      </c>
      <c r="K28" s="663">
        <f t="shared" si="6"/>
        <v>8.9999999999999993E-3</v>
      </c>
      <c r="L28" s="663">
        <f t="shared" si="6"/>
        <v>7.1999999999999995E-2</v>
      </c>
      <c r="M28" s="663">
        <f t="shared" si="6"/>
        <v>3.3000000000000002E-2</v>
      </c>
      <c r="N28" s="663">
        <f t="shared" si="6"/>
        <v>0.04</v>
      </c>
      <c r="O28" s="663">
        <f t="shared" si="6"/>
        <v>0.156</v>
      </c>
      <c r="P28" s="670">
        <f t="shared" si="1"/>
        <v>1</v>
      </c>
      <c r="S28" s="669">
        <f t="shared" si="4"/>
        <v>2015</v>
      </c>
      <c r="T28" s="671">
        <v>0</v>
      </c>
      <c r="U28" s="671">
        <v>5</v>
      </c>
      <c r="V28" s="672">
        <f t="shared" si="5"/>
        <v>0</v>
      </c>
      <c r="W28" s="673">
        <v>1</v>
      </c>
      <c r="X28" s="674">
        <f t="shared" si="2"/>
        <v>0</v>
      </c>
    </row>
    <row r="29" spans="2:24">
      <c r="B29" s="669">
        <f t="shared" si="3"/>
        <v>2016</v>
      </c>
      <c r="C29" s="661">
        <f>'[3]Fraksi pengelolaan sampah BaU'!C34</f>
        <v>51.059910132000006</v>
      </c>
      <c r="D29" s="662">
        <v>1</v>
      </c>
      <c r="E29" s="663">
        <f t="shared" si="6"/>
        <v>0.435</v>
      </c>
      <c r="F29" s="663">
        <f t="shared" si="6"/>
        <v>0.129</v>
      </c>
      <c r="G29" s="663">
        <f t="shared" si="6"/>
        <v>0</v>
      </c>
      <c r="H29" s="663">
        <f t="shared" si="6"/>
        <v>0</v>
      </c>
      <c r="I29" s="663">
        <f t="shared" si="6"/>
        <v>9.9000000000000005E-2</v>
      </c>
      <c r="J29" s="663">
        <f t="shared" si="6"/>
        <v>2.7E-2</v>
      </c>
      <c r="K29" s="663">
        <f t="shared" si="6"/>
        <v>8.9999999999999993E-3</v>
      </c>
      <c r="L29" s="663">
        <f t="shared" si="6"/>
        <v>7.1999999999999995E-2</v>
      </c>
      <c r="M29" s="663">
        <f t="shared" si="6"/>
        <v>3.3000000000000002E-2</v>
      </c>
      <c r="N29" s="663">
        <f t="shared" si="6"/>
        <v>0.04</v>
      </c>
      <c r="O29" s="663">
        <f t="shared" si="6"/>
        <v>0.156</v>
      </c>
      <c r="P29" s="670">
        <f t="shared" si="1"/>
        <v>1</v>
      </c>
      <c r="S29" s="669">
        <f t="shared" si="4"/>
        <v>2016</v>
      </c>
      <c r="T29" s="671">
        <v>0</v>
      </c>
      <c r="U29" s="671">
        <v>5</v>
      </c>
      <c r="V29" s="672">
        <f t="shared" si="5"/>
        <v>0</v>
      </c>
      <c r="W29" s="673">
        <v>1</v>
      </c>
      <c r="X29" s="674">
        <f t="shared" si="2"/>
        <v>0</v>
      </c>
    </row>
    <row r="30" spans="2:24">
      <c r="B30" s="669">
        <f t="shared" si="3"/>
        <v>2017</v>
      </c>
      <c r="C30" s="661">
        <f>'[3]Fraksi pengelolaan sampah BaU'!C35</f>
        <v>52.268317463999999</v>
      </c>
      <c r="D30" s="662">
        <v>1</v>
      </c>
      <c r="E30" s="663">
        <f t="shared" si="6"/>
        <v>0.435</v>
      </c>
      <c r="F30" s="663">
        <f t="shared" si="6"/>
        <v>0.129</v>
      </c>
      <c r="G30" s="663">
        <f t="shared" si="6"/>
        <v>0</v>
      </c>
      <c r="H30" s="663">
        <f t="shared" si="6"/>
        <v>0</v>
      </c>
      <c r="I30" s="663">
        <f t="shared" si="6"/>
        <v>9.9000000000000005E-2</v>
      </c>
      <c r="J30" s="663">
        <f t="shared" si="6"/>
        <v>2.7E-2</v>
      </c>
      <c r="K30" s="663">
        <f t="shared" si="6"/>
        <v>8.9999999999999993E-3</v>
      </c>
      <c r="L30" s="663">
        <f t="shared" si="6"/>
        <v>7.1999999999999995E-2</v>
      </c>
      <c r="M30" s="663">
        <f t="shared" si="6"/>
        <v>3.3000000000000002E-2</v>
      </c>
      <c r="N30" s="663">
        <f t="shared" si="6"/>
        <v>0.04</v>
      </c>
      <c r="O30" s="663">
        <f t="shared" si="6"/>
        <v>0.156</v>
      </c>
      <c r="P30" s="670">
        <f t="shared" si="1"/>
        <v>1</v>
      </c>
      <c r="S30" s="669">
        <f t="shared" si="4"/>
        <v>2017</v>
      </c>
      <c r="T30" s="671">
        <v>0</v>
      </c>
      <c r="U30" s="671">
        <v>5</v>
      </c>
      <c r="V30" s="672">
        <f t="shared" si="5"/>
        <v>0</v>
      </c>
      <c r="W30" s="673">
        <v>1</v>
      </c>
      <c r="X30" s="674">
        <f t="shared" si="2"/>
        <v>0</v>
      </c>
    </row>
    <row r="31" spans="2:24">
      <c r="B31" s="669">
        <f t="shared" si="3"/>
        <v>2018</v>
      </c>
      <c r="C31" s="661">
        <f>'[3]Fraksi pengelolaan sampah BaU'!C36</f>
        <v>53.571841488000004</v>
      </c>
      <c r="D31" s="662">
        <v>1</v>
      </c>
      <c r="E31" s="663">
        <f t="shared" si="6"/>
        <v>0.435</v>
      </c>
      <c r="F31" s="663">
        <f t="shared" si="6"/>
        <v>0.129</v>
      </c>
      <c r="G31" s="663">
        <f t="shared" si="6"/>
        <v>0</v>
      </c>
      <c r="H31" s="663">
        <f t="shared" si="6"/>
        <v>0</v>
      </c>
      <c r="I31" s="663">
        <f t="shared" si="6"/>
        <v>9.9000000000000005E-2</v>
      </c>
      <c r="J31" s="663">
        <f t="shared" si="6"/>
        <v>2.7E-2</v>
      </c>
      <c r="K31" s="663">
        <f t="shared" si="6"/>
        <v>8.9999999999999993E-3</v>
      </c>
      <c r="L31" s="663">
        <f t="shared" si="6"/>
        <v>7.1999999999999995E-2</v>
      </c>
      <c r="M31" s="663">
        <f t="shared" si="6"/>
        <v>3.3000000000000002E-2</v>
      </c>
      <c r="N31" s="663">
        <f t="shared" si="6"/>
        <v>0.04</v>
      </c>
      <c r="O31" s="663">
        <f t="shared" si="6"/>
        <v>0.156</v>
      </c>
      <c r="P31" s="670">
        <f t="shared" si="1"/>
        <v>1</v>
      </c>
      <c r="S31" s="669">
        <f t="shared" si="4"/>
        <v>2018</v>
      </c>
      <c r="T31" s="671">
        <v>0</v>
      </c>
      <c r="U31" s="671">
        <v>5</v>
      </c>
      <c r="V31" s="672">
        <f t="shared" si="5"/>
        <v>0</v>
      </c>
      <c r="W31" s="673">
        <v>1</v>
      </c>
      <c r="X31" s="674">
        <f t="shared" si="2"/>
        <v>0</v>
      </c>
    </row>
    <row r="32" spans="2:24">
      <c r="B32" s="669">
        <f t="shared" si="3"/>
        <v>2019</v>
      </c>
      <c r="C32" s="661">
        <f>'[3]Fraksi pengelolaan sampah BaU'!C37</f>
        <v>54.875365512000002</v>
      </c>
      <c r="D32" s="662">
        <v>1</v>
      </c>
      <c r="E32" s="663">
        <f t="shared" si="6"/>
        <v>0.435</v>
      </c>
      <c r="F32" s="663">
        <f t="shared" si="6"/>
        <v>0.129</v>
      </c>
      <c r="G32" s="663">
        <f t="shared" si="6"/>
        <v>0</v>
      </c>
      <c r="H32" s="663">
        <f t="shared" si="6"/>
        <v>0</v>
      </c>
      <c r="I32" s="663">
        <f t="shared" si="6"/>
        <v>9.9000000000000005E-2</v>
      </c>
      <c r="J32" s="663">
        <f t="shared" si="6"/>
        <v>2.7E-2</v>
      </c>
      <c r="K32" s="663">
        <f t="shared" si="6"/>
        <v>8.9999999999999993E-3</v>
      </c>
      <c r="L32" s="663">
        <f t="shared" si="6"/>
        <v>7.1999999999999995E-2</v>
      </c>
      <c r="M32" s="663">
        <f t="shared" si="6"/>
        <v>3.3000000000000002E-2</v>
      </c>
      <c r="N32" s="663">
        <f t="shared" si="6"/>
        <v>0.04</v>
      </c>
      <c r="O32" s="663">
        <f t="shared" si="6"/>
        <v>0.156</v>
      </c>
      <c r="P32" s="670">
        <f t="shared" si="1"/>
        <v>1</v>
      </c>
      <c r="S32" s="669">
        <f t="shared" si="4"/>
        <v>2019</v>
      </c>
      <c r="T32" s="671">
        <v>0</v>
      </c>
      <c r="U32" s="671">
        <v>5</v>
      </c>
      <c r="V32" s="672">
        <f t="shared" si="5"/>
        <v>0</v>
      </c>
      <c r="W32" s="673">
        <v>1</v>
      </c>
      <c r="X32" s="674">
        <f t="shared" si="2"/>
        <v>0</v>
      </c>
    </row>
    <row r="33" spans="2:24">
      <c r="B33" s="669">
        <f t="shared" si="3"/>
        <v>2020</v>
      </c>
      <c r="C33" s="661">
        <f>'[3]Fraksi pengelolaan sampah BaU'!C38</f>
        <v>56.178889536</v>
      </c>
      <c r="D33" s="662">
        <v>1</v>
      </c>
      <c r="E33" s="663">
        <f t="shared" ref="E33:O48" si="7">E$8</f>
        <v>0.435</v>
      </c>
      <c r="F33" s="663">
        <f t="shared" si="7"/>
        <v>0.129</v>
      </c>
      <c r="G33" s="663">
        <f t="shared" si="6"/>
        <v>0</v>
      </c>
      <c r="H33" s="663">
        <f t="shared" si="7"/>
        <v>0</v>
      </c>
      <c r="I33" s="663">
        <f t="shared" si="6"/>
        <v>9.9000000000000005E-2</v>
      </c>
      <c r="J33" s="663">
        <f t="shared" si="7"/>
        <v>2.7E-2</v>
      </c>
      <c r="K33" s="663">
        <f t="shared" si="7"/>
        <v>8.9999999999999993E-3</v>
      </c>
      <c r="L33" s="663">
        <f t="shared" si="7"/>
        <v>7.1999999999999995E-2</v>
      </c>
      <c r="M33" s="663">
        <f t="shared" si="7"/>
        <v>3.3000000000000002E-2</v>
      </c>
      <c r="N33" s="663">
        <f t="shared" si="7"/>
        <v>0.04</v>
      </c>
      <c r="O33" s="663">
        <f t="shared" si="7"/>
        <v>0.156</v>
      </c>
      <c r="P33" s="670">
        <f t="shared" si="1"/>
        <v>1</v>
      </c>
      <c r="S33" s="669">
        <f t="shared" si="4"/>
        <v>2020</v>
      </c>
      <c r="T33" s="671">
        <v>0</v>
      </c>
      <c r="U33" s="671">
        <v>5</v>
      </c>
      <c r="V33" s="672">
        <f t="shared" si="5"/>
        <v>0</v>
      </c>
      <c r="W33" s="673">
        <v>1</v>
      </c>
      <c r="X33" s="674">
        <f t="shared" si="2"/>
        <v>0</v>
      </c>
    </row>
    <row r="34" spans="2:24">
      <c r="B34" s="669">
        <f t="shared" si="3"/>
        <v>2021</v>
      </c>
      <c r="C34" s="661">
        <f>'[3]Fraksi pengelolaan sampah BaU'!C39</f>
        <v>57.482413559999998</v>
      </c>
      <c r="D34" s="662">
        <v>1</v>
      </c>
      <c r="E34" s="663">
        <f t="shared" si="7"/>
        <v>0.435</v>
      </c>
      <c r="F34" s="663">
        <f t="shared" si="7"/>
        <v>0.129</v>
      </c>
      <c r="G34" s="663">
        <f t="shared" si="6"/>
        <v>0</v>
      </c>
      <c r="H34" s="663">
        <f t="shared" si="7"/>
        <v>0</v>
      </c>
      <c r="I34" s="663">
        <f t="shared" si="6"/>
        <v>9.9000000000000005E-2</v>
      </c>
      <c r="J34" s="663">
        <f t="shared" si="7"/>
        <v>2.7E-2</v>
      </c>
      <c r="K34" s="663">
        <f t="shared" si="7"/>
        <v>8.9999999999999993E-3</v>
      </c>
      <c r="L34" s="663">
        <f t="shared" si="7"/>
        <v>7.1999999999999995E-2</v>
      </c>
      <c r="M34" s="663">
        <f t="shared" si="7"/>
        <v>3.3000000000000002E-2</v>
      </c>
      <c r="N34" s="663">
        <f t="shared" si="7"/>
        <v>0.04</v>
      </c>
      <c r="O34" s="663">
        <f t="shared" si="7"/>
        <v>0.156</v>
      </c>
      <c r="P34" s="670">
        <f t="shared" si="1"/>
        <v>1</v>
      </c>
      <c r="S34" s="669">
        <f t="shared" si="4"/>
        <v>2021</v>
      </c>
      <c r="T34" s="671">
        <v>0</v>
      </c>
      <c r="U34" s="671">
        <v>5</v>
      </c>
      <c r="V34" s="672">
        <f t="shared" si="5"/>
        <v>0</v>
      </c>
      <c r="W34" s="673">
        <v>1</v>
      </c>
      <c r="X34" s="674">
        <f t="shared" si="2"/>
        <v>0</v>
      </c>
    </row>
    <row r="35" spans="2:24">
      <c r="B35" s="669">
        <f t="shared" si="3"/>
        <v>2022</v>
      </c>
      <c r="C35" s="661">
        <f>'[3]Fraksi pengelolaan sampah BaU'!C40</f>
        <v>58.785937584000003</v>
      </c>
      <c r="D35" s="662">
        <v>1</v>
      </c>
      <c r="E35" s="663">
        <f t="shared" si="7"/>
        <v>0.435</v>
      </c>
      <c r="F35" s="663">
        <f t="shared" si="7"/>
        <v>0.129</v>
      </c>
      <c r="G35" s="663">
        <f t="shared" si="6"/>
        <v>0</v>
      </c>
      <c r="H35" s="663">
        <f t="shared" si="7"/>
        <v>0</v>
      </c>
      <c r="I35" s="663">
        <f t="shared" si="6"/>
        <v>9.9000000000000005E-2</v>
      </c>
      <c r="J35" s="663">
        <f t="shared" si="7"/>
        <v>2.7E-2</v>
      </c>
      <c r="K35" s="663">
        <f t="shared" si="7"/>
        <v>8.9999999999999993E-3</v>
      </c>
      <c r="L35" s="663">
        <f t="shared" si="7"/>
        <v>7.1999999999999995E-2</v>
      </c>
      <c r="M35" s="663">
        <f t="shared" si="7"/>
        <v>3.3000000000000002E-2</v>
      </c>
      <c r="N35" s="663">
        <f t="shared" si="7"/>
        <v>0.04</v>
      </c>
      <c r="O35" s="663">
        <f t="shared" si="7"/>
        <v>0.156</v>
      </c>
      <c r="P35" s="670">
        <f t="shared" si="1"/>
        <v>1</v>
      </c>
      <c r="S35" s="669">
        <f t="shared" si="4"/>
        <v>2022</v>
      </c>
      <c r="T35" s="671">
        <v>0</v>
      </c>
      <c r="U35" s="671">
        <v>5</v>
      </c>
      <c r="V35" s="672">
        <f t="shared" si="5"/>
        <v>0</v>
      </c>
      <c r="W35" s="673">
        <v>1</v>
      </c>
      <c r="X35" s="674">
        <f t="shared" si="2"/>
        <v>0</v>
      </c>
    </row>
    <row r="36" spans="2:24">
      <c r="B36" s="669">
        <f t="shared" si="3"/>
        <v>2023</v>
      </c>
      <c r="C36" s="661">
        <f>'[3]Fraksi pengelolaan sampah BaU'!C41</f>
        <v>60.089461608000001</v>
      </c>
      <c r="D36" s="662">
        <v>1</v>
      </c>
      <c r="E36" s="663">
        <f t="shared" si="7"/>
        <v>0.435</v>
      </c>
      <c r="F36" s="663">
        <f t="shared" si="7"/>
        <v>0.129</v>
      </c>
      <c r="G36" s="663">
        <f t="shared" si="6"/>
        <v>0</v>
      </c>
      <c r="H36" s="663">
        <f t="shared" si="7"/>
        <v>0</v>
      </c>
      <c r="I36" s="663">
        <f t="shared" si="6"/>
        <v>9.9000000000000005E-2</v>
      </c>
      <c r="J36" s="663">
        <f t="shared" si="7"/>
        <v>2.7E-2</v>
      </c>
      <c r="K36" s="663">
        <f t="shared" si="7"/>
        <v>8.9999999999999993E-3</v>
      </c>
      <c r="L36" s="663">
        <f t="shared" si="7"/>
        <v>7.1999999999999995E-2</v>
      </c>
      <c r="M36" s="663">
        <f t="shared" si="7"/>
        <v>3.3000000000000002E-2</v>
      </c>
      <c r="N36" s="663">
        <f t="shared" si="7"/>
        <v>0.04</v>
      </c>
      <c r="O36" s="663">
        <f t="shared" si="7"/>
        <v>0.156</v>
      </c>
      <c r="P36" s="670">
        <f t="shared" si="1"/>
        <v>1</v>
      </c>
      <c r="S36" s="669">
        <f t="shared" si="4"/>
        <v>2023</v>
      </c>
      <c r="T36" s="671">
        <v>0</v>
      </c>
      <c r="U36" s="671">
        <v>5</v>
      </c>
      <c r="V36" s="672">
        <f t="shared" si="5"/>
        <v>0</v>
      </c>
      <c r="W36" s="673">
        <v>1</v>
      </c>
      <c r="X36" s="674">
        <f t="shared" si="2"/>
        <v>0</v>
      </c>
    </row>
    <row r="37" spans="2:24">
      <c r="B37" s="669">
        <f t="shared" si="3"/>
        <v>2024</v>
      </c>
      <c r="C37" s="661">
        <f>'[3]Fraksi pengelolaan sampah BaU'!C42</f>
        <v>61.392985632000006</v>
      </c>
      <c r="D37" s="662">
        <v>1</v>
      </c>
      <c r="E37" s="663">
        <f t="shared" si="7"/>
        <v>0.435</v>
      </c>
      <c r="F37" s="663">
        <f t="shared" si="7"/>
        <v>0.129</v>
      </c>
      <c r="G37" s="663">
        <f t="shared" si="6"/>
        <v>0</v>
      </c>
      <c r="H37" s="663">
        <f t="shared" si="7"/>
        <v>0</v>
      </c>
      <c r="I37" s="663">
        <f t="shared" si="6"/>
        <v>9.9000000000000005E-2</v>
      </c>
      <c r="J37" s="663">
        <f t="shared" si="7"/>
        <v>2.7E-2</v>
      </c>
      <c r="K37" s="663">
        <f t="shared" si="7"/>
        <v>8.9999999999999993E-3</v>
      </c>
      <c r="L37" s="663">
        <f t="shared" si="7"/>
        <v>7.1999999999999995E-2</v>
      </c>
      <c r="M37" s="663">
        <f t="shared" si="7"/>
        <v>3.3000000000000002E-2</v>
      </c>
      <c r="N37" s="663">
        <f t="shared" si="7"/>
        <v>0.04</v>
      </c>
      <c r="O37" s="663">
        <f t="shared" si="7"/>
        <v>0.156</v>
      </c>
      <c r="P37" s="670">
        <f t="shared" si="1"/>
        <v>1</v>
      </c>
      <c r="S37" s="669">
        <f t="shared" si="4"/>
        <v>2024</v>
      </c>
      <c r="T37" s="671">
        <v>0</v>
      </c>
      <c r="U37" s="671">
        <v>5</v>
      </c>
      <c r="V37" s="672">
        <f t="shared" si="5"/>
        <v>0</v>
      </c>
      <c r="W37" s="673">
        <v>1</v>
      </c>
      <c r="X37" s="674">
        <f t="shared" si="2"/>
        <v>0</v>
      </c>
    </row>
    <row r="38" spans="2:24">
      <c r="B38" s="669">
        <f t="shared" si="3"/>
        <v>2025</v>
      </c>
      <c r="C38" s="661">
        <f>'[3]Fraksi pengelolaan sampah BaU'!C43</f>
        <v>62.696509656000003</v>
      </c>
      <c r="D38" s="662">
        <v>1</v>
      </c>
      <c r="E38" s="663">
        <f t="shared" si="7"/>
        <v>0.435</v>
      </c>
      <c r="F38" s="663">
        <f t="shared" si="7"/>
        <v>0.129</v>
      </c>
      <c r="G38" s="663">
        <f t="shared" si="6"/>
        <v>0</v>
      </c>
      <c r="H38" s="663">
        <f t="shared" si="7"/>
        <v>0</v>
      </c>
      <c r="I38" s="663">
        <f t="shared" si="6"/>
        <v>9.9000000000000005E-2</v>
      </c>
      <c r="J38" s="663">
        <f t="shared" si="7"/>
        <v>2.7E-2</v>
      </c>
      <c r="K38" s="663">
        <f t="shared" si="7"/>
        <v>8.9999999999999993E-3</v>
      </c>
      <c r="L38" s="663">
        <f t="shared" si="7"/>
        <v>7.1999999999999995E-2</v>
      </c>
      <c r="M38" s="663">
        <f t="shared" si="7"/>
        <v>3.3000000000000002E-2</v>
      </c>
      <c r="N38" s="663">
        <f t="shared" si="7"/>
        <v>0.04</v>
      </c>
      <c r="O38" s="663">
        <f t="shared" si="7"/>
        <v>0.156</v>
      </c>
      <c r="P38" s="670">
        <f t="shared" si="1"/>
        <v>1</v>
      </c>
      <c r="S38" s="669">
        <f t="shared" si="4"/>
        <v>2025</v>
      </c>
      <c r="T38" s="671">
        <v>0</v>
      </c>
      <c r="U38" s="671">
        <v>5</v>
      </c>
      <c r="V38" s="672">
        <f t="shared" si="5"/>
        <v>0</v>
      </c>
      <c r="W38" s="673">
        <v>1</v>
      </c>
      <c r="X38" s="674">
        <f t="shared" si="2"/>
        <v>0</v>
      </c>
    </row>
    <row r="39" spans="2:24">
      <c r="B39" s="669">
        <f t="shared" si="3"/>
        <v>2026</v>
      </c>
      <c r="C39" s="661">
        <f>'[3]Fraksi pengelolaan sampah BaU'!C44</f>
        <v>64.000033680000001</v>
      </c>
      <c r="D39" s="662">
        <v>1</v>
      </c>
      <c r="E39" s="663">
        <f t="shared" si="7"/>
        <v>0.435</v>
      </c>
      <c r="F39" s="663">
        <f t="shared" si="7"/>
        <v>0.129</v>
      </c>
      <c r="G39" s="663">
        <f t="shared" si="7"/>
        <v>0</v>
      </c>
      <c r="H39" s="663">
        <f t="shared" si="7"/>
        <v>0</v>
      </c>
      <c r="I39" s="663">
        <f t="shared" si="7"/>
        <v>9.9000000000000005E-2</v>
      </c>
      <c r="J39" s="663">
        <f t="shared" si="7"/>
        <v>2.7E-2</v>
      </c>
      <c r="K39" s="663">
        <f t="shared" si="7"/>
        <v>8.9999999999999993E-3</v>
      </c>
      <c r="L39" s="663">
        <f t="shared" si="7"/>
        <v>7.1999999999999995E-2</v>
      </c>
      <c r="M39" s="663">
        <f t="shared" si="7"/>
        <v>3.3000000000000002E-2</v>
      </c>
      <c r="N39" s="663">
        <f t="shared" si="7"/>
        <v>0.04</v>
      </c>
      <c r="O39" s="663">
        <f t="shared" si="7"/>
        <v>0.156</v>
      </c>
      <c r="P39" s="670">
        <f t="shared" si="1"/>
        <v>1</v>
      </c>
      <c r="S39" s="669">
        <f t="shared" si="4"/>
        <v>2026</v>
      </c>
      <c r="T39" s="671">
        <v>0</v>
      </c>
      <c r="U39" s="671">
        <v>5</v>
      </c>
      <c r="V39" s="672">
        <f t="shared" si="5"/>
        <v>0</v>
      </c>
      <c r="W39" s="673">
        <v>1</v>
      </c>
      <c r="X39" s="674">
        <f t="shared" si="2"/>
        <v>0</v>
      </c>
    </row>
    <row r="40" spans="2:24">
      <c r="B40" s="669">
        <f t="shared" si="3"/>
        <v>2027</v>
      </c>
      <c r="C40" s="661">
        <f>'[3]Fraksi pengelolaan sampah BaU'!C45</f>
        <v>65.303557703999999</v>
      </c>
      <c r="D40" s="662">
        <v>1</v>
      </c>
      <c r="E40" s="663">
        <f t="shared" si="7"/>
        <v>0.435</v>
      </c>
      <c r="F40" s="663">
        <f t="shared" si="7"/>
        <v>0.129</v>
      </c>
      <c r="G40" s="663">
        <f t="shared" si="7"/>
        <v>0</v>
      </c>
      <c r="H40" s="663">
        <f t="shared" si="7"/>
        <v>0</v>
      </c>
      <c r="I40" s="663">
        <f t="shared" si="7"/>
        <v>9.9000000000000005E-2</v>
      </c>
      <c r="J40" s="663">
        <f t="shared" si="7"/>
        <v>2.7E-2</v>
      </c>
      <c r="K40" s="663">
        <f t="shared" si="7"/>
        <v>8.9999999999999993E-3</v>
      </c>
      <c r="L40" s="663">
        <f t="shared" si="7"/>
        <v>7.1999999999999995E-2</v>
      </c>
      <c r="M40" s="663">
        <f t="shared" si="7"/>
        <v>3.3000000000000002E-2</v>
      </c>
      <c r="N40" s="663">
        <f t="shared" si="7"/>
        <v>0.04</v>
      </c>
      <c r="O40" s="663">
        <f t="shared" si="7"/>
        <v>0.156</v>
      </c>
      <c r="P40" s="670">
        <f t="shared" si="1"/>
        <v>1</v>
      </c>
      <c r="S40" s="669">
        <f t="shared" si="4"/>
        <v>2027</v>
      </c>
      <c r="T40" s="671">
        <v>0</v>
      </c>
      <c r="U40" s="671">
        <v>5</v>
      </c>
      <c r="V40" s="672">
        <f t="shared" si="5"/>
        <v>0</v>
      </c>
      <c r="W40" s="673">
        <v>1</v>
      </c>
      <c r="X40" s="674">
        <f t="shared" si="2"/>
        <v>0</v>
      </c>
    </row>
    <row r="41" spans="2:24">
      <c r="B41" s="669">
        <f t="shared" si="3"/>
        <v>2028</v>
      </c>
      <c r="C41" s="661">
        <f>'[3]Fraksi pengelolaan sampah BaU'!C46</f>
        <v>66.607081728000011</v>
      </c>
      <c r="D41" s="662">
        <v>1</v>
      </c>
      <c r="E41" s="663">
        <f t="shared" si="7"/>
        <v>0.435</v>
      </c>
      <c r="F41" s="663">
        <f t="shared" si="7"/>
        <v>0.129</v>
      </c>
      <c r="G41" s="663">
        <f t="shared" si="7"/>
        <v>0</v>
      </c>
      <c r="H41" s="663">
        <f t="shared" si="7"/>
        <v>0</v>
      </c>
      <c r="I41" s="663">
        <f t="shared" si="7"/>
        <v>9.9000000000000005E-2</v>
      </c>
      <c r="J41" s="663">
        <f t="shared" si="7"/>
        <v>2.7E-2</v>
      </c>
      <c r="K41" s="663">
        <f t="shared" si="7"/>
        <v>8.9999999999999993E-3</v>
      </c>
      <c r="L41" s="663">
        <f t="shared" si="7"/>
        <v>7.1999999999999995E-2</v>
      </c>
      <c r="M41" s="663">
        <f t="shared" si="7"/>
        <v>3.3000000000000002E-2</v>
      </c>
      <c r="N41" s="663">
        <f t="shared" si="7"/>
        <v>0.04</v>
      </c>
      <c r="O41" s="663">
        <f t="shared" si="7"/>
        <v>0.156</v>
      </c>
      <c r="P41" s="670">
        <f t="shared" si="1"/>
        <v>1</v>
      </c>
      <c r="S41" s="669">
        <f t="shared" si="4"/>
        <v>2028</v>
      </c>
      <c r="T41" s="671">
        <v>0</v>
      </c>
      <c r="U41" s="671">
        <v>5</v>
      </c>
      <c r="V41" s="672">
        <f t="shared" si="5"/>
        <v>0</v>
      </c>
      <c r="W41" s="673">
        <v>1</v>
      </c>
      <c r="X41" s="674">
        <f t="shared" si="2"/>
        <v>0</v>
      </c>
    </row>
    <row r="42" spans="2:24">
      <c r="B42" s="669">
        <f t="shared" si="3"/>
        <v>2029</v>
      </c>
      <c r="C42" s="661">
        <f>'[3]Fraksi pengelolaan sampah BaU'!C47</f>
        <v>67.910605752000009</v>
      </c>
      <c r="D42" s="662">
        <v>1</v>
      </c>
      <c r="E42" s="663">
        <f t="shared" si="7"/>
        <v>0.435</v>
      </c>
      <c r="F42" s="663">
        <f t="shared" si="7"/>
        <v>0.129</v>
      </c>
      <c r="G42" s="663">
        <f t="shared" si="7"/>
        <v>0</v>
      </c>
      <c r="H42" s="663">
        <f t="shared" si="7"/>
        <v>0</v>
      </c>
      <c r="I42" s="663">
        <f t="shared" si="7"/>
        <v>9.9000000000000005E-2</v>
      </c>
      <c r="J42" s="663">
        <f t="shared" si="7"/>
        <v>2.7E-2</v>
      </c>
      <c r="K42" s="663">
        <f t="shared" si="7"/>
        <v>8.9999999999999993E-3</v>
      </c>
      <c r="L42" s="663">
        <f t="shared" si="7"/>
        <v>7.1999999999999995E-2</v>
      </c>
      <c r="M42" s="663">
        <f t="shared" si="7"/>
        <v>3.3000000000000002E-2</v>
      </c>
      <c r="N42" s="663">
        <f t="shared" si="7"/>
        <v>0.04</v>
      </c>
      <c r="O42" s="663">
        <f t="shared" si="7"/>
        <v>0.156</v>
      </c>
      <c r="P42" s="670">
        <f t="shared" si="1"/>
        <v>1</v>
      </c>
      <c r="S42" s="669">
        <f t="shared" si="4"/>
        <v>2029</v>
      </c>
      <c r="T42" s="671">
        <v>0</v>
      </c>
      <c r="U42" s="671">
        <v>5</v>
      </c>
      <c r="V42" s="672">
        <f t="shared" si="5"/>
        <v>0</v>
      </c>
      <c r="W42" s="673">
        <v>1</v>
      </c>
      <c r="X42" s="674">
        <f t="shared" si="2"/>
        <v>0</v>
      </c>
    </row>
    <row r="43" spans="2:24">
      <c r="B43" s="669">
        <f t="shared" si="3"/>
        <v>2030</v>
      </c>
      <c r="C43" s="661">
        <f>'[3]Fraksi pengelolaan sampah BaU'!C48</f>
        <v>69.214129776000007</v>
      </c>
      <c r="D43" s="662">
        <v>1</v>
      </c>
      <c r="E43" s="663">
        <f t="shared" ref="E43:O58" si="8">E$8</f>
        <v>0.435</v>
      </c>
      <c r="F43" s="663">
        <f t="shared" si="8"/>
        <v>0.129</v>
      </c>
      <c r="G43" s="663">
        <f t="shared" si="7"/>
        <v>0</v>
      </c>
      <c r="H43" s="663">
        <f t="shared" si="8"/>
        <v>0</v>
      </c>
      <c r="I43" s="663">
        <f t="shared" si="7"/>
        <v>9.9000000000000005E-2</v>
      </c>
      <c r="J43" s="663">
        <f t="shared" si="8"/>
        <v>2.7E-2</v>
      </c>
      <c r="K43" s="663">
        <f t="shared" si="8"/>
        <v>8.9999999999999993E-3</v>
      </c>
      <c r="L43" s="663">
        <f t="shared" si="8"/>
        <v>7.1999999999999995E-2</v>
      </c>
      <c r="M43" s="663">
        <f t="shared" si="8"/>
        <v>3.3000000000000002E-2</v>
      </c>
      <c r="N43" s="663">
        <f t="shared" si="8"/>
        <v>0.04</v>
      </c>
      <c r="O43" s="663">
        <f t="shared" si="8"/>
        <v>0.156</v>
      </c>
      <c r="P43" s="670">
        <f t="shared" si="1"/>
        <v>1</v>
      </c>
      <c r="S43" s="669">
        <f t="shared" si="4"/>
        <v>2030</v>
      </c>
      <c r="T43" s="671">
        <v>0</v>
      </c>
      <c r="U43" s="671">
        <v>5</v>
      </c>
      <c r="V43" s="672">
        <f t="shared" si="5"/>
        <v>0</v>
      </c>
      <c r="W43" s="673">
        <v>1</v>
      </c>
      <c r="X43" s="674">
        <f t="shared" si="2"/>
        <v>0</v>
      </c>
    </row>
    <row r="44" spans="2:24">
      <c r="B44" s="669">
        <f t="shared" si="3"/>
        <v>2031</v>
      </c>
      <c r="C44" s="675"/>
      <c r="D44" s="662">
        <v>1</v>
      </c>
      <c r="E44" s="663">
        <f t="shared" si="8"/>
        <v>0.435</v>
      </c>
      <c r="F44" s="663">
        <f t="shared" si="8"/>
        <v>0.129</v>
      </c>
      <c r="G44" s="663">
        <f t="shared" si="7"/>
        <v>0</v>
      </c>
      <c r="H44" s="663">
        <f t="shared" si="8"/>
        <v>0</v>
      </c>
      <c r="I44" s="663">
        <f t="shared" si="7"/>
        <v>9.9000000000000005E-2</v>
      </c>
      <c r="J44" s="663">
        <f t="shared" si="8"/>
        <v>2.7E-2</v>
      </c>
      <c r="K44" s="663">
        <f t="shared" si="8"/>
        <v>8.9999999999999993E-3</v>
      </c>
      <c r="L44" s="663">
        <f t="shared" si="8"/>
        <v>7.1999999999999995E-2</v>
      </c>
      <c r="M44" s="663">
        <f t="shared" si="8"/>
        <v>3.3000000000000002E-2</v>
      </c>
      <c r="N44" s="663">
        <f t="shared" si="8"/>
        <v>0.04</v>
      </c>
      <c r="O44" s="663">
        <f t="shared" si="8"/>
        <v>0.156</v>
      </c>
      <c r="P44" s="670">
        <f t="shared" si="1"/>
        <v>1</v>
      </c>
      <c r="S44" s="669">
        <f t="shared" si="4"/>
        <v>2031</v>
      </c>
      <c r="T44" s="671">
        <v>0</v>
      </c>
      <c r="U44" s="671">
        <v>5</v>
      </c>
      <c r="V44" s="672">
        <f t="shared" si="5"/>
        <v>0</v>
      </c>
      <c r="W44" s="673">
        <v>1</v>
      </c>
      <c r="X44" s="674">
        <f t="shared" si="2"/>
        <v>0</v>
      </c>
    </row>
    <row r="45" spans="2:24">
      <c r="B45" s="669">
        <f t="shared" si="3"/>
        <v>2032</v>
      </c>
      <c r="C45" s="675"/>
      <c r="D45" s="662">
        <v>1</v>
      </c>
      <c r="E45" s="663">
        <f t="shared" si="8"/>
        <v>0.435</v>
      </c>
      <c r="F45" s="663">
        <f t="shared" si="8"/>
        <v>0.129</v>
      </c>
      <c r="G45" s="663">
        <f t="shared" si="7"/>
        <v>0</v>
      </c>
      <c r="H45" s="663">
        <f t="shared" si="8"/>
        <v>0</v>
      </c>
      <c r="I45" s="663">
        <f t="shared" si="7"/>
        <v>9.9000000000000005E-2</v>
      </c>
      <c r="J45" s="663">
        <f t="shared" si="8"/>
        <v>2.7E-2</v>
      </c>
      <c r="K45" s="663">
        <f t="shared" si="8"/>
        <v>8.9999999999999993E-3</v>
      </c>
      <c r="L45" s="663">
        <f t="shared" si="8"/>
        <v>7.1999999999999995E-2</v>
      </c>
      <c r="M45" s="663">
        <f t="shared" si="8"/>
        <v>3.3000000000000002E-2</v>
      </c>
      <c r="N45" s="663">
        <f t="shared" si="8"/>
        <v>0.04</v>
      </c>
      <c r="O45" s="663">
        <f t="shared" si="8"/>
        <v>0.156</v>
      </c>
      <c r="P45" s="670">
        <f t="shared" ref="P45:P76" si="9">SUM(E45:O45)</f>
        <v>1</v>
      </c>
      <c r="S45" s="669">
        <f t="shared" si="4"/>
        <v>2032</v>
      </c>
      <c r="T45" s="671">
        <v>0</v>
      </c>
      <c r="U45" s="671">
        <v>5</v>
      </c>
      <c r="V45" s="672">
        <f t="shared" si="5"/>
        <v>0</v>
      </c>
      <c r="W45" s="673">
        <v>1</v>
      </c>
      <c r="X45" s="674">
        <f t="shared" ref="X45:X76" si="10">V45*W45</f>
        <v>0</v>
      </c>
    </row>
    <row r="46" spans="2:24">
      <c r="B46" s="669">
        <f t="shared" ref="B46:B77" si="11">B45+1</f>
        <v>2033</v>
      </c>
      <c r="C46" s="675"/>
      <c r="D46" s="662">
        <v>1</v>
      </c>
      <c r="E46" s="663">
        <f t="shared" si="8"/>
        <v>0.435</v>
      </c>
      <c r="F46" s="663">
        <f t="shared" si="8"/>
        <v>0.129</v>
      </c>
      <c r="G46" s="663">
        <f t="shared" si="7"/>
        <v>0</v>
      </c>
      <c r="H46" s="663">
        <f t="shared" si="8"/>
        <v>0</v>
      </c>
      <c r="I46" s="663">
        <f t="shared" si="7"/>
        <v>9.9000000000000005E-2</v>
      </c>
      <c r="J46" s="663">
        <f t="shared" si="8"/>
        <v>2.7E-2</v>
      </c>
      <c r="K46" s="663">
        <f t="shared" si="8"/>
        <v>8.9999999999999993E-3</v>
      </c>
      <c r="L46" s="663">
        <f t="shared" si="8"/>
        <v>7.1999999999999995E-2</v>
      </c>
      <c r="M46" s="663">
        <f t="shared" si="8"/>
        <v>3.3000000000000002E-2</v>
      </c>
      <c r="N46" s="663">
        <f t="shared" si="8"/>
        <v>0.04</v>
      </c>
      <c r="O46" s="663">
        <f t="shared" si="8"/>
        <v>0.156</v>
      </c>
      <c r="P46" s="670">
        <f t="shared" si="9"/>
        <v>1</v>
      </c>
      <c r="S46" s="669">
        <f t="shared" si="4"/>
        <v>2033</v>
      </c>
      <c r="T46" s="671">
        <v>0</v>
      </c>
      <c r="U46" s="671">
        <v>5</v>
      </c>
      <c r="V46" s="672">
        <f t="shared" si="5"/>
        <v>0</v>
      </c>
      <c r="W46" s="673">
        <v>1</v>
      </c>
      <c r="X46" s="674">
        <f t="shared" si="10"/>
        <v>0</v>
      </c>
    </row>
    <row r="47" spans="2:24">
      <c r="B47" s="669">
        <f t="shared" si="11"/>
        <v>2034</v>
      </c>
      <c r="C47" s="675"/>
      <c r="D47" s="662">
        <v>1</v>
      </c>
      <c r="E47" s="663">
        <f t="shared" si="8"/>
        <v>0.435</v>
      </c>
      <c r="F47" s="663">
        <f t="shared" si="8"/>
        <v>0.129</v>
      </c>
      <c r="G47" s="663">
        <f t="shared" si="7"/>
        <v>0</v>
      </c>
      <c r="H47" s="663">
        <f t="shared" si="8"/>
        <v>0</v>
      </c>
      <c r="I47" s="663">
        <f t="shared" si="7"/>
        <v>9.9000000000000005E-2</v>
      </c>
      <c r="J47" s="663">
        <f t="shared" si="8"/>
        <v>2.7E-2</v>
      </c>
      <c r="K47" s="663">
        <f t="shared" si="8"/>
        <v>8.9999999999999993E-3</v>
      </c>
      <c r="L47" s="663">
        <f t="shared" si="8"/>
        <v>7.1999999999999995E-2</v>
      </c>
      <c r="M47" s="663">
        <f t="shared" si="8"/>
        <v>3.3000000000000002E-2</v>
      </c>
      <c r="N47" s="663">
        <f t="shared" si="8"/>
        <v>0.04</v>
      </c>
      <c r="O47" s="663">
        <f t="shared" si="8"/>
        <v>0.156</v>
      </c>
      <c r="P47" s="670">
        <f t="shared" si="9"/>
        <v>1</v>
      </c>
      <c r="S47" s="669">
        <f t="shared" si="4"/>
        <v>2034</v>
      </c>
      <c r="T47" s="671">
        <v>0</v>
      </c>
      <c r="U47" s="671">
        <v>5</v>
      </c>
      <c r="V47" s="672">
        <f t="shared" si="5"/>
        <v>0</v>
      </c>
      <c r="W47" s="673">
        <v>1</v>
      </c>
      <c r="X47" s="674">
        <f t="shared" si="10"/>
        <v>0</v>
      </c>
    </row>
    <row r="48" spans="2:24">
      <c r="B48" s="669">
        <f t="shared" si="11"/>
        <v>2035</v>
      </c>
      <c r="C48" s="675"/>
      <c r="D48" s="662">
        <v>1</v>
      </c>
      <c r="E48" s="663">
        <f t="shared" si="8"/>
        <v>0.435</v>
      </c>
      <c r="F48" s="663">
        <f t="shared" si="8"/>
        <v>0.129</v>
      </c>
      <c r="G48" s="663">
        <f t="shared" si="7"/>
        <v>0</v>
      </c>
      <c r="H48" s="663">
        <f t="shared" si="8"/>
        <v>0</v>
      </c>
      <c r="I48" s="663">
        <f t="shared" si="7"/>
        <v>9.9000000000000005E-2</v>
      </c>
      <c r="J48" s="663">
        <f t="shared" si="8"/>
        <v>2.7E-2</v>
      </c>
      <c r="K48" s="663">
        <f t="shared" si="8"/>
        <v>8.9999999999999993E-3</v>
      </c>
      <c r="L48" s="663">
        <f t="shared" si="8"/>
        <v>7.1999999999999995E-2</v>
      </c>
      <c r="M48" s="663">
        <f t="shared" si="8"/>
        <v>3.3000000000000002E-2</v>
      </c>
      <c r="N48" s="663">
        <f t="shared" si="8"/>
        <v>0.04</v>
      </c>
      <c r="O48" s="663">
        <f t="shared" si="8"/>
        <v>0.156</v>
      </c>
      <c r="P48" s="670">
        <f t="shared" si="9"/>
        <v>1</v>
      </c>
      <c r="S48" s="669">
        <f t="shared" si="4"/>
        <v>2035</v>
      </c>
      <c r="T48" s="671">
        <v>0</v>
      </c>
      <c r="U48" s="671">
        <v>5</v>
      </c>
      <c r="V48" s="672">
        <f t="shared" si="5"/>
        <v>0</v>
      </c>
      <c r="W48" s="673">
        <v>1</v>
      </c>
      <c r="X48" s="674">
        <f t="shared" si="10"/>
        <v>0</v>
      </c>
    </row>
    <row r="49" spans="2:24">
      <c r="B49" s="669">
        <f t="shared" si="11"/>
        <v>2036</v>
      </c>
      <c r="C49" s="675"/>
      <c r="D49" s="662">
        <v>1</v>
      </c>
      <c r="E49" s="663">
        <f t="shared" si="8"/>
        <v>0.435</v>
      </c>
      <c r="F49" s="663">
        <f t="shared" si="8"/>
        <v>0.129</v>
      </c>
      <c r="G49" s="663">
        <f t="shared" si="8"/>
        <v>0</v>
      </c>
      <c r="H49" s="663">
        <f t="shared" si="8"/>
        <v>0</v>
      </c>
      <c r="I49" s="663">
        <f t="shared" si="8"/>
        <v>9.9000000000000005E-2</v>
      </c>
      <c r="J49" s="663">
        <f t="shared" si="8"/>
        <v>2.7E-2</v>
      </c>
      <c r="K49" s="663">
        <f t="shared" si="8"/>
        <v>8.9999999999999993E-3</v>
      </c>
      <c r="L49" s="663">
        <f t="shared" si="8"/>
        <v>7.1999999999999995E-2</v>
      </c>
      <c r="M49" s="663">
        <f t="shared" si="8"/>
        <v>3.3000000000000002E-2</v>
      </c>
      <c r="N49" s="663">
        <f t="shared" si="8"/>
        <v>0.04</v>
      </c>
      <c r="O49" s="663">
        <f t="shared" si="8"/>
        <v>0.156</v>
      </c>
      <c r="P49" s="670">
        <f t="shared" si="9"/>
        <v>1</v>
      </c>
      <c r="S49" s="669">
        <f t="shared" si="4"/>
        <v>2036</v>
      </c>
      <c r="T49" s="671">
        <v>0</v>
      </c>
      <c r="U49" s="671">
        <v>5</v>
      </c>
      <c r="V49" s="672">
        <f t="shared" si="5"/>
        <v>0</v>
      </c>
      <c r="W49" s="673">
        <v>1</v>
      </c>
      <c r="X49" s="674">
        <f t="shared" si="10"/>
        <v>0</v>
      </c>
    </row>
    <row r="50" spans="2:24">
      <c r="B50" s="669">
        <f t="shared" si="11"/>
        <v>2037</v>
      </c>
      <c r="C50" s="675"/>
      <c r="D50" s="662">
        <v>1</v>
      </c>
      <c r="E50" s="663">
        <f t="shared" si="8"/>
        <v>0.435</v>
      </c>
      <c r="F50" s="663">
        <f t="shared" si="8"/>
        <v>0.129</v>
      </c>
      <c r="G50" s="663">
        <f t="shared" si="8"/>
        <v>0</v>
      </c>
      <c r="H50" s="663">
        <f t="shared" si="8"/>
        <v>0</v>
      </c>
      <c r="I50" s="663">
        <f t="shared" si="8"/>
        <v>9.9000000000000005E-2</v>
      </c>
      <c r="J50" s="663">
        <f t="shared" si="8"/>
        <v>2.7E-2</v>
      </c>
      <c r="K50" s="663">
        <f t="shared" si="8"/>
        <v>8.9999999999999993E-3</v>
      </c>
      <c r="L50" s="663">
        <f t="shared" si="8"/>
        <v>7.1999999999999995E-2</v>
      </c>
      <c r="M50" s="663">
        <f t="shared" si="8"/>
        <v>3.3000000000000002E-2</v>
      </c>
      <c r="N50" s="663">
        <f t="shared" si="8"/>
        <v>0.04</v>
      </c>
      <c r="O50" s="663">
        <f t="shared" si="8"/>
        <v>0.156</v>
      </c>
      <c r="P50" s="670">
        <f t="shared" si="9"/>
        <v>1</v>
      </c>
      <c r="S50" s="669">
        <f t="shared" si="4"/>
        <v>2037</v>
      </c>
      <c r="T50" s="671">
        <v>0</v>
      </c>
      <c r="U50" s="671">
        <v>5</v>
      </c>
      <c r="V50" s="672">
        <f t="shared" si="5"/>
        <v>0</v>
      </c>
      <c r="W50" s="673">
        <v>1</v>
      </c>
      <c r="X50" s="674">
        <f t="shared" si="10"/>
        <v>0</v>
      </c>
    </row>
    <row r="51" spans="2:24">
      <c r="B51" s="669">
        <f t="shared" si="11"/>
        <v>2038</v>
      </c>
      <c r="C51" s="675"/>
      <c r="D51" s="662">
        <v>1</v>
      </c>
      <c r="E51" s="663">
        <f t="shared" si="8"/>
        <v>0.435</v>
      </c>
      <c r="F51" s="663">
        <f t="shared" si="8"/>
        <v>0.129</v>
      </c>
      <c r="G51" s="663">
        <f t="shared" si="8"/>
        <v>0</v>
      </c>
      <c r="H51" s="663">
        <f t="shared" si="8"/>
        <v>0</v>
      </c>
      <c r="I51" s="663">
        <f t="shared" si="8"/>
        <v>9.9000000000000005E-2</v>
      </c>
      <c r="J51" s="663">
        <f t="shared" si="8"/>
        <v>2.7E-2</v>
      </c>
      <c r="K51" s="663">
        <f t="shared" si="8"/>
        <v>8.9999999999999993E-3</v>
      </c>
      <c r="L51" s="663">
        <f t="shared" si="8"/>
        <v>7.1999999999999995E-2</v>
      </c>
      <c r="M51" s="663">
        <f t="shared" si="8"/>
        <v>3.3000000000000002E-2</v>
      </c>
      <c r="N51" s="663">
        <f t="shared" si="8"/>
        <v>0.04</v>
      </c>
      <c r="O51" s="663">
        <f t="shared" si="8"/>
        <v>0.156</v>
      </c>
      <c r="P51" s="670">
        <f t="shared" si="9"/>
        <v>1</v>
      </c>
      <c r="S51" s="669">
        <f t="shared" si="4"/>
        <v>2038</v>
      </c>
      <c r="T51" s="671">
        <v>0</v>
      </c>
      <c r="U51" s="671">
        <v>5</v>
      </c>
      <c r="V51" s="672">
        <f t="shared" si="5"/>
        <v>0</v>
      </c>
      <c r="W51" s="673">
        <v>1</v>
      </c>
      <c r="X51" s="674">
        <f t="shared" si="10"/>
        <v>0</v>
      </c>
    </row>
    <row r="52" spans="2:24">
      <c r="B52" s="669">
        <f t="shared" si="11"/>
        <v>2039</v>
      </c>
      <c r="C52" s="675"/>
      <c r="D52" s="662">
        <v>1</v>
      </c>
      <c r="E52" s="663">
        <f t="shared" si="8"/>
        <v>0.435</v>
      </c>
      <c r="F52" s="663">
        <f t="shared" si="8"/>
        <v>0.129</v>
      </c>
      <c r="G52" s="663">
        <f t="shared" si="8"/>
        <v>0</v>
      </c>
      <c r="H52" s="663">
        <f t="shared" si="8"/>
        <v>0</v>
      </c>
      <c r="I52" s="663">
        <f t="shared" si="8"/>
        <v>9.9000000000000005E-2</v>
      </c>
      <c r="J52" s="663">
        <f t="shared" si="8"/>
        <v>2.7E-2</v>
      </c>
      <c r="K52" s="663">
        <f t="shared" si="8"/>
        <v>8.9999999999999993E-3</v>
      </c>
      <c r="L52" s="663">
        <f t="shared" si="8"/>
        <v>7.1999999999999995E-2</v>
      </c>
      <c r="M52" s="663">
        <f t="shared" si="8"/>
        <v>3.3000000000000002E-2</v>
      </c>
      <c r="N52" s="663">
        <f t="shared" si="8"/>
        <v>0.04</v>
      </c>
      <c r="O52" s="663">
        <f t="shared" si="8"/>
        <v>0.156</v>
      </c>
      <c r="P52" s="670">
        <f t="shared" si="9"/>
        <v>1</v>
      </c>
      <c r="S52" s="669">
        <f t="shared" si="4"/>
        <v>2039</v>
      </c>
      <c r="T52" s="671">
        <v>0</v>
      </c>
      <c r="U52" s="671">
        <v>5</v>
      </c>
      <c r="V52" s="672">
        <f t="shared" si="5"/>
        <v>0</v>
      </c>
      <c r="W52" s="673">
        <v>1</v>
      </c>
      <c r="X52" s="674">
        <f t="shared" si="10"/>
        <v>0</v>
      </c>
    </row>
    <row r="53" spans="2:24">
      <c r="B53" s="669">
        <f t="shared" si="11"/>
        <v>2040</v>
      </c>
      <c r="C53" s="675"/>
      <c r="D53" s="662">
        <v>1</v>
      </c>
      <c r="E53" s="663">
        <f t="shared" ref="E53:O68" si="12">E$8</f>
        <v>0.435</v>
      </c>
      <c r="F53" s="663">
        <f t="shared" si="12"/>
        <v>0.129</v>
      </c>
      <c r="G53" s="663">
        <f t="shared" si="8"/>
        <v>0</v>
      </c>
      <c r="H53" s="663">
        <f t="shared" si="12"/>
        <v>0</v>
      </c>
      <c r="I53" s="663">
        <f t="shared" si="8"/>
        <v>9.9000000000000005E-2</v>
      </c>
      <c r="J53" s="663">
        <f t="shared" si="12"/>
        <v>2.7E-2</v>
      </c>
      <c r="K53" s="663">
        <f t="shared" si="12"/>
        <v>8.9999999999999993E-3</v>
      </c>
      <c r="L53" s="663">
        <f t="shared" si="12"/>
        <v>7.1999999999999995E-2</v>
      </c>
      <c r="M53" s="663">
        <f t="shared" si="12"/>
        <v>3.3000000000000002E-2</v>
      </c>
      <c r="N53" s="663">
        <f t="shared" si="12"/>
        <v>0.04</v>
      </c>
      <c r="O53" s="663">
        <f t="shared" si="12"/>
        <v>0.156</v>
      </c>
      <c r="P53" s="670">
        <f t="shared" si="9"/>
        <v>1</v>
      </c>
      <c r="S53" s="669">
        <f t="shared" si="4"/>
        <v>2040</v>
      </c>
      <c r="T53" s="671">
        <v>0</v>
      </c>
      <c r="U53" s="671">
        <v>5</v>
      </c>
      <c r="V53" s="672">
        <f t="shared" si="5"/>
        <v>0</v>
      </c>
      <c r="W53" s="673">
        <v>1</v>
      </c>
      <c r="X53" s="674">
        <f t="shared" si="10"/>
        <v>0</v>
      </c>
    </row>
    <row r="54" spans="2:24">
      <c r="B54" s="669">
        <f t="shared" si="11"/>
        <v>2041</v>
      </c>
      <c r="C54" s="675"/>
      <c r="D54" s="662">
        <v>1</v>
      </c>
      <c r="E54" s="663">
        <f t="shared" si="12"/>
        <v>0.435</v>
      </c>
      <c r="F54" s="663">
        <f t="shared" si="12"/>
        <v>0.129</v>
      </c>
      <c r="G54" s="663">
        <f t="shared" si="8"/>
        <v>0</v>
      </c>
      <c r="H54" s="663">
        <f t="shared" si="12"/>
        <v>0</v>
      </c>
      <c r="I54" s="663">
        <f t="shared" si="8"/>
        <v>9.9000000000000005E-2</v>
      </c>
      <c r="J54" s="663">
        <f t="shared" si="12"/>
        <v>2.7E-2</v>
      </c>
      <c r="K54" s="663">
        <f t="shared" si="12"/>
        <v>8.9999999999999993E-3</v>
      </c>
      <c r="L54" s="663">
        <f t="shared" si="12"/>
        <v>7.1999999999999995E-2</v>
      </c>
      <c r="M54" s="663">
        <f t="shared" si="12"/>
        <v>3.3000000000000002E-2</v>
      </c>
      <c r="N54" s="663">
        <f t="shared" si="12"/>
        <v>0.04</v>
      </c>
      <c r="O54" s="663">
        <f t="shared" si="12"/>
        <v>0.156</v>
      </c>
      <c r="P54" s="670">
        <f t="shared" si="9"/>
        <v>1</v>
      </c>
      <c r="S54" s="669">
        <f t="shared" si="4"/>
        <v>2041</v>
      </c>
      <c r="T54" s="671">
        <v>0</v>
      </c>
      <c r="U54" s="671">
        <v>5</v>
      </c>
      <c r="V54" s="672">
        <f t="shared" si="5"/>
        <v>0</v>
      </c>
      <c r="W54" s="673">
        <v>1</v>
      </c>
      <c r="X54" s="674">
        <f t="shared" si="10"/>
        <v>0</v>
      </c>
    </row>
    <row r="55" spans="2:24">
      <c r="B55" s="669">
        <f t="shared" si="11"/>
        <v>2042</v>
      </c>
      <c r="C55" s="675"/>
      <c r="D55" s="662">
        <v>1</v>
      </c>
      <c r="E55" s="663">
        <f t="shared" si="12"/>
        <v>0.435</v>
      </c>
      <c r="F55" s="663">
        <f t="shared" si="12"/>
        <v>0.129</v>
      </c>
      <c r="G55" s="663">
        <f t="shared" si="8"/>
        <v>0</v>
      </c>
      <c r="H55" s="663">
        <f t="shared" si="12"/>
        <v>0</v>
      </c>
      <c r="I55" s="663">
        <f t="shared" si="8"/>
        <v>9.9000000000000005E-2</v>
      </c>
      <c r="J55" s="663">
        <f t="shared" si="12"/>
        <v>2.7E-2</v>
      </c>
      <c r="K55" s="663">
        <f t="shared" si="12"/>
        <v>8.9999999999999993E-3</v>
      </c>
      <c r="L55" s="663">
        <f t="shared" si="12"/>
        <v>7.1999999999999995E-2</v>
      </c>
      <c r="M55" s="663">
        <f t="shared" si="12"/>
        <v>3.3000000000000002E-2</v>
      </c>
      <c r="N55" s="663">
        <f t="shared" si="12"/>
        <v>0.04</v>
      </c>
      <c r="O55" s="663">
        <f t="shared" si="12"/>
        <v>0.156</v>
      </c>
      <c r="P55" s="670">
        <f t="shared" si="9"/>
        <v>1</v>
      </c>
      <c r="S55" s="669">
        <f t="shared" si="4"/>
        <v>2042</v>
      </c>
      <c r="T55" s="671">
        <v>0</v>
      </c>
      <c r="U55" s="671">
        <v>5</v>
      </c>
      <c r="V55" s="672">
        <f t="shared" si="5"/>
        <v>0</v>
      </c>
      <c r="W55" s="673">
        <v>1</v>
      </c>
      <c r="X55" s="674">
        <f t="shared" si="10"/>
        <v>0</v>
      </c>
    </row>
    <row r="56" spans="2:24">
      <c r="B56" s="669">
        <f t="shared" si="11"/>
        <v>2043</v>
      </c>
      <c r="C56" s="675"/>
      <c r="D56" s="662">
        <v>1</v>
      </c>
      <c r="E56" s="663">
        <f t="shared" si="12"/>
        <v>0.435</v>
      </c>
      <c r="F56" s="663">
        <f t="shared" si="12"/>
        <v>0.129</v>
      </c>
      <c r="G56" s="663">
        <f t="shared" si="8"/>
        <v>0</v>
      </c>
      <c r="H56" s="663">
        <f t="shared" si="12"/>
        <v>0</v>
      </c>
      <c r="I56" s="663">
        <f t="shared" si="8"/>
        <v>9.9000000000000005E-2</v>
      </c>
      <c r="J56" s="663">
        <f t="shared" si="12"/>
        <v>2.7E-2</v>
      </c>
      <c r="K56" s="663">
        <f t="shared" si="12"/>
        <v>8.9999999999999993E-3</v>
      </c>
      <c r="L56" s="663">
        <f t="shared" si="12"/>
        <v>7.1999999999999995E-2</v>
      </c>
      <c r="M56" s="663">
        <f t="shared" si="12"/>
        <v>3.3000000000000002E-2</v>
      </c>
      <c r="N56" s="663">
        <f t="shared" si="12"/>
        <v>0.04</v>
      </c>
      <c r="O56" s="663">
        <f t="shared" si="12"/>
        <v>0.156</v>
      </c>
      <c r="P56" s="670">
        <f t="shared" si="9"/>
        <v>1</v>
      </c>
      <c r="S56" s="669">
        <f t="shared" si="4"/>
        <v>2043</v>
      </c>
      <c r="T56" s="671">
        <v>0</v>
      </c>
      <c r="U56" s="671">
        <v>5</v>
      </c>
      <c r="V56" s="672">
        <f t="shared" si="5"/>
        <v>0</v>
      </c>
      <c r="W56" s="673">
        <v>1</v>
      </c>
      <c r="X56" s="674">
        <f t="shared" si="10"/>
        <v>0</v>
      </c>
    </row>
    <row r="57" spans="2:24">
      <c r="B57" s="669">
        <f t="shared" si="11"/>
        <v>2044</v>
      </c>
      <c r="C57" s="675"/>
      <c r="D57" s="662">
        <v>1</v>
      </c>
      <c r="E57" s="663">
        <f t="shared" si="12"/>
        <v>0.435</v>
      </c>
      <c r="F57" s="663">
        <f t="shared" si="12"/>
        <v>0.129</v>
      </c>
      <c r="G57" s="663">
        <f t="shared" si="8"/>
        <v>0</v>
      </c>
      <c r="H57" s="663">
        <f t="shared" si="12"/>
        <v>0</v>
      </c>
      <c r="I57" s="663">
        <f t="shared" si="8"/>
        <v>9.9000000000000005E-2</v>
      </c>
      <c r="J57" s="663">
        <f t="shared" si="12"/>
        <v>2.7E-2</v>
      </c>
      <c r="K57" s="663">
        <f t="shared" si="12"/>
        <v>8.9999999999999993E-3</v>
      </c>
      <c r="L57" s="663">
        <f t="shared" si="12"/>
        <v>7.1999999999999995E-2</v>
      </c>
      <c r="M57" s="663">
        <f t="shared" si="12"/>
        <v>3.3000000000000002E-2</v>
      </c>
      <c r="N57" s="663">
        <f t="shared" si="12"/>
        <v>0.04</v>
      </c>
      <c r="O57" s="663">
        <f t="shared" si="12"/>
        <v>0.156</v>
      </c>
      <c r="P57" s="670">
        <f t="shared" si="9"/>
        <v>1</v>
      </c>
      <c r="S57" s="669">
        <f t="shared" si="4"/>
        <v>2044</v>
      </c>
      <c r="T57" s="671">
        <v>0</v>
      </c>
      <c r="U57" s="671">
        <v>5</v>
      </c>
      <c r="V57" s="672">
        <f t="shared" si="5"/>
        <v>0</v>
      </c>
      <c r="W57" s="673">
        <v>1</v>
      </c>
      <c r="X57" s="674">
        <f t="shared" si="10"/>
        <v>0</v>
      </c>
    </row>
    <row r="58" spans="2:24">
      <c r="B58" s="669">
        <f t="shared" si="11"/>
        <v>2045</v>
      </c>
      <c r="C58" s="675"/>
      <c r="D58" s="662">
        <v>1</v>
      </c>
      <c r="E58" s="663">
        <f t="shared" si="12"/>
        <v>0.435</v>
      </c>
      <c r="F58" s="663">
        <f t="shared" si="12"/>
        <v>0.129</v>
      </c>
      <c r="G58" s="663">
        <f t="shared" si="8"/>
        <v>0</v>
      </c>
      <c r="H58" s="663">
        <f t="shared" si="12"/>
        <v>0</v>
      </c>
      <c r="I58" s="663">
        <f t="shared" si="8"/>
        <v>9.9000000000000005E-2</v>
      </c>
      <c r="J58" s="663">
        <f t="shared" si="12"/>
        <v>2.7E-2</v>
      </c>
      <c r="K58" s="663">
        <f t="shared" si="12"/>
        <v>8.9999999999999993E-3</v>
      </c>
      <c r="L58" s="663">
        <f t="shared" si="12"/>
        <v>7.1999999999999995E-2</v>
      </c>
      <c r="M58" s="663">
        <f t="shared" si="12"/>
        <v>3.3000000000000002E-2</v>
      </c>
      <c r="N58" s="663">
        <f t="shared" si="12"/>
        <v>0.04</v>
      </c>
      <c r="O58" s="663">
        <f t="shared" si="12"/>
        <v>0.156</v>
      </c>
      <c r="P58" s="670">
        <f t="shared" si="9"/>
        <v>1</v>
      </c>
      <c r="S58" s="669">
        <f t="shared" si="4"/>
        <v>2045</v>
      </c>
      <c r="T58" s="671">
        <v>0</v>
      </c>
      <c r="U58" s="671">
        <v>5</v>
      </c>
      <c r="V58" s="672">
        <f t="shared" si="5"/>
        <v>0</v>
      </c>
      <c r="W58" s="673">
        <v>1</v>
      </c>
      <c r="X58" s="674">
        <f t="shared" si="10"/>
        <v>0</v>
      </c>
    </row>
    <row r="59" spans="2:24">
      <c r="B59" s="669">
        <f t="shared" si="11"/>
        <v>2046</v>
      </c>
      <c r="C59" s="675"/>
      <c r="D59" s="662">
        <v>1</v>
      </c>
      <c r="E59" s="663">
        <f t="shared" si="12"/>
        <v>0.435</v>
      </c>
      <c r="F59" s="663">
        <f t="shared" si="12"/>
        <v>0.129</v>
      </c>
      <c r="G59" s="663">
        <f t="shared" si="12"/>
        <v>0</v>
      </c>
      <c r="H59" s="663">
        <f t="shared" si="12"/>
        <v>0</v>
      </c>
      <c r="I59" s="663">
        <f t="shared" si="12"/>
        <v>9.9000000000000005E-2</v>
      </c>
      <c r="J59" s="663">
        <f t="shared" si="12"/>
        <v>2.7E-2</v>
      </c>
      <c r="K59" s="663">
        <f t="shared" si="12"/>
        <v>8.9999999999999993E-3</v>
      </c>
      <c r="L59" s="663">
        <f t="shared" si="12"/>
        <v>7.1999999999999995E-2</v>
      </c>
      <c r="M59" s="663">
        <f t="shared" si="12"/>
        <v>3.3000000000000002E-2</v>
      </c>
      <c r="N59" s="663">
        <f t="shared" si="12"/>
        <v>0.04</v>
      </c>
      <c r="O59" s="663">
        <f t="shared" si="12"/>
        <v>0.156</v>
      </c>
      <c r="P59" s="670">
        <f t="shared" si="9"/>
        <v>1</v>
      </c>
      <c r="S59" s="669">
        <f t="shared" si="4"/>
        <v>2046</v>
      </c>
      <c r="T59" s="671">
        <v>0</v>
      </c>
      <c r="U59" s="671">
        <v>5</v>
      </c>
      <c r="V59" s="672">
        <f t="shared" si="5"/>
        <v>0</v>
      </c>
      <c r="W59" s="673">
        <v>1</v>
      </c>
      <c r="X59" s="674">
        <f t="shared" si="10"/>
        <v>0</v>
      </c>
    </row>
    <row r="60" spans="2:24">
      <c r="B60" s="669">
        <f t="shared" si="11"/>
        <v>2047</v>
      </c>
      <c r="C60" s="675"/>
      <c r="D60" s="662">
        <v>1</v>
      </c>
      <c r="E60" s="663">
        <f t="shared" si="12"/>
        <v>0.435</v>
      </c>
      <c r="F60" s="663">
        <f t="shared" si="12"/>
        <v>0.129</v>
      </c>
      <c r="G60" s="663">
        <f t="shared" si="12"/>
        <v>0</v>
      </c>
      <c r="H60" s="663">
        <f t="shared" si="12"/>
        <v>0</v>
      </c>
      <c r="I60" s="663">
        <f t="shared" si="12"/>
        <v>9.9000000000000005E-2</v>
      </c>
      <c r="J60" s="663">
        <f t="shared" si="12"/>
        <v>2.7E-2</v>
      </c>
      <c r="K60" s="663">
        <f t="shared" si="12"/>
        <v>8.9999999999999993E-3</v>
      </c>
      <c r="L60" s="663">
        <f t="shared" si="12"/>
        <v>7.1999999999999995E-2</v>
      </c>
      <c r="M60" s="663">
        <f t="shared" si="12"/>
        <v>3.3000000000000002E-2</v>
      </c>
      <c r="N60" s="663">
        <f t="shared" si="12"/>
        <v>0.04</v>
      </c>
      <c r="O60" s="663">
        <f t="shared" si="12"/>
        <v>0.156</v>
      </c>
      <c r="P60" s="670">
        <f t="shared" si="9"/>
        <v>1</v>
      </c>
      <c r="S60" s="669">
        <f t="shared" si="4"/>
        <v>2047</v>
      </c>
      <c r="T60" s="671">
        <v>0</v>
      </c>
      <c r="U60" s="671">
        <v>5</v>
      </c>
      <c r="V60" s="672">
        <f t="shared" si="5"/>
        <v>0</v>
      </c>
      <c r="W60" s="673">
        <v>1</v>
      </c>
      <c r="X60" s="674">
        <f t="shared" si="10"/>
        <v>0</v>
      </c>
    </row>
    <row r="61" spans="2:24">
      <c r="B61" s="669">
        <f t="shared" si="11"/>
        <v>2048</v>
      </c>
      <c r="C61" s="675"/>
      <c r="D61" s="662">
        <v>1</v>
      </c>
      <c r="E61" s="663">
        <f t="shared" si="12"/>
        <v>0.435</v>
      </c>
      <c r="F61" s="663">
        <f t="shared" si="12"/>
        <v>0.129</v>
      </c>
      <c r="G61" s="663">
        <f t="shared" si="12"/>
        <v>0</v>
      </c>
      <c r="H61" s="663">
        <f t="shared" si="12"/>
        <v>0</v>
      </c>
      <c r="I61" s="663">
        <f t="shared" si="12"/>
        <v>9.9000000000000005E-2</v>
      </c>
      <c r="J61" s="663">
        <f t="shared" si="12"/>
        <v>2.7E-2</v>
      </c>
      <c r="K61" s="663">
        <f t="shared" si="12"/>
        <v>8.9999999999999993E-3</v>
      </c>
      <c r="L61" s="663">
        <f t="shared" si="12"/>
        <v>7.1999999999999995E-2</v>
      </c>
      <c r="M61" s="663">
        <f t="shared" si="12"/>
        <v>3.3000000000000002E-2</v>
      </c>
      <c r="N61" s="663">
        <f t="shared" si="12"/>
        <v>0.04</v>
      </c>
      <c r="O61" s="663">
        <f t="shared" si="12"/>
        <v>0.156</v>
      </c>
      <c r="P61" s="670">
        <f t="shared" si="9"/>
        <v>1</v>
      </c>
      <c r="S61" s="669">
        <f t="shared" si="4"/>
        <v>2048</v>
      </c>
      <c r="T61" s="671">
        <v>0</v>
      </c>
      <c r="U61" s="671">
        <v>5</v>
      </c>
      <c r="V61" s="672">
        <f t="shared" si="5"/>
        <v>0</v>
      </c>
      <c r="W61" s="673">
        <v>1</v>
      </c>
      <c r="X61" s="674">
        <f t="shared" si="10"/>
        <v>0</v>
      </c>
    </row>
    <row r="62" spans="2:24">
      <c r="B62" s="669">
        <f t="shared" si="11"/>
        <v>2049</v>
      </c>
      <c r="C62" s="675"/>
      <c r="D62" s="662">
        <v>1</v>
      </c>
      <c r="E62" s="663">
        <f t="shared" si="12"/>
        <v>0.435</v>
      </c>
      <c r="F62" s="663">
        <f t="shared" si="12"/>
        <v>0.129</v>
      </c>
      <c r="G62" s="663">
        <f t="shared" si="12"/>
        <v>0</v>
      </c>
      <c r="H62" s="663">
        <f t="shared" si="12"/>
        <v>0</v>
      </c>
      <c r="I62" s="663">
        <f t="shared" si="12"/>
        <v>9.9000000000000005E-2</v>
      </c>
      <c r="J62" s="663">
        <f t="shared" si="12"/>
        <v>2.7E-2</v>
      </c>
      <c r="K62" s="663">
        <f t="shared" si="12"/>
        <v>8.9999999999999993E-3</v>
      </c>
      <c r="L62" s="663">
        <f t="shared" si="12"/>
        <v>7.1999999999999995E-2</v>
      </c>
      <c r="M62" s="663">
        <f t="shared" si="12"/>
        <v>3.3000000000000002E-2</v>
      </c>
      <c r="N62" s="663">
        <f t="shared" si="12"/>
        <v>0.04</v>
      </c>
      <c r="O62" s="663">
        <f t="shared" si="12"/>
        <v>0.156</v>
      </c>
      <c r="P62" s="670">
        <f t="shared" si="9"/>
        <v>1</v>
      </c>
      <c r="S62" s="669">
        <f t="shared" si="4"/>
        <v>2049</v>
      </c>
      <c r="T62" s="671">
        <v>0</v>
      </c>
      <c r="U62" s="671">
        <v>5</v>
      </c>
      <c r="V62" s="672">
        <f t="shared" si="5"/>
        <v>0</v>
      </c>
      <c r="W62" s="673">
        <v>1</v>
      </c>
      <c r="X62" s="674">
        <f t="shared" si="10"/>
        <v>0</v>
      </c>
    </row>
    <row r="63" spans="2:24">
      <c r="B63" s="669">
        <f t="shared" si="11"/>
        <v>2050</v>
      </c>
      <c r="C63" s="675"/>
      <c r="D63" s="662">
        <v>1</v>
      </c>
      <c r="E63" s="663">
        <f t="shared" ref="E63:O78" si="13">E$8</f>
        <v>0.435</v>
      </c>
      <c r="F63" s="663">
        <f t="shared" si="13"/>
        <v>0.129</v>
      </c>
      <c r="G63" s="663">
        <f t="shared" si="12"/>
        <v>0</v>
      </c>
      <c r="H63" s="663">
        <f t="shared" si="13"/>
        <v>0</v>
      </c>
      <c r="I63" s="663">
        <f t="shared" si="12"/>
        <v>9.9000000000000005E-2</v>
      </c>
      <c r="J63" s="663">
        <f t="shared" si="13"/>
        <v>2.7E-2</v>
      </c>
      <c r="K63" s="663">
        <f t="shared" si="13"/>
        <v>8.9999999999999993E-3</v>
      </c>
      <c r="L63" s="663">
        <f t="shared" si="13"/>
        <v>7.1999999999999995E-2</v>
      </c>
      <c r="M63" s="663">
        <f t="shared" si="13"/>
        <v>3.3000000000000002E-2</v>
      </c>
      <c r="N63" s="663">
        <f t="shared" si="13"/>
        <v>0.04</v>
      </c>
      <c r="O63" s="663">
        <f t="shared" si="13"/>
        <v>0.156</v>
      </c>
      <c r="P63" s="670">
        <f t="shared" si="9"/>
        <v>1</v>
      </c>
      <c r="S63" s="669">
        <f t="shared" si="4"/>
        <v>2050</v>
      </c>
      <c r="T63" s="671">
        <v>0</v>
      </c>
      <c r="U63" s="671">
        <v>5</v>
      </c>
      <c r="V63" s="672">
        <f t="shared" si="5"/>
        <v>0</v>
      </c>
      <c r="W63" s="673">
        <v>1</v>
      </c>
      <c r="X63" s="674">
        <f t="shared" si="10"/>
        <v>0</v>
      </c>
    </row>
    <row r="64" spans="2:24">
      <c r="B64" s="669">
        <f t="shared" si="11"/>
        <v>2051</v>
      </c>
      <c r="C64" s="675"/>
      <c r="D64" s="662">
        <v>1</v>
      </c>
      <c r="E64" s="663">
        <f t="shared" si="13"/>
        <v>0.435</v>
      </c>
      <c r="F64" s="663">
        <f t="shared" si="13"/>
        <v>0.129</v>
      </c>
      <c r="G64" s="663">
        <f t="shared" si="12"/>
        <v>0</v>
      </c>
      <c r="H64" s="663">
        <f t="shared" si="13"/>
        <v>0</v>
      </c>
      <c r="I64" s="663">
        <f t="shared" si="12"/>
        <v>9.9000000000000005E-2</v>
      </c>
      <c r="J64" s="663">
        <f t="shared" si="13"/>
        <v>2.7E-2</v>
      </c>
      <c r="K64" s="663">
        <f t="shared" si="13"/>
        <v>8.9999999999999993E-3</v>
      </c>
      <c r="L64" s="663">
        <f t="shared" si="13"/>
        <v>7.1999999999999995E-2</v>
      </c>
      <c r="M64" s="663">
        <f t="shared" si="13"/>
        <v>3.3000000000000002E-2</v>
      </c>
      <c r="N64" s="663">
        <f t="shared" si="13"/>
        <v>0.04</v>
      </c>
      <c r="O64" s="663">
        <f t="shared" si="13"/>
        <v>0.156</v>
      </c>
      <c r="P64" s="670">
        <f t="shared" si="9"/>
        <v>1</v>
      </c>
      <c r="S64" s="669">
        <f t="shared" si="4"/>
        <v>2051</v>
      </c>
      <c r="T64" s="671">
        <v>0</v>
      </c>
      <c r="U64" s="671">
        <v>5</v>
      </c>
      <c r="V64" s="672">
        <f t="shared" si="5"/>
        <v>0</v>
      </c>
      <c r="W64" s="673">
        <v>1</v>
      </c>
      <c r="X64" s="674">
        <f t="shared" si="10"/>
        <v>0</v>
      </c>
    </row>
    <row r="65" spans="2:24">
      <c r="B65" s="669">
        <f t="shared" si="11"/>
        <v>2052</v>
      </c>
      <c r="C65" s="675"/>
      <c r="D65" s="662">
        <v>1</v>
      </c>
      <c r="E65" s="663">
        <f t="shared" si="13"/>
        <v>0.435</v>
      </c>
      <c r="F65" s="663">
        <f t="shared" si="13"/>
        <v>0.129</v>
      </c>
      <c r="G65" s="663">
        <f t="shared" si="12"/>
        <v>0</v>
      </c>
      <c r="H65" s="663">
        <f t="shared" si="13"/>
        <v>0</v>
      </c>
      <c r="I65" s="663">
        <f t="shared" si="12"/>
        <v>9.9000000000000005E-2</v>
      </c>
      <c r="J65" s="663">
        <f t="shared" si="13"/>
        <v>2.7E-2</v>
      </c>
      <c r="K65" s="663">
        <f t="shared" si="13"/>
        <v>8.9999999999999993E-3</v>
      </c>
      <c r="L65" s="663">
        <f t="shared" si="13"/>
        <v>7.1999999999999995E-2</v>
      </c>
      <c r="M65" s="663">
        <f t="shared" si="13"/>
        <v>3.3000000000000002E-2</v>
      </c>
      <c r="N65" s="663">
        <f t="shared" si="13"/>
        <v>0.04</v>
      </c>
      <c r="O65" s="663">
        <f t="shared" si="13"/>
        <v>0.156</v>
      </c>
      <c r="P65" s="670">
        <f t="shared" si="9"/>
        <v>1</v>
      </c>
      <c r="S65" s="669">
        <f t="shared" si="4"/>
        <v>2052</v>
      </c>
      <c r="T65" s="671">
        <v>0</v>
      </c>
      <c r="U65" s="671">
        <v>5</v>
      </c>
      <c r="V65" s="672">
        <f t="shared" si="5"/>
        <v>0</v>
      </c>
      <c r="W65" s="673">
        <v>1</v>
      </c>
      <c r="X65" s="674">
        <f t="shared" si="10"/>
        <v>0</v>
      </c>
    </row>
    <row r="66" spans="2:24">
      <c r="B66" s="669">
        <f t="shared" si="11"/>
        <v>2053</v>
      </c>
      <c r="C66" s="675"/>
      <c r="D66" s="662">
        <v>1</v>
      </c>
      <c r="E66" s="663">
        <f t="shared" si="13"/>
        <v>0.435</v>
      </c>
      <c r="F66" s="663">
        <f t="shared" si="13"/>
        <v>0.129</v>
      </c>
      <c r="G66" s="663">
        <f t="shared" si="12"/>
        <v>0</v>
      </c>
      <c r="H66" s="663">
        <f t="shared" si="13"/>
        <v>0</v>
      </c>
      <c r="I66" s="663">
        <f t="shared" si="12"/>
        <v>9.9000000000000005E-2</v>
      </c>
      <c r="J66" s="663">
        <f t="shared" si="13"/>
        <v>2.7E-2</v>
      </c>
      <c r="K66" s="663">
        <f t="shared" si="13"/>
        <v>8.9999999999999993E-3</v>
      </c>
      <c r="L66" s="663">
        <f t="shared" si="13"/>
        <v>7.1999999999999995E-2</v>
      </c>
      <c r="M66" s="663">
        <f t="shared" si="13"/>
        <v>3.3000000000000002E-2</v>
      </c>
      <c r="N66" s="663">
        <f t="shared" si="13"/>
        <v>0.04</v>
      </c>
      <c r="O66" s="663">
        <f t="shared" si="13"/>
        <v>0.156</v>
      </c>
      <c r="P66" s="670">
        <f t="shared" si="9"/>
        <v>1</v>
      </c>
      <c r="S66" s="669">
        <f t="shared" si="4"/>
        <v>2053</v>
      </c>
      <c r="T66" s="671">
        <v>0</v>
      </c>
      <c r="U66" s="671">
        <v>5</v>
      </c>
      <c r="V66" s="672">
        <f t="shared" si="5"/>
        <v>0</v>
      </c>
      <c r="W66" s="673">
        <v>1</v>
      </c>
      <c r="X66" s="674">
        <f t="shared" si="10"/>
        <v>0</v>
      </c>
    </row>
    <row r="67" spans="2:24">
      <c r="B67" s="669">
        <f t="shared" si="11"/>
        <v>2054</v>
      </c>
      <c r="C67" s="675"/>
      <c r="D67" s="662">
        <v>1</v>
      </c>
      <c r="E67" s="663">
        <f t="shared" si="13"/>
        <v>0.435</v>
      </c>
      <c r="F67" s="663">
        <f t="shared" si="13"/>
        <v>0.129</v>
      </c>
      <c r="G67" s="663">
        <f t="shared" si="12"/>
        <v>0</v>
      </c>
      <c r="H67" s="663">
        <f t="shared" si="13"/>
        <v>0</v>
      </c>
      <c r="I67" s="663">
        <f t="shared" si="12"/>
        <v>9.9000000000000005E-2</v>
      </c>
      <c r="J67" s="663">
        <f t="shared" si="13"/>
        <v>2.7E-2</v>
      </c>
      <c r="K67" s="663">
        <f t="shared" si="13"/>
        <v>8.9999999999999993E-3</v>
      </c>
      <c r="L67" s="663">
        <f t="shared" si="13"/>
        <v>7.1999999999999995E-2</v>
      </c>
      <c r="M67" s="663">
        <f t="shared" si="13"/>
        <v>3.3000000000000002E-2</v>
      </c>
      <c r="N67" s="663">
        <f t="shared" si="13"/>
        <v>0.04</v>
      </c>
      <c r="O67" s="663">
        <f t="shared" si="13"/>
        <v>0.156</v>
      </c>
      <c r="P67" s="670">
        <f t="shared" si="9"/>
        <v>1</v>
      </c>
      <c r="S67" s="669">
        <f t="shared" si="4"/>
        <v>2054</v>
      </c>
      <c r="T67" s="671">
        <v>0</v>
      </c>
      <c r="U67" s="671">
        <v>5</v>
      </c>
      <c r="V67" s="672">
        <f t="shared" si="5"/>
        <v>0</v>
      </c>
      <c r="W67" s="673">
        <v>1</v>
      </c>
      <c r="X67" s="674">
        <f t="shared" si="10"/>
        <v>0</v>
      </c>
    </row>
    <row r="68" spans="2:24">
      <c r="B68" s="669">
        <f t="shared" si="11"/>
        <v>2055</v>
      </c>
      <c r="C68" s="675"/>
      <c r="D68" s="662">
        <v>1</v>
      </c>
      <c r="E68" s="663">
        <f t="shared" si="13"/>
        <v>0.435</v>
      </c>
      <c r="F68" s="663">
        <f t="shared" si="13"/>
        <v>0.129</v>
      </c>
      <c r="G68" s="663">
        <f t="shared" si="12"/>
        <v>0</v>
      </c>
      <c r="H68" s="663">
        <f t="shared" si="13"/>
        <v>0</v>
      </c>
      <c r="I68" s="663">
        <f t="shared" si="12"/>
        <v>9.9000000000000005E-2</v>
      </c>
      <c r="J68" s="663">
        <f t="shared" si="13"/>
        <v>2.7E-2</v>
      </c>
      <c r="K68" s="663">
        <f t="shared" si="13"/>
        <v>8.9999999999999993E-3</v>
      </c>
      <c r="L68" s="663">
        <f t="shared" si="13"/>
        <v>7.1999999999999995E-2</v>
      </c>
      <c r="M68" s="663">
        <f t="shared" si="13"/>
        <v>3.3000000000000002E-2</v>
      </c>
      <c r="N68" s="663">
        <f t="shared" si="13"/>
        <v>0.04</v>
      </c>
      <c r="O68" s="663">
        <f t="shared" si="13"/>
        <v>0.156</v>
      </c>
      <c r="P68" s="670">
        <f t="shared" si="9"/>
        <v>1</v>
      </c>
      <c r="S68" s="669">
        <f t="shared" si="4"/>
        <v>2055</v>
      </c>
      <c r="T68" s="671">
        <v>0</v>
      </c>
      <c r="U68" s="671">
        <v>5</v>
      </c>
      <c r="V68" s="672">
        <f t="shared" si="5"/>
        <v>0</v>
      </c>
      <c r="W68" s="673">
        <v>1</v>
      </c>
      <c r="X68" s="674">
        <f t="shared" si="10"/>
        <v>0</v>
      </c>
    </row>
    <row r="69" spans="2:24">
      <c r="B69" s="669">
        <f t="shared" si="11"/>
        <v>2056</v>
      </c>
      <c r="C69" s="675"/>
      <c r="D69" s="662">
        <v>1</v>
      </c>
      <c r="E69" s="663">
        <f t="shared" si="13"/>
        <v>0.435</v>
      </c>
      <c r="F69" s="663">
        <f t="shared" si="13"/>
        <v>0.129</v>
      </c>
      <c r="G69" s="663">
        <f t="shared" si="13"/>
        <v>0</v>
      </c>
      <c r="H69" s="663">
        <f t="shared" si="13"/>
        <v>0</v>
      </c>
      <c r="I69" s="663">
        <f t="shared" si="13"/>
        <v>9.9000000000000005E-2</v>
      </c>
      <c r="J69" s="663">
        <f t="shared" si="13"/>
        <v>2.7E-2</v>
      </c>
      <c r="K69" s="663">
        <f t="shared" si="13"/>
        <v>8.9999999999999993E-3</v>
      </c>
      <c r="L69" s="663">
        <f t="shared" si="13"/>
        <v>7.1999999999999995E-2</v>
      </c>
      <c r="M69" s="663">
        <f t="shared" si="13"/>
        <v>3.3000000000000002E-2</v>
      </c>
      <c r="N69" s="663">
        <f t="shared" si="13"/>
        <v>0.04</v>
      </c>
      <c r="O69" s="663">
        <f t="shared" si="13"/>
        <v>0.156</v>
      </c>
      <c r="P69" s="670">
        <f t="shared" si="9"/>
        <v>1</v>
      </c>
      <c r="S69" s="669">
        <f t="shared" si="4"/>
        <v>2056</v>
      </c>
      <c r="T69" s="671">
        <v>0</v>
      </c>
      <c r="U69" s="671">
        <v>5</v>
      </c>
      <c r="V69" s="672">
        <f t="shared" si="5"/>
        <v>0</v>
      </c>
      <c r="W69" s="673">
        <v>1</v>
      </c>
      <c r="X69" s="674">
        <f t="shared" si="10"/>
        <v>0</v>
      </c>
    </row>
    <row r="70" spans="2:24">
      <c r="B70" s="669">
        <f t="shared" si="11"/>
        <v>2057</v>
      </c>
      <c r="C70" s="675"/>
      <c r="D70" s="662">
        <v>1</v>
      </c>
      <c r="E70" s="663">
        <f t="shared" si="13"/>
        <v>0.435</v>
      </c>
      <c r="F70" s="663">
        <f t="shared" si="13"/>
        <v>0.129</v>
      </c>
      <c r="G70" s="663">
        <f t="shared" si="13"/>
        <v>0</v>
      </c>
      <c r="H70" s="663">
        <f t="shared" si="13"/>
        <v>0</v>
      </c>
      <c r="I70" s="663">
        <f t="shared" si="13"/>
        <v>9.9000000000000005E-2</v>
      </c>
      <c r="J70" s="663">
        <f t="shared" si="13"/>
        <v>2.7E-2</v>
      </c>
      <c r="K70" s="663">
        <f t="shared" si="13"/>
        <v>8.9999999999999993E-3</v>
      </c>
      <c r="L70" s="663">
        <f t="shared" si="13"/>
        <v>7.1999999999999995E-2</v>
      </c>
      <c r="M70" s="663">
        <f t="shared" si="13"/>
        <v>3.3000000000000002E-2</v>
      </c>
      <c r="N70" s="663">
        <f t="shared" si="13"/>
        <v>0.04</v>
      </c>
      <c r="O70" s="663">
        <f t="shared" si="13"/>
        <v>0.156</v>
      </c>
      <c r="P70" s="670">
        <f t="shared" si="9"/>
        <v>1</v>
      </c>
      <c r="S70" s="669">
        <f t="shared" si="4"/>
        <v>2057</v>
      </c>
      <c r="T70" s="671">
        <v>0</v>
      </c>
      <c r="U70" s="671">
        <v>5</v>
      </c>
      <c r="V70" s="672">
        <f t="shared" si="5"/>
        <v>0</v>
      </c>
      <c r="W70" s="673">
        <v>1</v>
      </c>
      <c r="X70" s="674">
        <f t="shared" si="10"/>
        <v>0</v>
      </c>
    </row>
    <row r="71" spans="2:24">
      <c r="B71" s="669">
        <f t="shared" si="11"/>
        <v>2058</v>
      </c>
      <c r="C71" s="675"/>
      <c r="D71" s="662">
        <v>1</v>
      </c>
      <c r="E71" s="663">
        <f t="shared" si="13"/>
        <v>0.435</v>
      </c>
      <c r="F71" s="663">
        <f t="shared" si="13"/>
        <v>0.129</v>
      </c>
      <c r="G71" s="663">
        <f t="shared" si="13"/>
        <v>0</v>
      </c>
      <c r="H71" s="663">
        <f t="shared" si="13"/>
        <v>0</v>
      </c>
      <c r="I71" s="663">
        <f t="shared" si="13"/>
        <v>9.9000000000000005E-2</v>
      </c>
      <c r="J71" s="663">
        <f t="shared" si="13"/>
        <v>2.7E-2</v>
      </c>
      <c r="K71" s="663">
        <f t="shared" si="13"/>
        <v>8.9999999999999993E-3</v>
      </c>
      <c r="L71" s="663">
        <f t="shared" si="13"/>
        <v>7.1999999999999995E-2</v>
      </c>
      <c r="M71" s="663">
        <f t="shared" si="13"/>
        <v>3.3000000000000002E-2</v>
      </c>
      <c r="N71" s="663">
        <f t="shared" si="13"/>
        <v>0.04</v>
      </c>
      <c r="O71" s="663">
        <f t="shared" si="13"/>
        <v>0.156</v>
      </c>
      <c r="P71" s="670">
        <f t="shared" si="9"/>
        <v>1</v>
      </c>
      <c r="S71" s="669">
        <f t="shared" si="4"/>
        <v>2058</v>
      </c>
      <c r="T71" s="671">
        <v>0</v>
      </c>
      <c r="U71" s="671">
        <v>5</v>
      </c>
      <c r="V71" s="672">
        <f t="shared" si="5"/>
        <v>0</v>
      </c>
      <c r="W71" s="673">
        <v>1</v>
      </c>
      <c r="X71" s="674">
        <f t="shared" si="10"/>
        <v>0</v>
      </c>
    </row>
    <row r="72" spans="2:24">
      <c r="B72" s="669">
        <f t="shared" si="11"/>
        <v>2059</v>
      </c>
      <c r="C72" s="675"/>
      <c r="D72" s="662">
        <v>1</v>
      </c>
      <c r="E72" s="663">
        <f t="shared" si="13"/>
        <v>0.435</v>
      </c>
      <c r="F72" s="663">
        <f t="shared" si="13"/>
        <v>0.129</v>
      </c>
      <c r="G72" s="663">
        <f t="shared" si="13"/>
        <v>0</v>
      </c>
      <c r="H72" s="663">
        <f t="shared" si="13"/>
        <v>0</v>
      </c>
      <c r="I72" s="663">
        <f t="shared" si="13"/>
        <v>9.9000000000000005E-2</v>
      </c>
      <c r="J72" s="663">
        <f t="shared" si="13"/>
        <v>2.7E-2</v>
      </c>
      <c r="K72" s="663">
        <f t="shared" si="13"/>
        <v>8.9999999999999993E-3</v>
      </c>
      <c r="L72" s="663">
        <f t="shared" si="13"/>
        <v>7.1999999999999995E-2</v>
      </c>
      <c r="M72" s="663">
        <f t="shared" si="13"/>
        <v>3.3000000000000002E-2</v>
      </c>
      <c r="N72" s="663">
        <f t="shared" si="13"/>
        <v>0.04</v>
      </c>
      <c r="O72" s="663">
        <f t="shared" si="13"/>
        <v>0.156</v>
      </c>
      <c r="P72" s="670">
        <f t="shared" si="9"/>
        <v>1</v>
      </c>
      <c r="S72" s="669">
        <f t="shared" si="4"/>
        <v>2059</v>
      </c>
      <c r="T72" s="671">
        <v>0</v>
      </c>
      <c r="U72" s="671">
        <v>5</v>
      </c>
      <c r="V72" s="672">
        <f t="shared" si="5"/>
        <v>0</v>
      </c>
      <c r="W72" s="673">
        <v>1</v>
      </c>
      <c r="X72" s="674">
        <f t="shared" si="10"/>
        <v>0</v>
      </c>
    </row>
    <row r="73" spans="2:24">
      <c r="B73" s="669">
        <f t="shared" si="11"/>
        <v>2060</v>
      </c>
      <c r="C73" s="675"/>
      <c r="D73" s="662">
        <v>1</v>
      </c>
      <c r="E73" s="663">
        <f t="shared" ref="E73:O88" si="14">E$8</f>
        <v>0.435</v>
      </c>
      <c r="F73" s="663">
        <f t="shared" si="14"/>
        <v>0.129</v>
      </c>
      <c r="G73" s="663">
        <f t="shared" si="13"/>
        <v>0</v>
      </c>
      <c r="H73" s="663">
        <f t="shared" si="14"/>
        <v>0</v>
      </c>
      <c r="I73" s="663">
        <f t="shared" si="13"/>
        <v>9.9000000000000005E-2</v>
      </c>
      <c r="J73" s="663">
        <f t="shared" si="14"/>
        <v>2.7E-2</v>
      </c>
      <c r="K73" s="663">
        <f t="shared" si="14"/>
        <v>8.9999999999999993E-3</v>
      </c>
      <c r="L73" s="663">
        <f t="shared" si="14"/>
        <v>7.1999999999999995E-2</v>
      </c>
      <c r="M73" s="663">
        <f t="shared" si="14"/>
        <v>3.3000000000000002E-2</v>
      </c>
      <c r="N73" s="663">
        <f t="shared" si="14"/>
        <v>0.04</v>
      </c>
      <c r="O73" s="663">
        <f t="shared" si="14"/>
        <v>0.156</v>
      </c>
      <c r="P73" s="670">
        <f t="shared" si="9"/>
        <v>1</v>
      </c>
      <c r="S73" s="669">
        <f t="shared" si="4"/>
        <v>2060</v>
      </c>
      <c r="T73" s="671">
        <v>0</v>
      </c>
      <c r="U73" s="671">
        <v>5</v>
      </c>
      <c r="V73" s="672">
        <f t="shared" si="5"/>
        <v>0</v>
      </c>
      <c r="W73" s="673">
        <v>1</v>
      </c>
      <c r="X73" s="674">
        <f t="shared" si="10"/>
        <v>0</v>
      </c>
    </row>
    <row r="74" spans="2:24">
      <c r="B74" s="669">
        <f t="shared" si="11"/>
        <v>2061</v>
      </c>
      <c r="C74" s="675"/>
      <c r="D74" s="662">
        <v>1</v>
      </c>
      <c r="E74" s="663">
        <f t="shared" si="14"/>
        <v>0.435</v>
      </c>
      <c r="F74" s="663">
        <f t="shared" si="14"/>
        <v>0.129</v>
      </c>
      <c r="G74" s="663">
        <f t="shared" si="13"/>
        <v>0</v>
      </c>
      <c r="H74" s="663">
        <f t="shared" si="14"/>
        <v>0</v>
      </c>
      <c r="I74" s="663">
        <f t="shared" si="13"/>
        <v>9.9000000000000005E-2</v>
      </c>
      <c r="J74" s="663">
        <f t="shared" si="14"/>
        <v>2.7E-2</v>
      </c>
      <c r="K74" s="663">
        <f t="shared" si="14"/>
        <v>8.9999999999999993E-3</v>
      </c>
      <c r="L74" s="663">
        <f t="shared" si="14"/>
        <v>7.1999999999999995E-2</v>
      </c>
      <c r="M74" s="663">
        <f t="shared" si="14"/>
        <v>3.3000000000000002E-2</v>
      </c>
      <c r="N74" s="663">
        <f t="shared" si="14"/>
        <v>0.04</v>
      </c>
      <c r="O74" s="663">
        <f t="shared" si="14"/>
        <v>0.156</v>
      </c>
      <c r="P74" s="670">
        <f t="shared" si="9"/>
        <v>1</v>
      </c>
      <c r="S74" s="669">
        <f t="shared" si="4"/>
        <v>2061</v>
      </c>
      <c r="T74" s="671">
        <v>0</v>
      </c>
      <c r="U74" s="671">
        <v>5</v>
      </c>
      <c r="V74" s="672">
        <f t="shared" si="5"/>
        <v>0</v>
      </c>
      <c r="W74" s="673">
        <v>1</v>
      </c>
      <c r="X74" s="674">
        <f t="shared" si="10"/>
        <v>0</v>
      </c>
    </row>
    <row r="75" spans="2:24">
      <c r="B75" s="669">
        <f t="shared" si="11"/>
        <v>2062</v>
      </c>
      <c r="C75" s="675"/>
      <c r="D75" s="662">
        <v>1</v>
      </c>
      <c r="E75" s="663">
        <f t="shared" si="14"/>
        <v>0.435</v>
      </c>
      <c r="F75" s="663">
        <f t="shared" si="14"/>
        <v>0.129</v>
      </c>
      <c r="G75" s="663">
        <f t="shared" si="13"/>
        <v>0</v>
      </c>
      <c r="H75" s="663">
        <f t="shared" si="14"/>
        <v>0</v>
      </c>
      <c r="I75" s="663">
        <f t="shared" si="13"/>
        <v>9.9000000000000005E-2</v>
      </c>
      <c r="J75" s="663">
        <f t="shared" si="14"/>
        <v>2.7E-2</v>
      </c>
      <c r="K75" s="663">
        <f t="shared" si="14"/>
        <v>8.9999999999999993E-3</v>
      </c>
      <c r="L75" s="663">
        <f t="shared" si="14"/>
        <v>7.1999999999999995E-2</v>
      </c>
      <c r="M75" s="663">
        <f t="shared" si="14"/>
        <v>3.3000000000000002E-2</v>
      </c>
      <c r="N75" s="663">
        <f t="shared" si="14"/>
        <v>0.04</v>
      </c>
      <c r="O75" s="663">
        <f t="shared" si="14"/>
        <v>0.156</v>
      </c>
      <c r="P75" s="670">
        <f t="shared" si="9"/>
        <v>1</v>
      </c>
      <c r="S75" s="669">
        <f t="shared" si="4"/>
        <v>2062</v>
      </c>
      <c r="T75" s="671">
        <v>0</v>
      </c>
      <c r="U75" s="671">
        <v>5</v>
      </c>
      <c r="V75" s="672">
        <f t="shared" si="5"/>
        <v>0</v>
      </c>
      <c r="W75" s="673">
        <v>1</v>
      </c>
      <c r="X75" s="674">
        <f t="shared" si="10"/>
        <v>0</v>
      </c>
    </row>
    <row r="76" spans="2:24">
      <c r="B76" s="669">
        <f t="shared" si="11"/>
        <v>2063</v>
      </c>
      <c r="C76" s="675"/>
      <c r="D76" s="662">
        <v>1</v>
      </c>
      <c r="E76" s="663">
        <f t="shared" si="14"/>
        <v>0.435</v>
      </c>
      <c r="F76" s="663">
        <f t="shared" si="14"/>
        <v>0.129</v>
      </c>
      <c r="G76" s="663">
        <f t="shared" si="13"/>
        <v>0</v>
      </c>
      <c r="H76" s="663">
        <f t="shared" si="14"/>
        <v>0</v>
      </c>
      <c r="I76" s="663">
        <f t="shared" si="13"/>
        <v>9.9000000000000005E-2</v>
      </c>
      <c r="J76" s="663">
        <f t="shared" si="14"/>
        <v>2.7E-2</v>
      </c>
      <c r="K76" s="663">
        <f t="shared" si="14"/>
        <v>8.9999999999999993E-3</v>
      </c>
      <c r="L76" s="663">
        <f t="shared" si="14"/>
        <v>7.1999999999999995E-2</v>
      </c>
      <c r="M76" s="663">
        <f t="shared" si="14"/>
        <v>3.3000000000000002E-2</v>
      </c>
      <c r="N76" s="663">
        <f t="shared" si="14"/>
        <v>0.04</v>
      </c>
      <c r="O76" s="663">
        <f t="shared" si="14"/>
        <v>0.156</v>
      </c>
      <c r="P76" s="670">
        <f t="shared" si="9"/>
        <v>1</v>
      </c>
      <c r="S76" s="669">
        <f t="shared" si="4"/>
        <v>2063</v>
      </c>
      <c r="T76" s="671">
        <v>0</v>
      </c>
      <c r="U76" s="671">
        <v>5</v>
      </c>
      <c r="V76" s="672">
        <f t="shared" si="5"/>
        <v>0</v>
      </c>
      <c r="W76" s="673">
        <v>1</v>
      </c>
      <c r="X76" s="674">
        <f t="shared" si="10"/>
        <v>0</v>
      </c>
    </row>
    <row r="77" spans="2:24">
      <c r="B77" s="669">
        <f t="shared" si="11"/>
        <v>2064</v>
      </c>
      <c r="C77" s="675"/>
      <c r="D77" s="662">
        <v>1</v>
      </c>
      <c r="E77" s="663">
        <f t="shared" si="14"/>
        <v>0.435</v>
      </c>
      <c r="F77" s="663">
        <f t="shared" si="14"/>
        <v>0.129</v>
      </c>
      <c r="G77" s="663">
        <f t="shared" si="13"/>
        <v>0</v>
      </c>
      <c r="H77" s="663">
        <f t="shared" si="14"/>
        <v>0</v>
      </c>
      <c r="I77" s="663">
        <f t="shared" si="13"/>
        <v>9.9000000000000005E-2</v>
      </c>
      <c r="J77" s="663">
        <f t="shared" si="14"/>
        <v>2.7E-2</v>
      </c>
      <c r="K77" s="663">
        <f t="shared" si="14"/>
        <v>8.9999999999999993E-3</v>
      </c>
      <c r="L77" s="663">
        <f t="shared" si="14"/>
        <v>7.1999999999999995E-2</v>
      </c>
      <c r="M77" s="663">
        <f t="shared" si="14"/>
        <v>3.3000000000000002E-2</v>
      </c>
      <c r="N77" s="663">
        <f t="shared" si="14"/>
        <v>0.04</v>
      </c>
      <c r="O77" s="663">
        <f t="shared" si="14"/>
        <v>0.156</v>
      </c>
      <c r="P77" s="670">
        <f t="shared" ref="P77:P93" si="15">SUM(E77:O77)</f>
        <v>1</v>
      </c>
      <c r="S77" s="669">
        <f t="shared" si="4"/>
        <v>2064</v>
      </c>
      <c r="T77" s="671">
        <v>0</v>
      </c>
      <c r="U77" s="671">
        <v>5</v>
      </c>
      <c r="V77" s="672">
        <f t="shared" si="5"/>
        <v>0</v>
      </c>
      <c r="W77" s="673">
        <v>1</v>
      </c>
      <c r="X77" s="674">
        <f t="shared" ref="X77:X93" si="16">V77*W77</f>
        <v>0</v>
      </c>
    </row>
    <row r="78" spans="2:24">
      <c r="B78" s="669">
        <f t="shared" ref="B78:B93" si="17">B77+1</f>
        <v>2065</v>
      </c>
      <c r="C78" s="675"/>
      <c r="D78" s="662">
        <v>1</v>
      </c>
      <c r="E78" s="663">
        <f t="shared" si="14"/>
        <v>0.435</v>
      </c>
      <c r="F78" s="663">
        <f t="shared" si="14"/>
        <v>0.129</v>
      </c>
      <c r="G78" s="663">
        <f t="shared" si="13"/>
        <v>0</v>
      </c>
      <c r="H78" s="663">
        <f t="shared" si="14"/>
        <v>0</v>
      </c>
      <c r="I78" s="663">
        <f t="shared" si="13"/>
        <v>9.9000000000000005E-2</v>
      </c>
      <c r="J78" s="663">
        <f t="shared" si="14"/>
        <v>2.7E-2</v>
      </c>
      <c r="K78" s="663">
        <f t="shared" si="14"/>
        <v>8.9999999999999993E-3</v>
      </c>
      <c r="L78" s="663">
        <f t="shared" si="14"/>
        <v>7.1999999999999995E-2</v>
      </c>
      <c r="M78" s="663">
        <f t="shared" si="14"/>
        <v>3.3000000000000002E-2</v>
      </c>
      <c r="N78" s="663">
        <f t="shared" si="14"/>
        <v>0.04</v>
      </c>
      <c r="O78" s="663">
        <f t="shared" si="14"/>
        <v>0.156</v>
      </c>
      <c r="P78" s="670">
        <f t="shared" si="15"/>
        <v>1</v>
      </c>
      <c r="S78" s="669">
        <f t="shared" ref="S78:S93" si="18">S77+1</f>
        <v>2065</v>
      </c>
      <c r="T78" s="671">
        <v>0</v>
      </c>
      <c r="U78" s="671">
        <v>5</v>
      </c>
      <c r="V78" s="672">
        <f t="shared" si="5"/>
        <v>0</v>
      </c>
      <c r="W78" s="673">
        <v>1</v>
      </c>
      <c r="X78" s="674">
        <f t="shared" si="16"/>
        <v>0</v>
      </c>
    </row>
    <row r="79" spans="2:24">
      <c r="B79" s="669">
        <f t="shared" si="17"/>
        <v>2066</v>
      </c>
      <c r="C79" s="675"/>
      <c r="D79" s="662">
        <v>1</v>
      </c>
      <c r="E79" s="663">
        <f t="shared" si="14"/>
        <v>0.435</v>
      </c>
      <c r="F79" s="663">
        <f t="shared" si="14"/>
        <v>0.129</v>
      </c>
      <c r="G79" s="663">
        <f t="shared" si="14"/>
        <v>0</v>
      </c>
      <c r="H79" s="663">
        <f t="shared" si="14"/>
        <v>0</v>
      </c>
      <c r="I79" s="663">
        <f t="shared" si="14"/>
        <v>9.9000000000000005E-2</v>
      </c>
      <c r="J79" s="663">
        <f t="shared" si="14"/>
        <v>2.7E-2</v>
      </c>
      <c r="K79" s="663">
        <f t="shared" si="14"/>
        <v>8.9999999999999993E-3</v>
      </c>
      <c r="L79" s="663">
        <f t="shared" si="14"/>
        <v>7.1999999999999995E-2</v>
      </c>
      <c r="M79" s="663">
        <f t="shared" si="14"/>
        <v>3.3000000000000002E-2</v>
      </c>
      <c r="N79" s="663">
        <f t="shared" si="14"/>
        <v>0.04</v>
      </c>
      <c r="O79" s="663">
        <f t="shared" si="14"/>
        <v>0.156</v>
      </c>
      <c r="P79" s="670">
        <f t="shared" si="15"/>
        <v>1</v>
      </c>
      <c r="S79" s="669">
        <f t="shared" si="18"/>
        <v>2066</v>
      </c>
      <c r="T79" s="671">
        <v>0</v>
      </c>
      <c r="U79" s="671">
        <v>5</v>
      </c>
      <c r="V79" s="672">
        <f t="shared" ref="V79:V93" si="19">T79*U79</f>
        <v>0</v>
      </c>
      <c r="W79" s="673">
        <v>1</v>
      </c>
      <c r="X79" s="674">
        <f t="shared" si="16"/>
        <v>0</v>
      </c>
    </row>
    <row r="80" spans="2:24">
      <c r="B80" s="669">
        <f t="shared" si="17"/>
        <v>2067</v>
      </c>
      <c r="C80" s="675"/>
      <c r="D80" s="662">
        <v>1</v>
      </c>
      <c r="E80" s="663">
        <f t="shared" si="14"/>
        <v>0.435</v>
      </c>
      <c r="F80" s="663">
        <f t="shared" si="14"/>
        <v>0.129</v>
      </c>
      <c r="G80" s="663">
        <f t="shared" si="14"/>
        <v>0</v>
      </c>
      <c r="H80" s="663">
        <f t="shared" si="14"/>
        <v>0</v>
      </c>
      <c r="I80" s="663">
        <f t="shared" si="14"/>
        <v>9.9000000000000005E-2</v>
      </c>
      <c r="J80" s="663">
        <f t="shared" si="14"/>
        <v>2.7E-2</v>
      </c>
      <c r="K80" s="663">
        <f t="shared" si="14"/>
        <v>8.9999999999999993E-3</v>
      </c>
      <c r="L80" s="663">
        <f t="shared" si="14"/>
        <v>7.1999999999999995E-2</v>
      </c>
      <c r="M80" s="663">
        <f t="shared" si="14"/>
        <v>3.3000000000000002E-2</v>
      </c>
      <c r="N80" s="663">
        <f t="shared" si="14"/>
        <v>0.04</v>
      </c>
      <c r="O80" s="663">
        <f t="shared" si="14"/>
        <v>0.156</v>
      </c>
      <c r="P80" s="670">
        <f t="shared" si="15"/>
        <v>1</v>
      </c>
      <c r="S80" s="669">
        <f t="shared" si="18"/>
        <v>2067</v>
      </c>
      <c r="T80" s="671">
        <v>0</v>
      </c>
      <c r="U80" s="671">
        <v>5</v>
      </c>
      <c r="V80" s="672">
        <f t="shared" si="19"/>
        <v>0</v>
      </c>
      <c r="W80" s="673">
        <v>1</v>
      </c>
      <c r="X80" s="674">
        <f t="shared" si="16"/>
        <v>0</v>
      </c>
    </row>
    <row r="81" spans="2:24">
      <c r="B81" s="669">
        <f t="shared" si="17"/>
        <v>2068</v>
      </c>
      <c r="C81" s="675"/>
      <c r="D81" s="662">
        <v>1</v>
      </c>
      <c r="E81" s="663">
        <f t="shared" si="14"/>
        <v>0.435</v>
      </c>
      <c r="F81" s="663">
        <f t="shared" si="14"/>
        <v>0.129</v>
      </c>
      <c r="G81" s="663">
        <f t="shared" si="14"/>
        <v>0</v>
      </c>
      <c r="H81" s="663">
        <f t="shared" si="14"/>
        <v>0</v>
      </c>
      <c r="I81" s="663">
        <f t="shared" si="14"/>
        <v>9.9000000000000005E-2</v>
      </c>
      <c r="J81" s="663">
        <f t="shared" si="14"/>
        <v>2.7E-2</v>
      </c>
      <c r="K81" s="663">
        <f t="shared" si="14"/>
        <v>8.9999999999999993E-3</v>
      </c>
      <c r="L81" s="663">
        <f t="shared" si="14"/>
        <v>7.1999999999999995E-2</v>
      </c>
      <c r="M81" s="663">
        <f t="shared" si="14"/>
        <v>3.3000000000000002E-2</v>
      </c>
      <c r="N81" s="663">
        <f t="shared" si="14"/>
        <v>0.04</v>
      </c>
      <c r="O81" s="663">
        <f t="shared" si="14"/>
        <v>0.156</v>
      </c>
      <c r="P81" s="670">
        <f t="shared" si="15"/>
        <v>1</v>
      </c>
      <c r="S81" s="669">
        <f t="shared" si="18"/>
        <v>2068</v>
      </c>
      <c r="T81" s="671">
        <v>0</v>
      </c>
      <c r="U81" s="671">
        <v>5</v>
      </c>
      <c r="V81" s="672">
        <f t="shared" si="19"/>
        <v>0</v>
      </c>
      <c r="W81" s="673">
        <v>1</v>
      </c>
      <c r="X81" s="674">
        <f t="shared" si="16"/>
        <v>0</v>
      </c>
    </row>
    <row r="82" spans="2:24">
      <c r="B82" s="669">
        <f t="shared" si="17"/>
        <v>2069</v>
      </c>
      <c r="C82" s="675"/>
      <c r="D82" s="662">
        <v>1</v>
      </c>
      <c r="E82" s="663">
        <f t="shared" si="14"/>
        <v>0.435</v>
      </c>
      <c r="F82" s="663">
        <f t="shared" si="14"/>
        <v>0.129</v>
      </c>
      <c r="G82" s="663">
        <f t="shared" si="14"/>
        <v>0</v>
      </c>
      <c r="H82" s="663">
        <f t="shared" si="14"/>
        <v>0</v>
      </c>
      <c r="I82" s="663">
        <f t="shared" si="14"/>
        <v>9.9000000000000005E-2</v>
      </c>
      <c r="J82" s="663">
        <f t="shared" si="14"/>
        <v>2.7E-2</v>
      </c>
      <c r="K82" s="663">
        <f t="shared" si="14"/>
        <v>8.9999999999999993E-3</v>
      </c>
      <c r="L82" s="663">
        <f t="shared" si="14"/>
        <v>7.1999999999999995E-2</v>
      </c>
      <c r="M82" s="663">
        <f t="shared" si="14"/>
        <v>3.3000000000000002E-2</v>
      </c>
      <c r="N82" s="663">
        <f t="shared" si="14"/>
        <v>0.04</v>
      </c>
      <c r="O82" s="663">
        <f t="shared" si="14"/>
        <v>0.156</v>
      </c>
      <c r="P82" s="670">
        <f t="shared" si="15"/>
        <v>1</v>
      </c>
      <c r="S82" s="669">
        <f t="shared" si="18"/>
        <v>2069</v>
      </c>
      <c r="T82" s="671">
        <v>0</v>
      </c>
      <c r="U82" s="671">
        <v>5</v>
      </c>
      <c r="V82" s="672">
        <f t="shared" si="19"/>
        <v>0</v>
      </c>
      <c r="W82" s="673">
        <v>1</v>
      </c>
      <c r="X82" s="674">
        <f t="shared" si="16"/>
        <v>0</v>
      </c>
    </row>
    <row r="83" spans="2:24">
      <c r="B83" s="669">
        <f t="shared" si="17"/>
        <v>2070</v>
      </c>
      <c r="C83" s="675"/>
      <c r="D83" s="662">
        <v>1</v>
      </c>
      <c r="E83" s="663">
        <f t="shared" ref="E83:O93" si="20">E$8</f>
        <v>0.435</v>
      </c>
      <c r="F83" s="663">
        <f t="shared" si="20"/>
        <v>0.129</v>
      </c>
      <c r="G83" s="663">
        <f t="shared" si="14"/>
        <v>0</v>
      </c>
      <c r="H83" s="663">
        <f t="shared" si="20"/>
        <v>0</v>
      </c>
      <c r="I83" s="663">
        <f t="shared" si="14"/>
        <v>9.9000000000000005E-2</v>
      </c>
      <c r="J83" s="663">
        <f t="shared" si="20"/>
        <v>2.7E-2</v>
      </c>
      <c r="K83" s="663">
        <f t="shared" si="20"/>
        <v>8.9999999999999993E-3</v>
      </c>
      <c r="L83" s="663">
        <f t="shared" si="20"/>
        <v>7.1999999999999995E-2</v>
      </c>
      <c r="M83" s="663">
        <f t="shared" si="20"/>
        <v>3.3000000000000002E-2</v>
      </c>
      <c r="N83" s="663">
        <f t="shared" si="20"/>
        <v>0.04</v>
      </c>
      <c r="O83" s="663">
        <f t="shared" si="20"/>
        <v>0.156</v>
      </c>
      <c r="P83" s="670">
        <f t="shared" si="15"/>
        <v>1</v>
      </c>
      <c r="S83" s="669">
        <f t="shared" si="18"/>
        <v>2070</v>
      </c>
      <c r="T83" s="671">
        <v>0</v>
      </c>
      <c r="U83" s="671">
        <v>5</v>
      </c>
      <c r="V83" s="672">
        <f t="shared" si="19"/>
        <v>0</v>
      </c>
      <c r="W83" s="673">
        <v>1</v>
      </c>
      <c r="X83" s="674">
        <f t="shared" si="16"/>
        <v>0</v>
      </c>
    </row>
    <row r="84" spans="2:24">
      <c r="B84" s="669">
        <f t="shared" si="17"/>
        <v>2071</v>
      </c>
      <c r="C84" s="675"/>
      <c r="D84" s="662">
        <v>1</v>
      </c>
      <c r="E84" s="663">
        <f t="shared" si="20"/>
        <v>0.435</v>
      </c>
      <c r="F84" s="663">
        <f t="shared" si="20"/>
        <v>0.129</v>
      </c>
      <c r="G84" s="663">
        <f t="shared" si="14"/>
        <v>0</v>
      </c>
      <c r="H84" s="663">
        <f t="shared" si="20"/>
        <v>0</v>
      </c>
      <c r="I84" s="663">
        <f t="shared" si="14"/>
        <v>9.9000000000000005E-2</v>
      </c>
      <c r="J84" s="663">
        <f t="shared" si="20"/>
        <v>2.7E-2</v>
      </c>
      <c r="K84" s="663">
        <f t="shared" si="20"/>
        <v>8.9999999999999993E-3</v>
      </c>
      <c r="L84" s="663">
        <f t="shared" si="20"/>
        <v>7.1999999999999995E-2</v>
      </c>
      <c r="M84" s="663">
        <f t="shared" si="20"/>
        <v>3.3000000000000002E-2</v>
      </c>
      <c r="N84" s="663">
        <f t="shared" si="20"/>
        <v>0.04</v>
      </c>
      <c r="O84" s="663">
        <f t="shared" si="20"/>
        <v>0.156</v>
      </c>
      <c r="P84" s="670">
        <f t="shared" si="15"/>
        <v>1</v>
      </c>
      <c r="S84" s="669">
        <f t="shared" si="18"/>
        <v>2071</v>
      </c>
      <c r="T84" s="671">
        <v>0</v>
      </c>
      <c r="U84" s="671">
        <v>5</v>
      </c>
      <c r="V84" s="672">
        <f t="shared" si="19"/>
        <v>0</v>
      </c>
      <c r="W84" s="673">
        <v>1</v>
      </c>
      <c r="X84" s="674">
        <f t="shared" si="16"/>
        <v>0</v>
      </c>
    </row>
    <row r="85" spans="2:24">
      <c r="B85" s="669">
        <f t="shared" si="17"/>
        <v>2072</v>
      </c>
      <c r="C85" s="675"/>
      <c r="D85" s="662">
        <v>1</v>
      </c>
      <c r="E85" s="663">
        <f t="shared" si="20"/>
        <v>0.435</v>
      </c>
      <c r="F85" s="663">
        <f t="shared" si="20"/>
        <v>0.129</v>
      </c>
      <c r="G85" s="663">
        <f t="shared" si="14"/>
        <v>0</v>
      </c>
      <c r="H85" s="663">
        <f t="shared" si="20"/>
        <v>0</v>
      </c>
      <c r="I85" s="663">
        <f t="shared" si="14"/>
        <v>9.9000000000000005E-2</v>
      </c>
      <c r="J85" s="663">
        <f t="shared" si="20"/>
        <v>2.7E-2</v>
      </c>
      <c r="K85" s="663">
        <f t="shared" si="20"/>
        <v>8.9999999999999993E-3</v>
      </c>
      <c r="L85" s="663">
        <f t="shared" si="20"/>
        <v>7.1999999999999995E-2</v>
      </c>
      <c r="M85" s="663">
        <f t="shared" si="20"/>
        <v>3.3000000000000002E-2</v>
      </c>
      <c r="N85" s="663">
        <f t="shared" si="20"/>
        <v>0.04</v>
      </c>
      <c r="O85" s="663">
        <f t="shared" si="20"/>
        <v>0.156</v>
      </c>
      <c r="P85" s="670">
        <f t="shared" si="15"/>
        <v>1</v>
      </c>
      <c r="S85" s="669">
        <f t="shared" si="18"/>
        <v>2072</v>
      </c>
      <c r="T85" s="671">
        <v>0</v>
      </c>
      <c r="U85" s="671">
        <v>5</v>
      </c>
      <c r="V85" s="672">
        <f t="shared" si="19"/>
        <v>0</v>
      </c>
      <c r="W85" s="673">
        <v>1</v>
      </c>
      <c r="X85" s="674">
        <f t="shared" si="16"/>
        <v>0</v>
      </c>
    </row>
    <row r="86" spans="2:24">
      <c r="B86" s="669">
        <f t="shared" si="17"/>
        <v>2073</v>
      </c>
      <c r="C86" s="675"/>
      <c r="D86" s="662">
        <v>1</v>
      </c>
      <c r="E86" s="663">
        <f t="shared" si="20"/>
        <v>0.435</v>
      </c>
      <c r="F86" s="663">
        <f t="shared" si="20"/>
        <v>0.129</v>
      </c>
      <c r="G86" s="663">
        <f t="shared" si="14"/>
        <v>0</v>
      </c>
      <c r="H86" s="663">
        <f t="shared" si="20"/>
        <v>0</v>
      </c>
      <c r="I86" s="663">
        <f t="shared" si="14"/>
        <v>9.9000000000000005E-2</v>
      </c>
      <c r="J86" s="663">
        <f t="shared" si="20"/>
        <v>2.7E-2</v>
      </c>
      <c r="K86" s="663">
        <f t="shared" si="20"/>
        <v>8.9999999999999993E-3</v>
      </c>
      <c r="L86" s="663">
        <f t="shared" si="20"/>
        <v>7.1999999999999995E-2</v>
      </c>
      <c r="M86" s="663">
        <f t="shared" si="20"/>
        <v>3.3000000000000002E-2</v>
      </c>
      <c r="N86" s="663">
        <f t="shared" si="20"/>
        <v>0.04</v>
      </c>
      <c r="O86" s="663">
        <f t="shared" si="20"/>
        <v>0.156</v>
      </c>
      <c r="P86" s="670">
        <f t="shared" si="15"/>
        <v>1</v>
      </c>
      <c r="S86" s="669">
        <f t="shared" si="18"/>
        <v>2073</v>
      </c>
      <c r="T86" s="671">
        <v>0</v>
      </c>
      <c r="U86" s="671">
        <v>5</v>
      </c>
      <c r="V86" s="672">
        <f t="shared" si="19"/>
        <v>0</v>
      </c>
      <c r="W86" s="673">
        <v>1</v>
      </c>
      <c r="X86" s="674">
        <f t="shared" si="16"/>
        <v>0</v>
      </c>
    </row>
    <row r="87" spans="2:24">
      <c r="B87" s="669">
        <f t="shared" si="17"/>
        <v>2074</v>
      </c>
      <c r="C87" s="675"/>
      <c r="D87" s="662">
        <v>1</v>
      </c>
      <c r="E87" s="663">
        <f t="shared" si="20"/>
        <v>0.435</v>
      </c>
      <c r="F87" s="663">
        <f t="shared" si="20"/>
        <v>0.129</v>
      </c>
      <c r="G87" s="663">
        <f t="shared" si="14"/>
        <v>0</v>
      </c>
      <c r="H87" s="663">
        <f t="shared" si="20"/>
        <v>0</v>
      </c>
      <c r="I87" s="663">
        <f t="shared" si="14"/>
        <v>9.9000000000000005E-2</v>
      </c>
      <c r="J87" s="663">
        <f t="shared" si="20"/>
        <v>2.7E-2</v>
      </c>
      <c r="K87" s="663">
        <f t="shared" si="20"/>
        <v>8.9999999999999993E-3</v>
      </c>
      <c r="L87" s="663">
        <f t="shared" si="20"/>
        <v>7.1999999999999995E-2</v>
      </c>
      <c r="M87" s="663">
        <f t="shared" si="20"/>
        <v>3.3000000000000002E-2</v>
      </c>
      <c r="N87" s="663">
        <f t="shared" si="20"/>
        <v>0.04</v>
      </c>
      <c r="O87" s="663">
        <f t="shared" si="20"/>
        <v>0.156</v>
      </c>
      <c r="P87" s="670">
        <f t="shared" si="15"/>
        <v>1</v>
      </c>
      <c r="S87" s="669">
        <f t="shared" si="18"/>
        <v>2074</v>
      </c>
      <c r="T87" s="671">
        <v>0</v>
      </c>
      <c r="U87" s="671">
        <v>5</v>
      </c>
      <c r="V87" s="672">
        <f t="shared" si="19"/>
        <v>0</v>
      </c>
      <c r="W87" s="673">
        <v>1</v>
      </c>
      <c r="X87" s="674">
        <f t="shared" si="16"/>
        <v>0</v>
      </c>
    </row>
    <row r="88" spans="2:24">
      <c r="B88" s="669">
        <f t="shared" si="17"/>
        <v>2075</v>
      </c>
      <c r="C88" s="675"/>
      <c r="D88" s="662">
        <v>1</v>
      </c>
      <c r="E88" s="663">
        <f t="shared" si="20"/>
        <v>0.435</v>
      </c>
      <c r="F88" s="663">
        <f t="shared" si="20"/>
        <v>0.129</v>
      </c>
      <c r="G88" s="663">
        <f t="shared" si="14"/>
        <v>0</v>
      </c>
      <c r="H88" s="663">
        <f t="shared" si="20"/>
        <v>0</v>
      </c>
      <c r="I88" s="663">
        <f t="shared" si="14"/>
        <v>9.9000000000000005E-2</v>
      </c>
      <c r="J88" s="663">
        <f t="shared" si="20"/>
        <v>2.7E-2</v>
      </c>
      <c r="K88" s="663">
        <f t="shared" si="20"/>
        <v>8.9999999999999993E-3</v>
      </c>
      <c r="L88" s="663">
        <f t="shared" si="20"/>
        <v>7.1999999999999995E-2</v>
      </c>
      <c r="M88" s="663">
        <f t="shared" si="20"/>
        <v>3.3000000000000002E-2</v>
      </c>
      <c r="N88" s="663">
        <f t="shared" si="20"/>
        <v>0.04</v>
      </c>
      <c r="O88" s="663">
        <f t="shared" si="20"/>
        <v>0.156</v>
      </c>
      <c r="P88" s="670">
        <f t="shared" si="15"/>
        <v>1</v>
      </c>
      <c r="S88" s="669">
        <f t="shared" si="18"/>
        <v>2075</v>
      </c>
      <c r="T88" s="671">
        <v>0</v>
      </c>
      <c r="U88" s="671">
        <v>5</v>
      </c>
      <c r="V88" s="672">
        <f t="shared" si="19"/>
        <v>0</v>
      </c>
      <c r="W88" s="673">
        <v>1</v>
      </c>
      <c r="X88" s="674">
        <f t="shared" si="16"/>
        <v>0</v>
      </c>
    </row>
    <row r="89" spans="2:24">
      <c r="B89" s="669">
        <f t="shared" si="17"/>
        <v>2076</v>
      </c>
      <c r="C89" s="675"/>
      <c r="D89" s="662">
        <v>1</v>
      </c>
      <c r="E89" s="663">
        <f t="shared" si="20"/>
        <v>0.435</v>
      </c>
      <c r="F89" s="663">
        <f t="shared" si="20"/>
        <v>0.129</v>
      </c>
      <c r="G89" s="663">
        <f t="shared" si="20"/>
        <v>0</v>
      </c>
      <c r="H89" s="663">
        <f t="shared" si="20"/>
        <v>0</v>
      </c>
      <c r="I89" s="663">
        <f t="shared" si="20"/>
        <v>9.9000000000000005E-2</v>
      </c>
      <c r="J89" s="663">
        <f t="shared" si="20"/>
        <v>2.7E-2</v>
      </c>
      <c r="K89" s="663">
        <f t="shared" si="20"/>
        <v>8.9999999999999993E-3</v>
      </c>
      <c r="L89" s="663">
        <f t="shared" si="20"/>
        <v>7.1999999999999995E-2</v>
      </c>
      <c r="M89" s="663">
        <f t="shared" si="20"/>
        <v>3.3000000000000002E-2</v>
      </c>
      <c r="N89" s="663">
        <f t="shared" si="20"/>
        <v>0.04</v>
      </c>
      <c r="O89" s="663">
        <f t="shared" si="20"/>
        <v>0.156</v>
      </c>
      <c r="P89" s="670">
        <f t="shared" si="15"/>
        <v>1</v>
      </c>
      <c r="S89" s="669">
        <f t="shared" si="18"/>
        <v>2076</v>
      </c>
      <c r="T89" s="671">
        <v>0</v>
      </c>
      <c r="U89" s="671">
        <v>5</v>
      </c>
      <c r="V89" s="672">
        <f t="shared" si="19"/>
        <v>0</v>
      </c>
      <c r="W89" s="673">
        <v>1</v>
      </c>
      <c r="X89" s="674">
        <f t="shared" si="16"/>
        <v>0</v>
      </c>
    </row>
    <row r="90" spans="2:24">
      <c r="B90" s="669">
        <f t="shared" si="17"/>
        <v>2077</v>
      </c>
      <c r="C90" s="675"/>
      <c r="D90" s="662">
        <v>1</v>
      </c>
      <c r="E90" s="663">
        <f t="shared" si="20"/>
        <v>0.435</v>
      </c>
      <c r="F90" s="663">
        <f t="shared" si="20"/>
        <v>0.129</v>
      </c>
      <c r="G90" s="663">
        <f t="shared" si="20"/>
        <v>0</v>
      </c>
      <c r="H90" s="663">
        <f t="shared" si="20"/>
        <v>0</v>
      </c>
      <c r="I90" s="663">
        <f t="shared" si="20"/>
        <v>9.9000000000000005E-2</v>
      </c>
      <c r="J90" s="663">
        <f t="shared" si="20"/>
        <v>2.7E-2</v>
      </c>
      <c r="K90" s="663">
        <f t="shared" si="20"/>
        <v>8.9999999999999993E-3</v>
      </c>
      <c r="L90" s="663">
        <f t="shared" si="20"/>
        <v>7.1999999999999995E-2</v>
      </c>
      <c r="M90" s="663">
        <f t="shared" si="20"/>
        <v>3.3000000000000002E-2</v>
      </c>
      <c r="N90" s="663">
        <f t="shared" si="20"/>
        <v>0.04</v>
      </c>
      <c r="O90" s="663">
        <f t="shared" si="20"/>
        <v>0.156</v>
      </c>
      <c r="P90" s="670">
        <f t="shared" si="15"/>
        <v>1</v>
      </c>
      <c r="S90" s="669">
        <f t="shared" si="18"/>
        <v>2077</v>
      </c>
      <c r="T90" s="671">
        <v>0</v>
      </c>
      <c r="U90" s="671">
        <v>5</v>
      </c>
      <c r="V90" s="672">
        <f t="shared" si="19"/>
        <v>0</v>
      </c>
      <c r="W90" s="673">
        <v>1</v>
      </c>
      <c r="X90" s="674">
        <f t="shared" si="16"/>
        <v>0</v>
      </c>
    </row>
    <row r="91" spans="2:24">
      <c r="B91" s="669">
        <f t="shared" si="17"/>
        <v>2078</v>
      </c>
      <c r="C91" s="675"/>
      <c r="D91" s="662">
        <v>1</v>
      </c>
      <c r="E91" s="663">
        <f t="shared" si="20"/>
        <v>0.435</v>
      </c>
      <c r="F91" s="663">
        <f t="shared" si="20"/>
        <v>0.129</v>
      </c>
      <c r="G91" s="663">
        <f t="shared" si="20"/>
        <v>0</v>
      </c>
      <c r="H91" s="663">
        <f t="shared" si="20"/>
        <v>0</v>
      </c>
      <c r="I91" s="663">
        <f t="shared" si="20"/>
        <v>9.9000000000000005E-2</v>
      </c>
      <c r="J91" s="663">
        <f t="shared" si="20"/>
        <v>2.7E-2</v>
      </c>
      <c r="K91" s="663">
        <f t="shared" si="20"/>
        <v>8.9999999999999993E-3</v>
      </c>
      <c r="L91" s="663">
        <f t="shared" si="20"/>
        <v>7.1999999999999995E-2</v>
      </c>
      <c r="M91" s="663">
        <f t="shared" si="20"/>
        <v>3.3000000000000002E-2</v>
      </c>
      <c r="N91" s="663">
        <f t="shared" si="20"/>
        <v>0.04</v>
      </c>
      <c r="O91" s="663">
        <f t="shared" si="20"/>
        <v>0.156</v>
      </c>
      <c r="P91" s="670">
        <f t="shared" si="15"/>
        <v>1</v>
      </c>
      <c r="S91" s="669">
        <f t="shared" si="18"/>
        <v>2078</v>
      </c>
      <c r="T91" s="671">
        <v>0</v>
      </c>
      <c r="U91" s="671">
        <v>5</v>
      </c>
      <c r="V91" s="672">
        <f t="shared" si="19"/>
        <v>0</v>
      </c>
      <c r="W91" s="673">
        <v>1</v>
      </c>
      <c r="X91" s="674">
        <f t="shared" si="16"/>
        <v>0</v>
      </c>
    </row>
    <row r="92" spans="2:24">
      <c r="B92" s="669">
        <f t="shared" si="17"/>
        <v>2079</v>
      </c>
      <c r="C92" s="675"/>
      <c r="D92" s="662">
        <v>1</v>
      </c>
      <c r="E92" s="663">
        <f t="shared" si="20"/>
        <v>0.435</v>
      </c>
      <c r="F92" s="663">
        <f t="shared" si="20"/>
        <v>0.129</v>
      </c>
      <c r="G92" s="663">
        <f t="shared" si="20"/>
        <v>0</v>
      </c>
      <c r="H92" s="663">
        <f t="shared" si="20"/>
        <v>0</v>
      </c>
      <c r="I92" s="663">
        <f t="shared" si="20"/>
        <v>9.9000000000000005E-2</v>
      </c>
      <c r="J92" s="663">
        <f t="shared" si="20"/>
        <v>2.7E-2</v>
      </c>
      <c r="K92" s="663">
        <f t="shared" si="20"/>
        <v>8.9999999999999993E-3</v>
      </c>
      <c r="L92" s="663">
        <f t="shared" si="20"/>
        <v>7.1999999999999995E-2</v>
      </c>
      <c r="M92" s="663">
        <f t="shared" si="20"/>
        <v>3.3000000000000002E-2</v>
      </c>
      <c r="N92" s="663">
        <f t="shared" si="20"/>
        <v>0.04</v>
      </c>
      <c r="O92" s="663">
        <f t="shared" si="20"/>
        <v>0.156</v>
      </c>
      <c r="P92" s="670">
        <f t="shared" si="15"/>
        <v>1</v>
      </c>
      <c r="S92" s="669">
        <f t="shared" si="18"/>
        <v>2079</v>
      </c>
      <c r="T92" s="671">
        <v>0</v>
      </c>
      <c r="U92" s="671">
        <v>5</v>
      </c>
      <c r="V92" s="672">
        <f t="shared" si="19"/>
        <v>0</v>
      </c>
      <c r="W92" s="673">
        <v>1</v>
      </c>
      <c r="X92" s="674">
        <f t="shared" si="16"/>
        <v>0</v>
      </c>
    </row>
    <row r="93" spans="2:24" ht="13.5" thickBot="1">
      <c r="B93" s="676">
        <f t="shared" si="17"/>
        <v>2080</v>
      </c>
      <c r="C93" s="677"/>
      <c r="D93" s="662">
        <v>1</v>
      </c>
      <c r="E93" s="678">
        <f t="shared" si="20"/>
        <v>0.435</v>
      </c>
      <c r="F93" s="678">
        <f t="shared" si="20"/>
        <v>0.129</v>
      </c>
      <c r="G93" s="678">
        <f t="shared" si="20"/>
        <v>0</v>
      </c>
      <c r="H93" s="678">
        <f t="shared" si="20"/>
        <v>0</v>
      </c>
      <c r="I93" s="678">
        <f t="shared" si="20"/>
        <v>9.9000000000000005E-2</v>
      </c>
      <c r="J93" s="678">
        <f t="shared" si="20"/>
        <v>2.7E-2</v>
      </c>
      <c r="K93" s="678">
        <f t="shared" si="20"/>
        <v>8.9999999999999993E-3</v>
      </c>
      <c r="L93" s="678">
        <f t="shared" si="20"/>
        <v>7.1999999999999995E-2</v>
      </c>
      <c r="M93" s="678">
        <f t="shared" si="20"/>
        <v>3.3000000000000002E-2</v>
      </c>
      <c r="N93" s="678">
        <f t="shared" si="20"/>
        <v>0.04</v>
      </c>
      <c r="O93" s="679">
        <f t="shared" si="20"/>
        <v>0.156</v>
      </c>
      <c r="P93" s="680">
        <f t="shared" si="15"/>
        <v>1</v>
      </c>
      <c r="S93" s="676">
        <f t="shared" si="18"/>
        <v>2080</v>
      </c>
      <c r="T93" s="681">
        <v>0</v>
      </c>
      <c r="U93" s="682">
        <v>5</v>
      </c>
      <c r="V93" s="683">
        <f t="shared" si="19"/>
        <v>0</v>
      </c>
      <c r="W93" s="684">
        <v>1</v>
      </c>
      <c r="X93" s="68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06" t="str">
        <f>city</f>
        <v>Samarinda</v>
      </c>
      <c r="J2" s="807"/>
      <c r="K2" s="807"/>
      <c r="L2" s="807"/>
      <c r="M2" s="807"/>
      <c r="N2" s="807"/>
      <c r="O2" s="807"/>
    </row>
    <row r="3" spans="2:16" ht="16.5" thickBot="1">
      <c r="C3" s="4"/>
      <c r="H3" s="5" t="s">
        <v>276</v>
      </c>
      <c r="I3" s="806" t="str">
        <f>province</f>
        <v>Kalimantan Timur</v>
      </c>
      <c r="J3" s="807"/>
      <c r="K3" s="807"/>
      <c r="L3" s="807"/>
      <c r="M3" s="807"/>
      <c r="N3" s="807"/>
      <c r="O3" s="807"/>
    </row>
    <row r="4" spans="2:16" ht="16.5" thickBot="1">
      <c r="D4" s="4"/>
      <c r="E4" s="4"/>
      <c r="H4" s="5" t="s">
        <v>30</v>
      </c>
      <c r="I4" s="806" t="str">
        <f>country</f>
        <v>Indonesia</v>
      </c>
      <c r="J4" s="807"/>
      <c r="K4" s="807"/>
      <c r="L4" s="807"/>
      <c r="M4" s="807"/>
      <c r="N4" s="807"/>
      <c r="O4" s="807"/>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88" t="s">
        <v>32</v>
      </c>
      <c r="D10" s="789"/>
      <c r="E10" s="789"/>
      <c r="F10" s="789"/>
      <c r="G10" s="789"/>
      <c r="H10" s="789"/>
      <c r="I10" s="789"/>
      <c r="J10" s="789"/>
      <c r="K10" s="789"/>
      <c r="L10" s="789"/>
      <c r="M10" s="789"/>
      <c r="N10" s="789"/>
      <c r="O10" s="789"/>
      <c r="P10" s="790"/>
    </row>
    <row r="11" spans="2:16" ht="13.5" customHeight="1" thickBot="1">
      <c r="C11" s="792" t="s">
        <v>228</v>
      </c>
      <c r="D11" s="792" t="s">
        <v>262</v>
      </c>
      <c r="E11" s="792" t="s">
        <v>267</v>
      </c>
      <c r="F11" s="792" t="s">
        <v>261</v>
      </c>
      <c r="G11" s="792" t="s">
        <v>2</v>
      </c>
      <c r="H11" s="792" t="s">
        <v>16</v>
      </c>
      <c r="I11" s="792" t="s">
        <v>229</v>
      </c>
      <c r="J11" s="808" t="s">
        <v>273</v>
      </c>
      <c r="K11" s="809"/>
      <c r="L11" s="809"/>
      <c r="M11" s="810"/>
      <c r="N11" s="792" t="s">
        <v>146</v>
      </c>
      <c r="O11" s="792" t="s">
        <v>210</v>
      </c>
      <c r="P11" s="791" t="s">
        <v>308</v>
      </c>
    </row>
    <row r="12" spans="2:16" s="1" customFormat="1">
      <c r="B12" s="400" t="s">
        <v>1</v>
      </c>
      <c r="C12" s="811"/>
      <c r="D12" s="811"/>
      <c r="E12" s="811"/>
      <c r="F12" s="811"/>
      <c r="G12" s="811"/>
      <c r="H12" s="811"/>
      <c r="I12" s="811"/>
      <c r="J12" s="404" t="s">
        <v>230</v>
      </c>
      <c r="K12" s="404" t="s">
        <v>231</v>
      </c>
      <c r="L12" s="404" t="s">
        <v>232</v>
      </c>
      <c r="M12" s="400" t="s">
        <v>233</v>
      </c>
      <c r="N12" s="811"/>
      <c r="O12" s="811"/>
      <c r="P12" s="811"/>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13.983317870940001</v>
      </c>
      <c r="D14" s="599">
        <f>Activity!$C13*Activity!$D13*Activity!F13</f>
        <v>4.146777023796</v>
      </c>
      <c r="E14" s="599">
        <f>Activity!$C13*Activity!$D13*Activity!G13</f>
        <v>0</v>
      </c>
      <c r="F14" s="599">
        <f>Activity!$C13*Activity!$D13*Activity!H13</f>
        <v>0</v>
      </c>
      <c r="G14" s="599">
        <f>Activity!$C13*Activity!$D13*Activity!I13</f>
        <v>3.1824102740760001</v>
      </c>
      <c r="H14" s="599">
        <f>Activity!$C13*Activity!$D13*Activity!J13</f>
        <v>0.86793007474799999</v>
      </c>
      <c r="I14" s="599">
        <f>Activity!$C13*Activity!$D13*Activity!K13</f>
        <v>0.289310024916</v>
      </c>
      <c r="J14" s="599">
        <f>Activity!$C13*Activity!$D13*Activity!L13</f>
        <v>2.314480199328</v>
      </c>
      <c r="K14" s="600">
        <f>Activity!$C13*Activity!$D13*Activity!M13</f>
        <v>1.060803424692</v>
      </c>
      <c r="L14" s="600">
        <f>Activity!$C13*Activity!$D13*Activity!N13</f>
        <v>1.28582233296</v>
      </c>
      <c r="M14" s="599">
        <f>Activity!$C13*Activity!$D13*Activity!O13</f>
        <v>5.0147070985440001</v>
      </c>
      <c r="N14" s="447">
        <v>0</v>
      </c>
      <c r="O14" s="607">
        <f>Activity!C13*Activity!D13</f>
        <v>32.145558324</v>
      </c>
      <c r="P14" s="608">
        <f>Activity!X13</f>
        <v>0</v>
      </c>
    </row>
    <row r="15" spans="2:16">
      <c r="B15" s="49">
        <f>B14+1</f>
        <v>2001</v>
      </c>
      <c r="C15" s="601">
        <f>Activity!$C14*Activity!$D14*Activity!E14</f>
        <v>14.26329474768</v>
      </c>
      <c r="D15" s="602">
        <f>Activity!$C14*Activity!$D14*Activity!F14</f>
        <v>4.2298046493120003</v>
      </c>
      <c r="E15" s="600">
        <f>Activity!$C14*Activity!$D14*Activity!G14</f>
        <v>0</v>
      </c>
      <c r="F15" s="602">
        <f>Activity!$C14*Activity!$D14*Activity!H14</f>
        <v>0</v>
      </c>
      <c r="G15" s="602">
        <f>Activity!$C14*Activity!$D14*Activity!I14</f>
        <v>3.2461291494720004</v>
      </c>
      <c r="H15" s="602">
        <f>Activity!$C14*Activity!$D14*Activity!J14</f>
        <v>0.88530794985600003</v>
      </c>
      <c r="I15" s="602">
        <f>Activity!$C14*Activity!$D14*Activity!K14</f>
        <v>0.29510264995199997</v>
      </c>
      <c r="J15" s="603">
        <f>Activity!$C14*Activity!$D14*Activity!L14</f>
        <v>2.3608211996159998</v>
      </c>
      <c r="K15" s="602">
        <f>Activity!$C14*Activity!$D14*Activity!M14</f>
        <v>1.0820430498240001</v>
      </c>
      <c r="L15" s="602">
        <f>Activity!$C14*Activity!$D14*Activity!N14</f>
        <v>1.31156733312</v>
      </c>
      <c r="M15" s="600">
        <f>Activity!$C14*Activity!$D14*Activity!O14</f>
        <v>5.1151125991680004</v>
      </c>
      <c r="N15" s="448">
        <v>0</v>
      </c>
      <c r="O15" s="602">
        <f>Activity!C14*Activity!D14</f>
        <v>32.789183328</v>
      </c>
      <c r="P15" s="609">
        <f>Activity!X14</f>
        <v>0</v>
      </c>
    </row>
    <row r="16" spans="2:16">
      <c r="B16" s="7">
        <f t="shared" ref="B16:B21" si="0">B15+1</f>
        <v>2002</v>
      </c>
      <c r="C16" s="601">
        <f>Activity!$C15*Activity!$D15*Activity!E15</f>
        <v>14.588616026160002</v>
      </c>
      <c r="D16" s="602">
        <f>Activity!$C15*Activity!$D15*Activity!F15</f>
        <v>4.3262792353440007</v>
      </c>
      <c r="E16" s="600">
        <f>Activity!$C15*Activity!$D15*Activity!G15</f>
        <v>0</v>
      </c>
      <c r="F16" s="602">
        <f>Activity!$C15*Activity!$D15*Activity!H15</f>
        <v>0</v>
      </c>
      <c r="G16" s="602">
        <f>Activity!$C15*Activity!$D15*Activity!I15</f>
        <v>3.3201677852640006</v>
      </c>
      <c r="H16" s="602">
        <f>Activity!$C15*Activity!$D15*Activity!J15</f>
        <v>0.90550030507200008</v>
      </c>
      <c r="I16" s="602">
        <f>Activity!$C15*Activity!$D15*Activity!K15</f>
        <v>0.30183343502400001</v>
      </c>
      <c r="J16" s="603">
        <f>Activity!$C15*Activity!$D15*Activity!L15</f>
        <v>2.4146674801920001</v>
      </c>
      <c r="K16" s="602">
        <f>Activity!$C15*Activity!$D15*Activity!M15</f>
        <v>1.1067225950880002</v>
      </c>
      <c r="L16" s="602">
        <f>Activity!$C15*Activity!$D15*Activity!N15</f>
        <v>1.3414819334400003</v>
      </c>
      <c r="M16" s="600">
        <f>Activity!$C15*Activity!$D15*Activity!O15</f>
        <v>5.2317795404160004</v>
      </c>
      <c r="N16" s="448">
        <v>0</v>
      </c>
      <c r="O16" s="602">
        <f>Activity!C15*Activity!D15</f>
        <v>33.537048336000005</v>
      </c>
      <c r="P16" s="609">
        <f>Activity!X15</f>
        <v>0</v>
      </c>
    </row>
    <row r="17" spans="2:16">
      <c r="B17" s="7">
        <f t="shared" si="0"/>
        <v>2003</v>
      </c>
      <c r="C17" s="601">
        <f>Activity!$C16*Activity!$D16*Activity!E16</f>
        <v>15.055923470939998</v>
      </c>
      <c r="D17" s="602">
        <f>Activity!$C16*Activity!$D16*Activity!F16</f>
        <v>4.4648600637959994</v>
      </c>
      <c r="E17" s="600">
        <f>Activity!$C16*Activity!$D16*Activity!G16</f>
        <v>0</v>
      </c>
      <c r="F17" s="602">
        <f>Activity!$C16*Activity!$D16*Activity!H16</f>
        <v>0</v>
      </c>
      <c r="G17" s="602">
        <f>Activity!$C16*Activity!$D16*Activity!I16</f>
        <v>3.4265205140759996</v>
      </c>
      <c r="H17" s="602">
        <f>Activity!$C16*Activity!$D16*Activity!J16</f>
        <v>0.93450559474799988</v>
      </c>
      <c r="I17" s="602">
        <f>Activity!$C16*Activity!$D16*Activity!K16</f>
        <v>0.31150186491599996</v>
      </c>
      <c r="J17" s="603">
        <f>Activity!$C16*Activity!$D16*Activity!L16</f>
        <v>2.4920149193279997</v>
      </c>
      <c r="K17" s="602">
        <f>Activity!$C16*Activity!$D16*Activity!M16</f>
        <v>1.1421735046919999</v>
      </c>
      <c r="L17" s="602">
        <f>Activity!$C16*Activity!$D16*Activity!N16</f>
        <v>1.3844527329599998</v>
      </c>
      <c r="M17" s="600">
        <f>Activity!$C16*Activity!$D16*Activity!O16</f>
        <v>5.3993656585439993</v>
      </c>
      <c r="N17" s="448">
        <v>0</v>
      </c>
      <c r="O17" s="602">
        <f>Activity!C16*Activity!D16</f>
        <v>34.611318323999996</v>
      </c>
      <c r="P17" s="609">
        <f>Activity!X16</f>
        <v>0</v>
      </c>
    </row>
    <row r="18" spans="2:16">
      <c r="B18" s="7">
        <f t="shared" si="0"/>
        <v>2004</v>
      </c>
      <c r="C18" s="601">
        <f>Activity!$C17*Activity!$D17*Activity!E17</f>
        <v>15.230919074579999</v>
      </c>
      <c r="D18" s="602">
        <f>Activity!$C17*Activity!$D17*Activity!F17</f>
        <v>4.5167553117720001</v>
      </c>
      <c r="E18" s="600">
        <f>Activity!$C17*Activity!$D17*Activity!G17</f>
        <v>0</v>
      </c>
      <c r="F18" s="602">
        <f>Activity!$C17*Activity!$D17*Activity!H17</f>
        <v>0</v>
      </c>
      <c r="G18" s="602">
        <f>Activity!$C17*Activity!$D17*Activity!I17</f>
        <v>3.4663470997319998</v>
      </c>
      <c r="H18" s="602">
        <f>Activity!$C17*Activity!$D17*Activity!J17</f>
        <v>0.94536739083599997</v>
      </c>
      <c r="I18" s="602">
        <f>Activity!$C17*Activity!$D17*Activity!K17</f>
        <v>0.31512246361199997</v>
      </c>
      <c r="J18" s="603">
        <f>Activity!$C17*Activity!$D17*Activity!L17</f>
        <v>2.5209797088959998</v>
      </c>
      <c r="K18" s="602">
        <f>Activity!$C17*Activity!$D17*Activity!M17</f>
        <v>1.1554490332439999</v>
      </c>
      <c r="L18" s="602">
        <f>Activity!$C17*Activity!$D17*Activity!N17</f>
        <v>1.4005442827200001</v>
      </c>
      <c r="M18" s="600">
        <f>Activity!$C17*Activity!$D17*Activity!O17</f>
        <v>5.4621227026080001</v>
      </c>
      <c r="N18" s="448">
        <v>0</v>
      </c>
      <c r="O18" s="602">
        <f>Activity!C17*Activity!D17</f>
        <v>35.013607067999999</v>
      </c>
      <c r="P18" s="609">
        <f>Activity!X17</f>
        <v>0</v>
      </c>
    </row>
    <row r="19" spans="2:16">
      <c r="B19" s="7">
        <f t="shared" si="0"/>
        <v>2005</v>
      </c>
      <c r="C19" s="601">
        <f>Activity!$C18*Activity!$D18*Activity!E18</f>
        <v>15.654303320039999</v>
      </c>
      <c r="D19" s="602">
        <f>Activity!$C18*Activity!$D18*Activity!F18</f>
        <v>4.6423106397359994</v>
      </c>
      <c r="E19" s="600">
        <f>Activity!$C18*Activity!$D18*Activity!G18</f>
        <v>0</v>
      </c>
      <c r="F19" s="602">
        <f>Activity!$C18*Activity!$D18*Activity!H18</f>
        <v>0</v>
      </c>
      <c r="G19" s="602">
        <f>Activity!$C18*Activity!$D18*Activity!I18</f>
        <v>3.562703514216</v>
      </c>
      <c r="H19" s="602">
        <f>Activity!$C18*Activity!$D18*Activity!J18</f>
        <v>0.97164641296799992</v>
      </c>
      <c r="I19" s="602">
        <f>Activity!$C18*Activity!$D18*Activity!K18</f>
        <v>0.32388213765599994</v>
      </c>
      <c r="J19" s="603">
        <f>Activity!$C18*Activity!$D18*Activity!L18</f>
        <v>2.5910571012479995</v>
      </c>
      <c r="K19" s="602">
        <f>Activity!$C18*Activity!$D18*Activity!M18</f>
        <v>1.1875678380719998</v>
      </c>
      <c r="L19" s="602">
        <f>Activity!$C18*Activity!$D18*Activity!N18</f>
        <v>1.4394761673599998</v>
      </c>
      <c r="M19" s="600">
        <f>Activity!$C18*Activity!$D18*Activity!O18</f>
        <v>5.6139570527039995</v>
      </c>
      <c r="N19" s="448">
        <v>0</v>
      </c>
      <c r="O19" s="602">
        <f>Activity!C18*Activity!D18</f>
        <v>35.986904183999997</v>
      </c>
      <c r="P19" s="609">
        <f>Activity!X18</f>
        <v>0</v>
      </c>
    </row>
    <row r="20" spans="2:16">
      <c r="B20" s="7">
        <f t="shared" si="0"/>
        <v>2006</v>
      </c>
      <c r="C20" s="601">
        <f>Activity!$C19*Activity!$D19*Activity!E19</f>
        <v>15.834849657660001</v>
      </c>
      <c r="D20" s="602">
        <f>Activity!$C19*Activity!$D19*Activity!F19</f>
        <v>4.6958519674440007</v>
      </c>
      <c r="E20" s="600">
        <f>Activity!$C19*Activity!$D19*Activity!G19</f>
        <v>0</v>
      </c>
      <c r="F20" s="602">
        <f>Activity!$C19*Activity!$D19*Activity!H19</f>
        <v>0</v>
      </c>
      <c r="G20" s="602">
        <f>Activity!$C19*Activity!$D19*Activity!I19</f>
        <v>3.6037933703640004</v>
      </c>
      <c r="H20" s="602">
        <f>Activity!$C19*Activity!$D19*Activity!J19</f>
        <v>0.98285273737200007</v>
      </c>
      <c r="I20" s="602">
        <f>Activity!$C19*Activity!$D19*Activity!K19</f>
        <v>0.32761757912400002</v>
      </c>
      <c r="J20" s="603">
        <f>Activity!$C19*Activity!$D19*Activity!L19</f>
        <v>2.6209406329920002</v>
      </c>
      <c r="K20" s="602">
        <f>Activity!$C19*Activity!$D19*Activity!M19</f>
        <v>1.2012644567880002</v>
      </c>
      <c r="L20" s="602">
        <f>Activity!$C19*Activity!$D19*Activity!N19</f>
        <v>1.4560781294400003</v>
      </c>
      <c r="M20" s="600">
        <f>Activity!$C19*Activity!$D19*Activity!O19</f>
        <v>5.6787047048160009</v>
      </c>
      <c r="N20" s="448">
        <v>0</v>
      </c>
      <c r="O20" s="602">
        <f>Activity!C19*Activity!D19</f>
        <v>36.401953236000004</v>
      </c>
      <c r="P20" s="609">
        <f>Activity!X19</f>
        <v>0</v>
      </c>
    </row>
    <row r="21" spans="2:16">
      <c r="B21" s="7">
        <f t="shared" si="0"/>
        <v>2007</v>
      </c>
      <c r="C21" s="601">
        <f>Activity!$C20*Activity!$D20*Activity!E20</f>
        <v>16.010649715500001</v>
      </c>
      <c r="D21" s="602">
        <f>Activity!$C20*Activity!$D20*Activity!F20</f>
        <v>4.7479857777000012</v>
      </c>
      <c r="E21" s="600">
        <f>Activity!$C20*Activity!$D20*Activity!G20</f>
        <v>0</v>
      </c>
      <c r="F21" s="602">
        <f>Activity!$C20*Activity!$D20*Activity!H20</f>
        <v>0</v>
      </c>
      <c r="G21" s="602">
        <f>Activity!$C20*Activity!$D20*Activity!I20</f>
        <v>3.6438030387000007</v>
      </c>
      <c r="H21" s="602">
        <f>Activity!$C20*Activity!$D20*Activity!J20</f>
        <v>0.99376446510000016</v>
      </c>
      <c r="I21" s="602">
        <f>Activity!$C20*Activity!$D20*Activity!K20</f>
        <v>0.33125482170000004</v>
      </c>
      <c r="J21" s="603">
        <f>Activity!$C20*Activity!$D20*Activity!L20</f>
        <v>2.6500385736000003</v>
      </c>
      <c r="K21" s="602">
        <f>Activity!$C20*Activity!$D20*Activity!M20</f>
        <v>1.2146010129000002</v>
      </c>
      <c r="L21" s="602">
        <f>Activity!$C20*Activity!$D20*Activity!N20</f>
        <v>1.4722436520000002</v>
      </c>
      <c r="M21" s="600">
        <f>Activity!$C20*Activity!$D20*Activity!O20</f>
        <v>5.7417502428000011</v>
      </c>
      <c r="N21" s="448">
        <v>0</v>
      </c>
      <c r="O21" s="602">
        <f>Activity!C20*Activity!D20</f>
        <v>36.806091300000006</v>
      </c>
      <c r="P21" s="609">
        <f>Activity!X20</f>
        <v>0</v>
      </c>
    </row>
    <row r="22" spans="2:16">
      <c r="B22" s="7">
        <f t="shared" ref="B22:B85" si="1">B21+1</f>
        <v>2008</v>
      </c>
      <c r="C22" s="601">
        <f>Activity!$C21*Activity!$D21*Activity!E21</f>
        <v>16.179960509459999</v>
      </c>
      <c r="D22" s="602">
        <f>Activity!$C21*Activity!$D21*Activity!F21</f>
        <v>4.7981951855639995</v>
      </c>
      <c r="E22" s="600">
        <f>Activity!$C21*Activity!$D21*Activity!G21</f>
        <v>0</v>
      </c>
      <c r="F22" s="602">
        <f>Activity!$C21*Activity!$D21*Activity!H21</f>
        <v>0</v>
      </c>
      <c r="G22" s="602">
        <f>Activity!$C21*Activity!$D21*Activity!I21</f>
        <v>3.6823358400839998</v>
      </c>
      <c r="H22" s="602">
        <f>Activity!$C21*Activity!$D21*Activity!J21</f>
        <v>1.004273410932</v>
      </c>
      <c r="I22" s="602">
        <f>Activity!$C21*Activity!$D21*Activity!K21</f>
        <v>0.33475780364399993</v>
      </c>
      <c r="J22" s="603">
        <f>Activity!$C21*Activity!$D21*Activity!L21</f>
        <v>2.6780624291519994</v>
      </c>
      <c r="K22" s="602">
        <f>Activity!$C21*Activity!$D21*Activity!M21</f>
        <v>1.227445280028</v>
      </c>
      <c r="L22" s="602">
        <f>Activity!$C21*Activity!$D21*Activity!N21</f>
        <v>1.4878124606399998</v>
      </c>
      <c r="M22" s="600">
        <f>Activity!$C21*Activity!$D21*Activity!O21</f>
        <v>5.8024685964959994</v>
      </c>
      <c r="N22" s="448">
        <v>0</v>
      </c>
      <c r="O22" s="602">
        <f>Activity!C21*Activity!D21</f>
        <v>37.195311515999997</v>
      </c>
      <c r="P22" s="609">
        <f>Activity!X21</f>
        <v>0</v>
      </c>
    </row>
    <row r="23" spans="2:16">
      <c r="B23" s="7">
        <f t="shared" si="1"/>
        <v>2009</v>
      </c>
      <c r="C23" s="601">
        <f>Activity!$C22*Activity!$D22*Activity!E22</f>
        <v>16.340610013199999</v>
      </c>
      <c r="D23" s="602">
        <f>Activity!$C22*Activity!$D22*Activity!F22</f>
        <v>4.8458360728800001</v>
      </c>
      <c r="E23" s="600">
        <f>Activity!$C22*Activity!$D22*Activity!G22</f>
        <v>0</v>
      </c>
      <c r="F23" s="602">
        <f>Activity!$C22*Activity!$D22*Activity!H22</f>
        <v>0</v>
      </c>
      <c r="G23" s="602">
        <f>Activity!$C22*Activity!$D22*Activity!I22</f>
        <v>3.7188974512800002</v>
      </c>
      <c r="H23" s="602">
        <f>Activity!$C22*Activity!$D22*Activity!J22</f>
        <v>1.0142447594399999</v>
      </c>
      <c r="I23" s="602">
        <f>Activity!$C22*Activity!$D22*Activity!K22</f>
        <v>0.33808158647999997</v>
      </c>
      <c r="J23" s="603">
        <f>Activity!$C22*Activity!$D22*Activity!L22</f>
        <v>2.7046526918399998</v>
      </c>
      <c r="K23" s="602">
        <f>Activity!$C22*Activity!$D22*Activity!M22</f>
        <v>1.2396324837600001</v>
      </c>
      <c r="L23" s="602">
        <f>Activity!$C22*Activity!$D22*Activity!N22</f>
        <v>1.5025848288000001</v>
      </c>
      <c r="M23" s="600">
        <f>Activity!$C22*Activity!$D22*Activity!O22</f>
        <v>5.8600808323200004</v>
      </c>
      <c r="N23" s="448">
        <v>0</v>
      </c>
      <c r="O23" s="602">
        <f>Activity!C22*Activity!D22</f>
        <v>37.564620720000001</v>
      </c>
      <c r="P23" s="609">
        <f>Activity!X22</f>
        <v>0</v>
      </c>
    </row>
    <row r="24" spans="2:16">
      <c r="B24" s="7">
        <f t="shared" si="1"/>
        <v>2010</v>
      </c>
      <c r="C24" s="601">
        <f>Activity!$C23*Activity!$D23*Activity!E23</f>
        <v>19.508014350000003</v>
      </c>
      <c r="D24" s="602">
        <f>Activity!$C23*Activity!$D23*Activity!F23</f>
        <v>5.7851352900000013</v>
      </c>
      <c r="E24" s="600">
        <f>Activity!$C23*Activity!$D23*Activity!G23</f>
        <v>0</v>
      </c>
      <c r="F24" s="602">
        <f>Activity!$C23*Activity!$D23*Activity!H23</f>
        <v>0</v>
      </c>
      <c r="G24" s="602">
        <f>Activity!$C23*Activity!$D23*Activity!I23</f>
        <v>4.4397549900000008</v>
      </c>
      <c r="H24" s="602">
        <f>Activity!$C23*Activity!$D23*Activity!J23</f>
        <v>1.2108422700000001</v>
      </c>
      <c r="I24" s="602">
        <f>Activity!$C23*Activity!$D23*Activity!K23</f>
        <v>0.40361409000000004</v>
      </c>
      <c r="J24" s="603">
        <f>Activity!$C23*Activity!$D23*Activity!L23</f>
        <v>3.2289127200000003</v>
      </c>
      <c r="K24" s="602">
        <f>Activity!$C23*Activity!$D23*Activity!M23</f>
        <v>1.4799183300000003</v>
      </c>
      <c r="L24" s="602">
        <f>Activity!$C23*Activity!$D23*Activity!N23</f>
        <v>1.7938404000000003</v>
      </c>
      <c r="M24" s="600">
        <f>Activity!$C23*Activity!$D23*Activity!O23</f>
        <v>6.9959775600000009</v>
      </c>
      <c r="N24" s="448">
        <v>0</v>
      </c>
      <c r="O24" s="602">
        <f>Activity!C23*Activity!D23</f>
        <v>44.846010000000007</v>
      </c>
      <c r="P24" s="609">
        <f>Activity!X23</f>
        <v>0</v>
      </c>
    </row>
    <row r="25" spans="2:16">
      <c r="B25" s="7">
        <f t="shared" si="1"/>
        <v>2011</v>
      </c>
      <c r="C25" s="601">
        <f>Activity!$C24*Activity!$D24*Activity!E24</f>
        <v>20.29093599258</v>
      </c>
      <c r="D25" s="602">
        <f>Activity!$C24*Activity!$D24*Activity!F24</f>
        <v>6.0173120529720006</v>
      </c>
      <c r="E25" s="600">
        <f>Activity!$C24*Activity!$D24*Activity!G24</f>
        <v>0</v>
      </c>
      <c r="F25" s="602">
        <f>Activity!$C24*Activity!$D24*Activity!H24</f>
        <v>0</v>
      </c>
      <c r="G25" s="602">
        <f>Activity!$C24*Activity!$D24*Activity!I24</f>
        <v>4.6179371569320002</v>
      </c>
      <c r="H25" s="602">
        <f>Activity!$C24*Activity!$D24*Activity!J24</f>
        <v>1.2594374064359999</v>
      </c>
      <c r="I25" s="602">
        <f>Activity!$C24*Activity!$D24*Activity!K24</f>
        <v>0.41981246881199996</v>
      </c>
      <c r="J25" s="603">
        <f>Activity!$C24*Activity!$D24*Activity!L24</f>
        <v>3.3584997504959997</v>
      </c>
      <c r="K25" s="602">
        <f>Activity!$C24*Activity!$D24*Activity!M24</f>
        <v>1.5393123856440001</v>
      </c>
      <c r="L25" s="602">
        <f>Activity!$C24*Activity!$D24*Activity!N24</f>
        <v>1.86583319472</v>
      </c>
      <c r="M25" s="600">
        <f>Activity!$C24*Activity!$D24*Activity!O24</f>
        <v>7.2767494594080002</v>
      </c>
      <c r="N25" s="448">
        <v>0</v>
      </c>
      <c r="O25" s="602">
        <f>Activity!C24*Activity!D24</f>
        <v>46.645829868</v>
      </c>
      <c r="P25" s="609">
        <f>Activity!X24</f>
        <v>0</v>
      </c>
    </row>
    <row r="26" spans="2:16">
      <c r="B26" s="7">
        <f t="shared" si="1"/>
        <v>2012</v>
      </c>
      <c r="C26" s="601">
        <f>Activity!$C25*Activity!$D25*Activity!E25</f>
        <v>20.511115107120002</v>
      </c>
      <c r="D26" s="602">
        <f>Activity!$C25*Activity!$D25*Activity!F25</f>
        <v>6.0826065490080001</v>
      </c>
      <c r="E26" s="600">
        <f>Activity!$C25*Activity!$D25*Activity!G25</f>
        <v>0</v>
      </c>
      <c r="F26" s="602">
        <f>Activity!$C25*Activity!$D25*Activity!H25</f>
        <v>0</v>
      </c>
      <c r="G26" s="602">
        <f>Activity!$C25*Activity!$D25*Activity!I25</f>
        <v>4.6680468864480007</v>
      </c>
      <c r="H26" s="602">
        <f>Activity!$C25*Activity!$D25*Activity!J25</f>
        <v>1.2731036963040001</v>
      </c>
      <c r="I26" s="602">
        <f>Activity!$C25*Activity!$D25*Activity!K25</f>
        <v>0.42436789876799996</v>
      </c>
      <c r="J26" s="603">
        <f>Activity!$C25*Activity!$D25*Activity!L25</f>
        <v>3.3949431901439997</v>
      </c>
      <c r="K26" s="602">
        <f>Activity!$C25*Activity!$D25*Activity!M25</f>
        <v>1.5560156288160001</v>
      </c>
      <c r="L26" s="602">
        <f>Activity!$C25*Activity!$D25*Activity!N25</f>
        <v>1.8860795500800001</v>
      </c>
      <c r="M26" s="600">
        <f>Activity!$C25*Activity!$D25*Activity!O25</f>
        <v>7.3557102453120002</v>
      </c>
      <c r="N26" s="448">
        <v>0</v>
      </c>
      <c r="O26" s="602">
        <f>Activity!C25*Activity!D25</f>
        <v>47.151988752000001</v>
      </c>
      <c r="P26" s="609">
        <f>Activity!X25</f>
        <v>0</v>
      </c>
    </row>
    <row r="27" spans="2:16">
      <c r="B27" s="7">
        <f t="shared" si="1"/>
        <v>2013</v>
      </c>
      <c r="C27" s="601">
        <f>Activity!$C26*Activity!$D26*Activity!E26</f>
        <v>20.943026567099999</v>
      </c>
      <c r="D27" s="602">
        <f>Activity!$C26*Activity!$D26*Activity!F26</f>
        <v>6.2106906371399999</v>
      </c>
      <c r="E27" s="600">
        <f>Activity!$C26*Activity!$D26*Activity!G26</f>
        <v>0</v>
      </c>
      <c r="F27" s="602">
        <f>Activity!$C26*Activity!$D26*Activity!H26</f>
        <v>0</v>
      </c>
      <c r="G27" s="602">
        <f>Activity!$C26*Activity!$D26*Activity!I26</f>
        <v>4.76634397734</v>
      </c>
      <c r="H27" s="602">
        <f>Activity!$C26*Activity!$D26*Activity!J26</f>
        <v>1.2999119938199999</v>
      </c>
      <c r="I27" s="602">
        <f>Activity!$C26*Activity!$D26*Activity!K26</f>
        <v>0.43330399793999996</v>
      </c>
      <c r="J27" s="603">
        <f>Activity!$C26*Activity!$D26*Activity!L26</f>
        <v>3.4664319835199997</v>
      </c>
      <c r="K27" s="602">
        <f>Activity!$C26*Activity!$D26*Activity!M26</f>
        <v>1.5887813257800001</v>
      </c>
      <c r="L27" s="602">
        <f>Activity!$C26*Activity!$D26*Activity!N26</f>
        <v>1.9257955464000001</v>
      </c>
      <c r="M27" s="600">
        <f>Activity!$C26*Activity!$D26*Activity!O26</f>
        <v>7.5106026309600002</v>
      </c>
      <c r="N27" s="448">
        <v>0</v>
      </c>
      <c r="O27" s="602">
        <f>Activity!C26*Activity!D26</f>
        <v>48.144888659999999</v>
      </c>
      <c r="P27" s="609">
        <f>Activity!X26</f>
        <v>0</v>
      </c>
    </row>
    <row r="28" spans="2:16">
      <c r="B28" s="7">
        <f t="shared" si="1"/>
        <v>2014</v>
      </c>
      <c r="C28" s="601">
        <f>Activity!$C27*Activity!$D27*Activity!E27</f>
        <v>21.37182747084</v>
      </c>
      <c r="D28" s="602">
        <f>Activity!$C27*Activity!$D27*Activity!F27</f>
        <v>6.3378522844559999</v>
      </c>
      <c r="E28" s="600">
        <f>Activity!$C27*Activity!$D27*Activity!G27</f>
        <v>0</v>
      </c>
      <c r="F28" s="602">
        <f>Activity!$C27*Activity!$D27*Activity!H27</f>
        <v>0</v>
      </c>
      <c r="G28" s="602">
        <f>Activity!$C27*Activity!$D27*Activity!I27</f>
        <v>4.8639331485360007</v>
      </c>
      <c r="H28" s="602">
        <f>Activity!$C27*Activity!$D27*Activity!J27</f>
        <v>1.326527222328</v>
      </c>
      <c r="I28" s="602">
        <f>Activity!$C27*Activity!$D27*Activity!K27</f>
        <v>0.44217574077599997</v>
      </c>
      <c r="J28" s="603">
        <f>Activity!$C27*Activity!$D27*Activity!L27</f>
        <v>3.5374059262079998</v>
      </c>
      <c r="K28" s="602">
        <f>Activity!$C27*Activity!$D27*Activity!M27</f>
        <v>1.621311049512</v>
      </c>
      <c r="L28" s="602">
        <f>Activity!$C27*Activity!$D27*Activity!N27</f>
        <v>1.9652255145600002</v>
      </c>
      <c r="M28" s="600">
        <f>Activity!$C27*Activity!$D27*Activity!O27</f>
        <v>7.6643795067839999</v>
      </c>
      <c r="N28" s="448">
        <v>0</v>
      </c>
      <c r="O28" s="602">
        <f>Activity!C27*Activity!D27</f>
        <v>49.130637864000001</v>
      </c>
      <c r="P28" s="609">
        <f>Activity!X27</f>
        <v>0</v>
      </c>
    </row>
    <row r="29" spans="2:16">
      <c r="B29" s="7">
        <f t="shared" si="1"/>
        <v>2015</v>
      </c>
      <c r="C29" s="601">
        <f>Activity!$C28*Activity!$D28*Activity!E28</f>
        <v>21.789902318580001</v>
      </c>
      <c r="D29" s="602">
        <f>Activity!$C28*Activity!$D28*Activity!F28</f>
        <v>6.461833101372001</v>
      </c>
      <c r="E29" s="600">
        <f>Activity!$C28*Activity!$D28*Activity!G28</f>
        <v>0</v>
      </c>
      <c r="F29" s="602">
        <f>Activity!$C28*Activity!$D28*Activity!H28</f>
        <v>0</v>
      </c>
      <c r="G29" s="602">
        <f>Activity!$C28*Activity!$D28*Activity!I28</f>
        <v>4.9590812173320007</v>
      </c>
      <c r="H29" s="602">
        <f>Activity!$C28*Activity!$D28*Activity!J28</f>
        <v>1.3524766956360001</v>
      </c>
      <c r="I29" s="602">
        <f>Activity!$C28*Activity!$D28*Activity!K28</f>
        <v>0.45082556521200001</v>
      </c>
      <c r="J29" s="603">
        <f>Activity!$C28*Activity!$D28*Activity!L28</f>
        <v>3.6066045216960001</v>
      </c>
      <c r="K29" s="602">
        <f>Activity!$C28*Activity!$D28*Activity!M28</f>
        <v>1.6530270724440002</v>
      </c>
      <c r="L29" s="602">
        <f>Activity!$C28*Activity!$D28*Activity!N28</f>
        <v>2.0036691787200001</v>
      </c>
      <c r="M29" s="600">
        <f>Activity!$C28*Activity!$D28*Activity!O28</f>
        <v>7.8143097970080007</v>
      </c>
      <c r="N29" s="448">
        <v>0</v>
      </c>
      <c r="O29" s="602">
        <f>Activity!C28*Activity!D28</f>
        <v>50.091729468000004</v>
      </c>
      <c r="P29" s="609">
        <f>Activity!X28</f>
        <v>0</v>
      </c>
    </row>
    <row r="30" spans="2:16">
      <c r="B30" s="7">
        <f t="shared" si="1"/>
        <v>2016</v>
      </c>
      <c r="C30" s="601">
        <f>Activity!$C29*Activity!$D29*Activity!E29</f>
        <v>22.211060907420002</v>
      </c>
      <c r="D30" s="602">
        <f>Activity!$C29*Activity!$D29*Activity!F29</f>
        <v>6.5867284070280006</v>
      </c>
      <c r="E30" s="600">
        <f>Activity!$C29*Activity!$D29*Activity!G29</f>
        <v>0</v>
      </c>
      <c r="F30" s="602">
        <f>Activity!$C29*Activity!$D29*Activity!H29</f>
        <v>0</v>
      </c>
      <c r="G30" s="602">
        <f>Activity!$C29*Activity!$D29*Activity!I29</f>
        <v>5.0549311030680011</v>
      </c>
      <c r="H30" s="602">
        <f>Activity!$C29*Activity!$D29*Activity!J29</f>
        <v>1.3786175735640001</v>
      </c>
      <c r="I30" s="602">
        <f>Activity!$C29*Activity!$D29*Activity!K29</f>
        <v>0.45953919118800002</v>
      </c>
      <c r="J30" s="603">
        <f>Activity!$C29*Activity!$D29*Activity!L29</f>
        <v>3.6763135295040001</v>
      </c>
      <c r="K30" s="602">
        <f>Activity!$C29*Activity!$D29*Activity!M29</f>
        <v>1.6849770343560002</v>
      </c>
      <c r="L30" s="602">
        <f>Activity!$C29*Activity!$D29*Activity!N29</f>
        <v>2.0423964052800003</v>
      </c>
      <c r="M30" s="600">
        <f>Activity!$C29*Activity!$D29*Activity!O29</f>
        <v>7.9653459805920006</v>
      </c>
      <c r="N30" s="448">
        <v>0</v>
      </c>
      <c r="O30" s="602">
        <f>Activity!C29*Activity!D29</f>
        <v>51.059910132000006</v>
      </c>
      <c r="P30" s="609">
        <f>Activity!X29</f>
        <v>0</v>
      </c>
    </row>
    <row r="31" spans="2:16">
      <c r="B31" s="7">
        <f t="shared" si="1"/>
        <v>2017</v>
      </c>
      <c r="C31" s="601">
        <f>Activity!$C30*Activity!$D30*Activity!E30</f>
        <v>22.736718096840001</v>
      </c>
      <c r="D31" s="602">
        <f>Activity!$C30*Activity!$D30*Activity!F30</f>
        <v>6.7426129528559997</v>
      </c>
      <c r="E31" s="600">
        <f>Activity!$C30*Activity!$D30*Activity!G30</f>
        <v>0</v>
      </c>
      <c r="F31" s="602">
        <f>Activity!$C30*Activity!$D30*Activity!H30</f>
        <v>0</v>
      </c>
      <c r="G31" s="602">
        <f>Activity!$C30*Activity!$D30*Activity!I30</f>
        <v>5.1745634289360005</v>
      </c>
      <c r="H31" s="602">
        <f>Activity!$C30*Activity!$D30*Activity!J30</f>
        <v>1.411244571528</v>
      </c>
      <c r="I31" s="602">
        <f>Activity!$C30*Activity!$D30*Activity!K30</f>
        <v>0.47041485717599996</v>
      </c>
      <c r="J31" s="603">
        <f>Activity!$C30*Activity!$D30*Activity!L30</f>
        <v>3.7633188574079997</v>
      </c>
      <c r="K31" s="602">
        <f>Activity!$C30*Activity!$D30*Activity!M30</f>
        <v>1.724854476312</v>
      </c>
      <c r="L31" s="602">
        <f>Activity!$C30*Activity!$D30*Activity!N30</f>
        <v>2.0907326985600001</v>
      </c>
      <c r="M31" s="600">
        <f>Activity!$C30*Activity!$D30*Activity!O30</f>
        <v>8.1538575243839997</v>
      </c>
      <c r="N31" s="448">
        <v>0</v>
      </c>
      <c r="O31" s="602">
        <f>Activity!C30*Activity!D30</f>
        <v>52.268317463999999</v>
      </c>
      <c r="P31" s="609">
        <f>Activity!X30</f>
        <v>0</v>
      </c>
    </row>
    <row r="32" spans="2:16">
      <c r="B32" s="7">
        <f t="shared" si="1"/>
        <v>2018</v>
      </c>
      <c r="C32" s="601">
        <f>Activity!$C31*Activity!$D31*Activity!E31</f>
        <v>23.303751047280002</v>
      </c>
      <c r="D32" s="602">
        <f>Activity!$C31*Activity!$D31*Activity!F31</f>
        <v>6.9107675519520004</v>
      </c>
      <c r="E32" s="600">
        <f>Activity!$C31*Activity!$D31*Activity!G31</f>
        <v>0</v>
      </c>
      <c r="F32" s="602">
        <f>Activity!$C31*Activity!$D31*Activity!H31</f>
        <v>0</v>
      </c>
      <c r="G32" s="602">
        <f>Activity!$C31*Activity!$D31*Activity!I31</f>
        <v>5.303612307312001</v>
      </c>
      <c r="H32" s="602">
        <f>Activity!$C31*Activity!$D31*Activity!J31</f>
        <v>1.4464397201760002</v>
      </c>
      <c r="I32" s="602">
        <f>Activity!$C31*Activity!$D31*Activity!K31</f>
        <v>0.48214657339200001</v>
      </c>
      <c r="J32" s="603">
        <f>Activity!$C31*Activity!$D31*Activity!L31</f>
        <v>3.8571725871360001</v>
      </c>
      <c r="K32" s="602">
        <f>Activity!$C31*Activity!$D31*Activity!M31</f>
        <v>1.7678707691040003</v>
      </c>
      <c r="L32" s="602">
        <f>Activity!$C31*Activity!$D31*Activity!N31</f>
        <v>2.1428736595200002</v>
      </c>
      <c r="M32" s="600">
        <f>Activity!$C31*Activity!$D31*Activity!O31</f>
        <v>8.3572072721280009</v>
      </c>
      <c r="N32" s="448">
        <v>0</v>
      </c>
      <c r="O32" s="602">
        <f>Activity!C31*Activity!D31</f>
        <v>53.571841488000004</v>
      </c>
      <c r="P32" s="609">
        <f>Activity!X31</f>
        <v>0</v>
      </c>
    </row>
    <row r="33" spans="2:16">
      <c r="B33" s="7">
        <f t="shared" si="1"/>
        <v>2019</v>
      </c>
      <c r="C33" s="601">
        <f>Activity!$C32*Activity!$D32*Activity!E32</f>
        <v>23.87078399772</v>
      </c>
      <c r="D33" s="602">
        <f>Activity!$C32*Activity!$D32*Activity!F32</f>
        <v>7.0789221510480003</v>
      </c>
      <c r="E33" s="600">
        <f>Activity!$C32*Activity!$D32*Activity!G32</f>
        <v>0</v>
      </c>
      <c r="F33" s="602">
        <f>Activity!$C32*Activity!$D32*Activity!H32</f>
        <v>0</v>
      </c>
      <c r="G33" s="602">
        <f>Activity!$C32*Activity!$D32*Activity!I32</f>
        <v>5.4326611856880005</v>
      </c>
      <c r="H33" s="602">
        <f>Activity!$C32*Activity!$D32*Activity!J32</f>
        <v>1.481634868824</v>
      </c>
      <c r="I33" s="602">
        <f>Activity!$C32*Activity!$D32*Activity!K32</f>
        <v>0.49387828960799995</v>
      </c>
      <c r="J33" s="603">
        <f>Activity!$C32*Activity!$D32*Activity!L32</f>
        <v>3.9510263168639996</v>
      </c>
      <c r="K33" s="602">
        <f>Activity!$C32*Activity!$D32*Activity!M32</f>
        <v>1.8108870618960002</v>
      </c>
      <c r="L33" s="602">
        <f>Activity!$C32*Activity!$D32*Activity!N32</f>
        <v>2.1950146204800003</v>
      </c>
      <c r="M33" s="600">
        <f>Activity!$C32*Activity!$D32*Activity!O32</f>
        <v>8.5605570198720002</v>
      </c>
      <c r="N33" s="448">
        <v>0</v>
      </c>
      <c r="O33" s="602">
        <f>Activity!C32*Activity!D32</f>
        <v>54.875365512000002</v>
      </c>
      <c r="P33" s="609">
        <f>Activity!X32</f>
        <v>0</v>
      </c>
    </row>
    <row r="34" spans="2:16">
      <c r="B34" s="7">
        <f t="shared" si="1"/>
        <v>2020</v>
      </c>
      <c r="C34" s="601">
        <f>Activity!$C33*Activity!$D33*Activity!E33</f>
        <v>24.437816948159998</v>
      </c>
      <c r="D34" s="602">
        <f>Activity!$C33*Activity!$D33*Activity!F33</f>
        <v>7.2470767501440001</v>
      </c>
      <c r="E34" s="600">
        <f>Activity!$C33*Activity!$D33*Activity!G33</f>
        <v>0</v>
      </c>
      <c r="F34" s="602">
        <f>Activity!$C33*Activity!$D33*Activity!H33</f>
        <v>0</v>
      </c>
      <c r="G34" s="602">
        <f>Activity!$C33*Activity!$D33*Activity!I33</f>
        <v>5.561710064064</v>
      </c>
      <c r="H34" s="602">
        <f>Activity!$C33*Activity!$D33*Activity!J33</f>
        <v>1.516830017472</v>
      </c>
      <c r="I34" s="602">
        <f>Activity!$C33*Activity!$D33*Activity!K33</f>
        <v>0.50561000582399995</v>
      </c>
      <c r="J34" s="603">
        <f>Activity!$C33*Activity!$D33*Activity!L33</f>
        <v>4.0448800465919996</v>
      </c>
      <c r="K34" s="602">
        <f>Activity!$C33*Activity!$D33*Activity!M33</f>
        <v>1.8539033546880002</v>
      </c>
      <c r="L34" s="602">
        <f>Activity!$C33*Activity!$D33*Activity!N33</f>
        <v>2.2471555814399999</v>
      </c>
      <c r="M34" s="600">
        <f>Activity!$C33*Activity!$D33*Activity!O33</f>
        <v>8.7639067676159996</v>
      </c>
      <c r="N34" s="448">
        <v>0</v>
      </c>
      <c r="O34" s="602">
        <f>Activity!C33*Activity!D33</f>
        <v>56.178889536</v>
      </c>
      <c r="P34" s="609">
        <f>Activity!X33</f>
        <v>0</v>
      </c>
    </row>
    <row r="35" spans="2:16">
      <c r="B35" s="7">
        <f t="shared" si="1"/>
        <v>2021</v>
      </c>
      <c r="C35" s="601">
        <f>Activity!$C34*Activity!$D34*Activity!E34</f>
        <v>25.0048498986</v>
      </c>
      <c r="D35" s="602">
        <f>Activity!$C34*Activity!$D34*Activity!F34</f>
        <v>7.4152313492399999</v>
      </c>
      <c r="E35" s="600">
        <f>Activity!$C34*Activity!$D34*Activity!G34</f>
        <v>0</v>
      </c>
      <c r="F35" s="602">
        <f>Activity!$C34*Activity!$D34*Activity!H34</f>
        <v>0</v>
      </c>
      <c r="G35" s="602">
        <f>Activity!$C34*Activity!$D34*Activity!I34</f>
        <v>5.6907589424400005</v>
      </c>
      <c r="H35" s="602">
        <f>Activity!$C34*Activity!$D34*Activity!J34</f>
        <v>1.55202516612</v>
      </c>
      <c r="I35" s="602">
        <f>Activity!$C34*Activity!$D34*Activity!K34</f>
        <v>0.51734172203999995</v>
      </c>
      <c r="J35" s="603">
        <f>Activity!$C34*Activity!$D34*Activity!L34</f>
        <v>4.1387337763199996</v>
      </c>
      <c r="K35" s="602">
        <f>Activity!$C34*Activity!$D34*Activity!M34</f>
        <v>1.8969196474800001</v>
      </c>
      <c r="L35" s="602">
        <f>Activity!$C34*Activity!$D34*Activity!N34</f>
        <v>2.2992965424</v>
      </c>
      <c r="M35" s="600">
        <f>Activity!$C34*Activity!$D34*Activity!O34</f>
        <v>8.967256515359999</v>
      </c>
      <c r="N35" s="448">
        <v>0</v>
      </c>
      <c r="O35" s="602">
        <f>Activity!C34*Activity!D34</f>
        <v>57.482413559999998</v>
      </c>
      <c r="P35" s="609">
        <f>Activity!X34</f>
        <v>0</v>
      </c>
    </row>
    <row r="36" spans="2:16">
      <c r="B36" s="7">
        <f t="shared" si="1"/>
        <v>2022</v>
      </c>
      <c r="C36" s="601">
        <f>Activity!$C35*Activity!$D35*Activity!E35</f>
        <v>25.571882849040001</v>
      </c>
      <c r="D36" s="602">
        <f>Activity!$C35*Activity!$D35*Activity!F35</f>
        <v>7.5833859483360007</v>
      </c>
      <c r="E36" s="600">
        <f>Activity!$C35*Activity!$D35*Activity!G35</f>
        <v>0</v>
      </c>
      <c r="F36" s="602">
        <f>Activity!$C35*Activity!$D35*Activity!H35</f>
        <v>0</v>
      </c>
      <c r="G36" s="602">
        <f>Activity!$C35*Activity!$D35*Activity!I35</f>
        <v>5.8198078208160009</v>
      </c>
      <c r="H36" s="602">
        <f>Activity!$C35*Activity!$D35*Activity!J35</f>
        <v>1.587220314768</v>
      </c>
      <c r="I36" s="602">
        <f>Activity!$C35*Activity!$D35*Activity!K35</f>
        <v>0.52907343825599995</v>
      </c>
      <c r="J36" s="603">
        <f>Activity!$C35*Activity!$D35*Activity!L35</f>
        <v>4.2325875060479996</v>
      </c>
      <c r="K36" s="602">
        <f>Activity!$C35*Activity!$D35*Activity!M35</f>
        <v>1.9399359402720002</v>
      </c>
      <c r="L36" s="602">
        <f>Activity!$C35*Activity!$D35*Activity!N35</f>
        <v>2.3514375033600001</v>
      </c>
      <c r="M36" s="600">
        <f>Activity!$C35*Activity!$D35*Activity!O35</f>
        <v>9.1706062631040002</v>
      </c>
      <c r="N36" s="448">
        <v>0</v>
      </c>
      <c r="O36" s="602">
        <f>Activity!C35*Activity!D35</f>
        <v>58.785937584000003</v>
      </c>
      <c r="P36" s="609">
        <f>Activity!X35</f>
        <v>0</v>
      </c>
    </row>
    <row r="37" spans="2:16">
      <c r="B37" s="7">
        <f t="shared" si="1"/>
        <v>2023</v>
      </c>
      <c r="C37" s="601">
        <f>Activity!$C36*Activity!$D36*Activity!E36</f>
        <v>26.138915799479999</v>
      </c>
      <c r="D37" s="602">
        <f>Activity!$C36*Activity!$D36*Activity!F36</f>
        <v>7.7515405474320005</v>
      </c>
      <c r="E37" s="600">
        <f>Activity!$C36*Activity!$D36*Activity!G36</f>
        <v>0</v>
      </c>
      <c r="F37" s="602">
        <f>Activity!$C36*Activity!$D36*Activity!H36</f>
        <v>0</v>
      </c>
      <c r="G37" s="602">
        <f>Activity!$C36*Activity!$D36*Activity!I36</f>
        <v>5.9488566991920004</v>
      </c>
      <c r="H37" s="602">
        <f>Activity!$C36*Activity!$D36*Activity!J36</f>
        <v>1.622415463416</v>
      </c>
      <c r="I37" s="602">
        <f>Activity!$C36*Activity!$D36*Activity!K36</f>
        <v>0.54080515447199995</v>
      </c>
      <c r="J37" s="603">
        <f>Activity!$C36*Activity!$D36*Activity!L36</f>
        <v>4.3264412357759996</v>
      </c>
      <c r="K37" s="602">
        <f>Activity!$C36*Activity!$D36*Activity!M36</f>
        <v>1.9829522330640001</v>
      </c>
      <c r="L37" s="602">
        <f>Activity!$C36*Activity!$D36*Activity!N36</f>
        <v>2.4035784643200002</v>
      </c>
      <c r="M37" s="600">
        <f>Activity!$C36*Activity!$D36*Activity!O36</f>
        <v>9.3739560108479996</v>
      </c>
      <c r="N37" s="448">
        <v>0</v>
      </c>
      <c r="O37" s="602">
        <f>Activity!C36*Activity!D36</f>
        <v>60.089461608000001</v>
      </c>
      <c r="P37" s="609">
        <f>Activity!X36</f>
        <v>0</v>
      </c>
    </row>
    <row r="38" spans="2:16">
      <c r="B38" s="7">
        <f t="shared" si="1"/>
        <v>2024</v>
      </c>
      <c r="C38" s="601">
        <f>Activity!$C37*Activity!$D37*Activity!E37</f>
        <v>26.705948749920001</v>
      </c>
      <c r="D38" s="602">
        <f>Activity!$C37*Activity!$D37*Activity!F37</f>
        <v>7.9196951465280012</v>
      </c>
      <c r="E38" s="600">
        <f>Activity!$C37*Activity!$D37*Activity!G37</f>
        <v>0</v>
      </c>
      <c r="F38" s="602">
        <f>Activity!$C37*Activity!$D37*Activity!H37</f>
        <v>0</v>
      </c>
      <c r="G38" s="602">
        <f>Activity!$C37*Activity!$D37*Activity!I37</f>
        <v>6.0779055775680009</v>
      </c>
      <c r="H38" s="602">
        <f>Activity!$C37*Activity!$D37*Activity!J37</f>
        <v>1.6576106120640002</v>
      </c>
      <c r="I38" s="602">
        <f>Activity!$C37*Activity!$D37*Activity!K37</f>
        <v>0.55253687068800006</v>
      </c>
      <c r="J38" s="603">
        <f>Activity!$C37*Activity!$D37*Activity!L37</f>
        <v>4.4202949655040005</v>
      </c>
      <c r="K38" s="602">
        <f>Activity!$C37*Activity!$D37*Activity!M37</f>
        <v>2.0259685258560003</v>
      </c>
      <c r="L38" s="602">
        <f>Activity!$C37*Activity!$D37*Activity!N37</f>
        <v>2.4557194252800003</v>
      </c>
      <c r="M38" s="600">
        <f>Activity!$C37*Activity!$D37*Activity!O37</f>
        <v>9.5773057585920007</v>
      </c>
      <c r="N38" s="448">
        <v>0</v>
      </c>
      <c r="O38" s="602">
        <f>Activity!C37*Activity!D37</f>
        <v>61.392985632000006</v>
      </c>
      <c r="P38" s="609">
        <f>Activity!X37</f>
        <v>0</v>
      </c>
    </row>
    <row r="39" spans="2:16">
      <c r="B39" s="7">
        <f t="shared" si="1"/>
        <v>2025</v>
      </c>
      <c r="C39" s="601">
        <f>Activity!$C38*Activity!$D38*Activity!E38</f>
        <v>27.272981700360003</v>
      </c>
      <c r="D39" s="602">
        <f>Activity!$C38*Activity!$D38*Activity!F38</f>
        <v>8.0878497456240002</v>
      </c>
      <c r="E39" s="600">
        <f>Activity!$C38*Activity!$D38*Activity!G38</f>
        <v>0</v>
      </c>
      <c r="F39" s="602">
        <f>Activity!$C38*Activity!$D38*Activity!H38</f>
        <v>0</v>
      </c>
      <c r="G39" s="602">
        <f>Activity!$C38*Activity!$D38*Activity!I38</f>
        <v>6.2069544559440004</v>
      </c>
      <c r="H39" s="602">
        <f>Activity!$C38*Activity!$D38*Activity!J38</f>
        <v>1.6928057607120002</v>
      </c>
      <c r="I39" s="602">
        <f>Activity!$C38*Activity!$D38*Activity!K38</f>
        <v>0.56426858690399995</v>
      </c>
      <c r="J39" s="603">
        <f>Activity!$C38*Activity!$D38*Activity!L38</f>
        <v>4.5141486952319996</v>
      </c>
      <c r="K39" s="602">
        <f>Activity!$C38*Activity!$D38*Activity!M38</f>
        <v>2.068984818648</v>
      </c>
      <c r="L39" s="602">
        <f>Activity!$C38*Activity!$D38*Activity!N38</f>
        <v>2.5078603862400004</v>
      </c>
      <c r="M39" s="600">
        <f>Activity!$C38*Activity!$D38*Activity!O38</f>
        <v>9.7806555063360001</v>
      </c>
      <c r="N39" s="448">
        <v>0</v>
      </c>
      <c r="O39" s="602">
        <f>Activity!C38*Activity!D38</f>
        <v>62.696509656000003</v>
      </c>
      <c r="P39" s="609">
        <f>Activity!X38</f>
        <v>0</v>
      </c>
    </row>
    <row r="40" spans="2:16">
      <c r="B40" s="7">
        <f t="shared" si="1"/>
        <v>2026</v>
      </c>
      <c r="C40" s="601">
        <f>Activity!$C39*Activity!$D39*Activity!E39</f>
        <v>27.840014650800001</v>
      </c>
      <c r="D40" s="602">
        <f>Activity!$C39*Activity!$D39*Activity!F39</f>
        <v>8.2560043447200009</v>
      </c>
      <c r="E40" s="600">
        <f>Activity!$C39*Activity!$D39*Activity!G39</f>
        <v>0</v>
      </c>
      <c r="F40" s="602">
        <f>Activity!$C39*Activity!$D39*Activity!H39</f>
        <v>0</v>
      </c>
      <c r="G40" s="602">
        <f>Activity!$C39*Activity!$D39*Activity!I39</f>
        <v>6.3360033343200008</v>
      </c>
      <c r="H40" s="602">
        <f>Activity!$C39*Activity!$D39*Activity!J39</f>
        <v>1.7280009093599999</v>
      </c>
      <c r="I40" s="602">
        <f>Activity!$C39*Activity!$D39*Activity!K39</f>
        <v>0.57600030311999995</v>
      </c>
      <c r="J40" s="603">
        <f>Activity!$C39*Activity!$D39*Activity!L39</f>
        <v>4.6080024249599996</v>
      </c>
      <c r="K40" s="602">
        <f>Activity!$C39*Activity!$D39*Activity!M39</f>
        <v>2.1120011114400001</v>
      </c>
      <c r="L40" s="602">
        <f>Activity!$C39*Activity!$D39*Activity!N39</f>
        <v>2.5600013472000001</v>
      </c>
      <c r="M40" s="600">
        <f>Activity!$C39*Activity!$D39*Activity!O39</f>
        <v>9.9840052540799995</v>
      </c>
      <c r="N40" s="448">
        <v>0</v>
      </c>
      <c r="O40" s="602">
        <f>Activity!C39*Activity!D39</f>
        <v>64.000033680000001</v>
      </c>
      <c r="P40" s="609">
        <f>Activity!X39</f>
        <v>0</v>
      </c>
    </row>
    <row r="41" spans="2:16">
      <c r="B41" s="7">
        <f t="shared" si="1"/>
        <v>2027</v>
      </c>
      <c r="C41" s="601">
        <f>Activity!$C40*Activity!$D40*Activity!E40</f>
        <v>28.407047601239999</v>
      </c>
      <c r="D41" s="602">
        <f>Activity!$C40*Activity!$D40*Activity!F40</f>
        <v>8.4241589438159998</v>
      </c>
      <c r="E41" s="600">
        <f>Activity!$C40*Activity!$D40*Activity!G40</f>
        <v>0</v>
      </c>
      <c r="F41" s="602">
        <f>Activity!$C40*Activity!$D40*Activity!H40</f>
        <v>0</v>
      </c>
      <c r="G41" s="602">
        <f>Activity!$C40*Activity!$D40*Activity!I40</f>
        <v>6.4650522126960004</v>
      </c>
      <c r="H41" s="602">
        <f>Activity!$C40*Activity!$D40*Activity!J40</f>
        <v>1.7631960580079999</v>
      </c>
      <c r="I41" s="602">
        <f>Activity!$C40*Activity!$D40*Activity!K40</f>
        <v>0.58773201933599994</v>
      </c>
      <c r="J41" s="603">
        <f>Activity!$C40*Activity!$D40*Activity!L40</f>
        <v>4.7018561546879996</v>
      </c>
      <c r="K41" s="602">
        <f>Activity!$C40*Activity!$D40*Activity!M40</f>
        <v>2.1550174042320003</v>
      </c>
      <c r="L41" s="602">
        <f>Activity!$C40*Activity!$D40*Activity!N40</f>
        <v>2.6121423081600001</v>
      </c>
      <c r="M41" s="600">
        <f>Activity!$C40*Activity!$D40*Activity!O40</f>
        <v>10.187355001824001</v>
      </c>
      <c r="N41" s="448">
        <v>0</v>
      </c>
      <c r="O41" s="602">
        <f>Activity!C40*Activity!D40</f>
        <v>65.303557703999999</v>
      </c>
      <c r="P41" s="609">
        <f>Activity!X40</f>
        <v>0</v>
      </c>
    </row>
    <row r="42" spans="2:16">
      <c r="B42" s="7">
        <f t="shared" si="1"/>
        <v>2028</v>
      </c>
      <c r="C42" s="601">
        <f>Activity!$C41*Activity!$D41*Activity!E41</f>
        <v>28.974080551680004</v>
      </c>
      <c r="D42" s="602">
        <f>Activity!$C41*Activity!$D41*Activity!F41</f>
        <v>8.5923135429120023</v>
      </c>
      <c r="E42" s="600">
        <f>Activity!$C41*Activity!$D41*Activity!G41</f>
        <v>0</v>
      </c>
      <c r="F42" s="602">
        <f>Activity!$C41*Activity!$D41*Activity!H41</f>
        <v>0</v>
      </c>
      <c r="G42" s="602">
        <f>Activity!$C41*Activity!$D41*Activity!I41</f>
        <v>6.5941010910720017</v>
      </c>
      <c r="H42" s="602">
        <f>Activity!$C41*Activity!$D41*Activity!J41</f>
        <v>1.7983912066560004</v>
      </c>
      <c r="I42" s="602">
        <f>Activity!$C41*Activity!$D41*Activity!K41</f>
        <v>0.59946373555200005</v>
      </c>
      <c r="J42" s="603">
        <f>Activity!$C41*Activity!$D41*Activity!L41</f>
        <v>4.7957098844160004</v>
      </c>
      <c r="K42" s="602">
        <f>Activity!$C41*Activity!$D41*Activity!M41</f>
        <v>2.1980336970240004</v>
      </c>
      <c r="L42" s="602">
        <f>Activity!$C41*Activity!$D41*Activity!N41</f>
        <v>2.6642832691200007</v>
      </c>
      <c r="M42" s="600">
        <f>Activity!$C41*Activity!$D41*Activity!O41</f>
        <v>10.390704749568002</v>
      </c>
      <c r="N42" s="448">
        <v>0</v>
      </c>
      <c r="O42" s="602">
        <f>Activity!C41*Activity!D41</f>
        <v>66.607081728000011</v>
      </c>
      <c r="P42" s="609">
        <f>Activity!X41</f>
        <v>0</v>
      </c>
    </row>
    <row r="43" spans="2:16">
      <c r="B43" s="7">
        <f t="shared" si="1"/>
        <v>2029</v>
      </c>
      <c r="C43" s="601">
        <f>Activity!$C42*Activity!$D42*Activity!E42</f>
        <v>29.541113502120005</v>
      </c>
      <c r="D43" s="602">
        <f>Activity!$C42*Activity!$D42*Activity!F42</f>
        <v>8.7604681420080013</v>
      </c>
      <c r="E43" s="600">
        <f>Activity!$C42*Activity!$D42*Activity!G42</f>
        <v>0</v>
      </c>
      <c r="F43" s="602">
        <f>Activity!$C42*Activity!$D42*Activity!H42</f>
        <v>0</v>
      </c>
      <c r="G43" s="602">
        <f>Activity!$C42*Activity!$D42*Activity!I42</f>
        <v>6.7231499694480013</v>
      </c>
      <c r="H43" s="602">
        <f>Activity!$C42*Activity!$D42*Activity!J42</f>
        <v>1.8335863553040002</v>
      </c>
      <c r="I43" s="602">
        <f>Activity!$C42*Activity!$D42*Activity!K42</f>
        <v>0.61119545176800005</v>
      </c>
      <c r="J43" s="603">
        <f>Activity!$C42*Activity!$D42*Activity!L42</f>
        <v>4.8895636141440004</v>
      </c>
      <c r="K43" s="602">
        <f>Activity!$C42*Activity!$D42*Activity!M42</f>
        <v>2.2410499898160006</v>
      </c>
      <c r="L43" s="602">
        <f>Activity!$C42*Activity!$D42*Activity!N42</f>
        <v>2.7164242300800003</v>
      </c>
      <c r="M43" s="600">
        <f>Activity!$C42*Activity!$D42*Activity!O42</f>
        <v>10.594054497312001</v>
      </c>
      <c r="N43" s="448">
        <v>0</v>
      </c>
      <c r="O43" s="602">
        <f>Activity!C42*Activity!D42</f>
        <v>67.910605752000009</v>
      </c>
      <c r="P43" s="609">
        <f>Activity!X42</f>
        <v>0</v>
      </c>
    </row>
    <row r="44" spans="2:16">
      <c r="B44" s="7">
        <f t="shared" si="1"/>
        <v>2030</v>
      </c>
      <c r="C44" s="601">
        <f>Activity!$C43*Activity!$D43*Activity!E43</f>
        <v>30.108146452560003</v>
      </c>
      <c r="D44" s="602">
        <f>Activity!$C43*Activity!$D43*Activity!F43</f>
        <v>8.928622741104002</v>
      </c>
      <c r="E44" s="600">
        <f>Activity!$C43*Activity!$D43*Activity!G43</f>
        <v>0</v>
      </c>
      <c r="F44" s="602">
        <f>Activity!$C43*Activity!$D43*Activity!H43</f>
        <v>0</v>
      </c>
      <c r="G44" s="602">
        <f>Activity!$C43*Activity!$D43*Activity!I43</f>
        <v>6.8521988478240008</v>
      </c>
      <c r="H44" s="602">
        <f>Activity!$C43*Activity!$D43*Activity!J43</f>
        <v>1.8687815039520002</v>
      </c>
      <c r="I44" s="602">
        <f>Activity!$C43*Activity!$D43*Activity!K43</f>
        <v>0.62292716798400005</v>
      </c>
      <c r="J44" s="603">
        <f>Activity!$C43*Activity!$D43*Activity!L43</f>
        <v>4.9834173438720004</v>
      </c>
      <c r="K44" s="602">
        <f>Activity!$C43*Activity!$D43*Activity!M43</f>
        <v>2.2840662826080003</v>
      </c>
      <c r="L44" s="602">
        <f>Activity!$C43*Activity!$D43*Activity!N43</f>
        <v>2.7685651910400004</v>
      </c>
      <c r="M44" s="600">
        <f>Activity!$C43*Activity!$D43*Activity!O43</f>
        <v>10.797404245056001</v>
      </c>
      <c r="N44" s="448">
        <v>0</v>
      </c>
      <c r="O44" s="602">
        <f>Activity!C43*Activity!D43</f>
        <v>69.214129776000007</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9" zoomScale="70" zoomScaleNormal="70" workbookViewId="0">
      <selection activeCell="B28" sqref="B28"/>
    </sheetView>
  </sheetViews>
  <sheetFormatPr defaultColWidth="8.85546875" defaultRowHeight="12.75"/>
  <cols>
    <col min="1" max="1" width="8.85546875" style="691"/>
    <col min="2" max="2" width="7" style="687" customWidth="1"/>
    <col min="3" max="3" width="8.85546875" style="687"/>
    <col min="4" max="4" width="13" style="687" bestFit="1" customWidth="1"/>
    <col min="5" max="5" width="12" style="687" customWidth="1"/>
    <col min="6" max="6" width="9.140625" style="687" bestFit="1" customWidth="1"/>
    <col min="7" max="10" width="8.85546875" style="687"/>
    <col min="11" max="11" width="11.42578125" style="687" bestFit="1" customWidth="1"/>
    <col min="12" max="12" width="8.85546875" style="687"/>
    <col min="13" max="13" width="10.7109375" style="687" bestFit="1" customWidth="1"/>
    <col min="14" max="14" width="3" style="687" customWidth="1"/>
    <col min="15" max="15" width="17.140625" style="688" customWidth="1"/>
    <col min="16" max="16" width="4.7109375" style="687" customWidth="1"/>
    <col min="17" max="17" width="2" style="690" customWidth="1"/>
    <col min="18" max="20" width="8.85546875" style="691"/>
    <col min="21" max="21" width="10.7109375" style="691" customWidth="1"/>
    <col min="22" max="27" width="8.85546875" style="691"/>
    <col min="28" max="28" width="8.85546875" style="687"/>
    <col min="29" max="30" width="8.85546875" style="691"/>
    <col min="31" max="31" width="2.7109375" style="691" customWidth="1"/>
    <col min="32" max="32" width="11.7109375" style="691" bestFit="1" customWidth="1"/>
    <col min="33" max="16384" width="8.85546875" style="691"/>
  </cols>
  <sheetData>
    <row r="1" spans="1:32">
      <c r="A1" s="686"/>
      <c r="P1" s="689"/>
    </row>
    <row r="2" spans="1:32">
      <c r="A2" s="686"/>
      <c r="B2" s="692" t="s">
        <v>94</v>
      </c>
      <c r="D2" s="692"/>
      <c r="E2" s="692"/>
    </row>
    <row r="3" spans="1:32">
      <c r="A3" s="686"/>
      <c r="B3" s="692"/>
      <c r="D3" s="692"/>
      <c r="E3" s="692"/>
      <c r="I3" s="692"/>
      <c r="J3" s="693"/>
      <c r="K3" s="693"/>
      <c r="L3" s="693"/>
      <c r="M3" s="693"/>
      <c r="N3" s="693"/>
      <c r="O3" s="694"/>
      <c r="AB3" s="693"/>
    </row>
    <row r="4" spans="1:32" ht="13.5" thickBot="1">
      <c r="A4" s="686"/>
      <c r="B4" s="692" t="s">
        <v>265</v>
      </c>
      <c r="D4" s="692"/>
      <c r="E4" s="692" t="s">
        <v>276</v>
      </c>
      <c r="H4" s="692" t="s">
        <v>30</v>
      </c>
      <c r="I4" s="692"/>
      <c r="J4" s="693"/>
      <c r="K4" s="693"/>
      <c r="L4" s="693"/>
      <c r="M4" s="693"/>
      <c r="N4" s="693"/>
      <c r="O4" s="694"/>
      <c r="AB4" s="693"/>
    </row>
    <row r="5" spans="1:32" ht="13.5" thickBot="1">
      <c r="A5" s="686"/>
      <c r="B5" s="695" t="str">
        <f>city</f>
        <v>Samarinda</v>
      </c>
      <c r="C5" s="696"/>
      <c r="D5" s="696"/>
      <c r="E5" s="695" t="str">
        <f>province</f>
        <v>Kalimantan Timur</v>
      </c>
      <c r="F5" s="696"/>
      <c r="G5" s="696"/>
      <c r="H5" s="695" t="str">
        <f>country</f>
        <v>Indonesia</v>
      </c>
      <c r="I5" s="696"/>
      <c r="J5" s="697"/>
      <c r="K5" s="693"/>
      <c r="L5" s="693"/>
      <c r="M5" s="693"/>
      <c r="N5" s="693"/>
      <c r="O5" s="694"/>
      <c r="AB5" s="693"/>
    </row>
    <row r="6" spans="1:32">
      <c r="A6" s="686"/>
      <c r="C6" s="692"/>
      <c r="D6" s="692"/>
      <c r="E6" s="692"/>
    </row>
    <row r="7" spans="1:32">
      <c r="A7" s="686"/>
      <c r="B7" s="687" t="s">
        <v>35</v>
      </c>
      <c r="P7" s="689"/>
    </row>
    <row r="8" spans="1:32">
      <c r="A8" s="686"/>
      <c r="B8" s="687" t="s">
        <v>37</v>
      </c>
      <c r="P8" s="689"/>
    </row>
    <row r="9" spans="1:32">
      <c r="B9" s="698"/>
      <c r="P9" s="689"/>
    </row>
    <row r="10" spans="1:32">
      <c r="P10" s="699"/>
    </row>
    <row r="11" spans="1:32" ht="13.5" thickBot="1">
      <c r="A11" s="700"/>
      <c r="P11" s="700"/>
      <c r="Q11" s="701"/>
    </row>
    <row r="12" spans="1:32" ht="13.5" thickBot="1">
      <c r="A12" s="702"/>
      <c r="B12" s="703"/>
      <c r="C12" s="812" t="s">
        <v>91</v>
      </c>
      <c r="D12" s="813"/>
      <c r="E12" s="813"/>
      <c r="F12" s="813"/>
      <c r="G12" s="813"/>
      <c r="H12" s="813"/>
      <c r="I12" s="813"/>
      <c r="J12" s="813"/>
      <c r="K12" s="813"/>
      <c r="L12" s="813"/>
      <c r="M12" s="814"/>
      <c r="N12" s="704"/>
      <c r="O12" s="705"/>
      <c r="P12" s="702"/>
      <c r="Q12" s="701"/>
      <c r="S12" s="703"/>
      <c r="T12" s="812" t="s">
        <v>91</v>
      </c>
      <c r="U12" s="813"/>
      <c r="V12" s="813"/>
      <c r="W12" s="813"/>
      <c r="X12" s="813"/>
      <c r="Y12" s="813"/>
      <c r="Z12" s="813"/>
      <c r="AA12" s="813"/>
      <c r="AB12" s="813"/>
      <c r="AC12" s="813"/>
      <c r="AD12" s="814"/>
      <c r="AE12" s="704"/>
      <c r="AF12" s="706"/>
    </row>
    <row r="13" spans="1:32" ht="39" thickBot="1">
      <c r="A13" s="702"/>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02"/>
      <c r="Q13" s="701"/>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6.25" thickBot="1">
      <c r="A14" s="702"/>
      <c r="B14" s="707"/>
      <c r="C14" s="708" t="s">
        <v>81</v>
      </c>
      <c r="D14" s="709" t="s">
        <v>87</v>
      </c>
      <c r="E14" s="709" t="s">
        <v>88</v>
      </c>
      <c r="F14" s="709" t="s">
        <v>275</v>
      </c>
      <c r="G14" s="709" t="s">
        <v>89</v>
      </c>
      <c r="H14" s="709" t="s">
        <v>82</v>
      </c>
      <c r="I14" s="710" t="s">
        <v>92</v>
      </c>
      <c r="J14" s="711" t="s">
        <v>93</v>
      </c>
      <c r="K14" s="711" t="s">
        <v>316</v>
      </c>
      <c r="L14" s="712" t="s">
        <v>194</v>
      </c>
      <c r="M14" s="711" t="s">
        <v>162</v>
      </c>
      <c r="N14" s="713"/>
      <c r="O14" s="714" t="s">
        <v>163</v>
      </c>
      <c r="P14" s="702"/>
      <c r="Q14" s="701"/>
      <c r="S14" s="707"/>
      <c r="T14" s="708" t="s">
        <v>81</v>
      </c>
      <c r="U14" s="709" t="s">
        <v>87</v>
      </c>
      <c r="V14" s="709" t="s">
        <v>88</v>
      </c>
      <c r="W14" s="709" t="s">
        <v>275</v>
      </c>
      <c r="X14" s="709" t="s">
        <v>89</v>
      </c>
      <c r="Y14" s="709" t="s">
        <v>82</v>
      </c>
      <c r="Z14" s="710" t="s">
        <v>92</v>
      </c>
      <c r="AA14" s="711" t="s">
        <v>93</v>
      </c>
      <c r="AB14" s="711" t="s">
        <v>316</v>
      </c>
      <c r="AC14" s="712" t="s">
        <v>194</v>
      </c>
      <c r="AD14" s="711" t="s">
        <v>162</v>
      </c>
      <c r="AE14" s="713"/>
      <c r="AF14" s="715" t="s">
        <v>163</v>
      </c>
    </row>
    <row r="15" spans="1:32" ht="13.5" thickBot="1">
      <c r="B15" s="716"/>
      <c r="C15" s="717" t="s">
        <v>15</v>
      </c>
      <c r="D15" s="718" t="s">
        <v>15</v>
      </c>
      <c r="E15" s="718" t="s">
        <v>15</v>
      </c>
      <c r="F15" s="718" t="s">
        <v>15</v>
      </c>
      <c r="G15" s="718" t="s">
        <v>15</v>
      </c>
      <c r="H15" s="718" t="s">
        <v>15</v>
      </c>
      <c r="I15" s="719" t="s">
        <v>15</v>
      </c>
      <c r="J15" s="719" t="s">
        <v>15</v>
      </c>
      <c r="K15" s="719" t="s">
        <v>15</v>
      </c>
      <c r="L15" s="720" t="s">
        <v>15</v>
      </c>
      <c r="M15" s="719" t="s">
        <v>15</v>
      </c>
      <c r="N15" s="713"/>
      <c r="O15" s="714" t="s">
        <v>15</v>
      </c>
      <c r="P15" s="691"/>
      <c r="Q15" s="701"/>
      <c r="S15" s="716"/>
      <c r="T15" s="717" t="s">
        <v>15</v>
      </c>
      <c r="U15" s="718" t="s">
        <v>15</v>
      </c>
      <c r="V15" s="718" t="s">
        <v>15</v>
      </c>
      <c r="W15" s="718" t="s">
        <v>15</v>
      </c>
      <c r="X15" s="718" t="s">
        <v>15</v>
      </c>
      <c r="Y15" s="718" t="s">
        <v>15</v>
      </c>
      <c r="Z15" s="719" t="s">
        <v>15</v>
      </c>
      <c r="AA15" s="719" t="s">
        <v>15</v>
      </c>
      <c r="AB15" s="719" t="s">
        <v>15</v>
      </c>
      <c r="AC15" s="720" t="s">
        <v>15</v>
      </c>
      <c r="AD15" s="719" t="s">
        <v>15</v>
      </c>
      <c r="AE15" s="713"/>
      <c r="AF15" s="715" t="s">
        <v>15</v>
      </c>
    </row>
    <row r="16" spans="1:32" ht="13.5" thickBot="1">
      <c r="B16" s="721"/>
      <c r="C16" s="722"/>
      <c r="D16" s="723"/>
      <c r="E16" s="723"/>
      <c r="F16" s="723"/>
      <c r="G16" s="723"/>
      <c r="H16" s="723"/>
      <c r="I16" s="724"/>
      <c r="J16" s="724"/>
      <c r="K16" s="725"/>
      <c r="L16" s="726"/>
      <c r="M16" s="725"/>
      <c r="N16" s="727"/>
      <c r="O16" s="728"/>
      <c r="P16" s="691"/>
      <c r="Q16" s="701"/>
      <c r="S16" s="721"/>
      <c r="T16" s="722"/>
      <c r="U16" s="723"/>
      <c r="V16" s="723"/>
      <c r="W16" s="723"/>
      <c r="X16" s="723"/>
      <c r="Y16" s="723"/>
      <c r="Z16" s="724"/>
      <c r="AA16" s="724"/>
      <c r="AB16" s="725"/>
      <c r="AC16" s="726"/>
      <c r="AD16" s="725"/>
      <c r="AE16" s="727"/>
      <c r="AF16" s="729"/>
    </row>
    <row r="17" spans="2:32">
      <c r="B17" s="730">
        <f>year</f>
        <v>2000</v>
      </c>
      <c r="C17" s="731">
        <f>IF(Select2=1,Food!$K19,"")</f>
        <v>0</v>
      </c>
      <c r="D17" s="732">
        <f>IF(Select2=1,Paper!$K19,"")</f>
        <v>0</v>
      </c>
      <c r="E17" s="732">
        <f>IF(Select2=1,Nappies!$K19,"")</f>
        <v>0</v>
      </c>
      <c r="F17" s="732">
        <f>IF(Select2=1,Garden!$K19,"")</f>
        <v>0</v>
      </c>
      <c r="G17" s="732">
        <f>IF(Select2=1,Wood!$K19,"")</f>
        <v>0</v>
      </c>
      <c r="H17" s="732">
        <f>IF(Select2=1,Textiles!$K19,"")</f>
        <v>0</v>
      </c>
      <c r="I17" s="733">
        <f>Sludge!K19</f>
        <v>0</v>
      </c>
      <c r="J17" s="734" t="str">
        <f>IF(Select2=2,MSW!$K19,"")</f>
        <v/>
      </c>
      <c r="K17" s="733">
        <f>Industry!$K19</f>
        <v>0</v>
      </c>
      <c r="L17" s="735">
        <f>SUM(C17:K17)</f>
        <v>0</v>
      </c>
      <c r="M17" s="736">
        <f>Recovery_OX!C12</f>
        <v>0</v>
      </c>
      <c r="N17" s="699"/>
      <c r="O17" s="737">
        <f>(L17-M17)*(1-Recovery_OX!F12)</f>
        <v>0</v>
      </c>
      <c r="P17" s="691"/>
      <c r="Q17" s="701"/>
      <c r="S17" s="730">
        <f>year</f>
        <v>2000</v>
      </c>
      <c r="T17" s="731">
        <f>IF(Select2=1,Food!$W19,"")</f>
        <v>0</v>
      </c>
      <c r="U17" s="732">
        <f>IF(Select2=1,Paper!$W19,"")</f>
        <v>0</v>
      </c>
      <c r="V17" s="732">
        <f>IF(Select2=1,Nappies!$W19,"")</f>
        <v>0</v>
      </c>
      <c r="W17" s="732">
        <f>IF(Select2=1,Garden!$W19,"")</f>
        <v>0</v>
      </c>
      <c r="X17" s="732">
        <f>IF(Select2=1,Wood!$W19,"")</f>
        <v>0</v>
      </c>
      <c r="Y17" s="732">
        <f>IF(Select2=1,Textiles!$W19,"")</f>
        <v>0</v>
      </c>
      <c r="Z17" s="733">
        <f>Sludge!W19</f>
        <v>0</v>
      </c>
      <c r="AA17" s="734" t="str">
        <f>IF(Select2=2,MSW!$W19,"")</f>
        <v/>
      </c>
      <c r="AB17" s="733">
        <f>Industry!$W19</f>
        <v>0</v>
      </c>
      <c r="AC17" s="735">
        <f t="shared" ref="AC17:AC48" si="0">SUM(T17:AA17)</f>
        <v>0</v>
      </c>
      <c r="AD17" s="736">
        <f>Recovery_OX!R12</f>
        <v>0</v>
      </c>
      <c r="AE17" s="699"/>
      <c r="AF17" s="738">
        <f>(AC17-AD17)*(1-Recovery_OX!U12)</f>
        <v>0</v>
      </c>
    </row>
    <row r="18" spans="2:32">
      <c r="B18" s="739">
        <f t="shared" ref="B18:B81" si="1">B17+1</f>
        <v>2001</v>
      </c>
      <c r="C18" s="740">
        <f>IF(Select2=1,Food!$K20,"")</f>
        <v>0.27561770467134639</v>
      </c>
      <c r="D18" s="741">
        <f>IF(Select2=1,Paper!$K20,"")</f>
        <v>1.4473420060994566E-2</v>
      </c>
      <c r="E18" s="732">
        <f>IF(Select2=1,Nappies!$K20,"")</f>
        <v>4.5639415117053113E-2</v>
      </c>
      <c r="F18" s="741">
        <f>IF(Select2=1,Garden!$K20,"")</f>
        <v>0</v>
      </c>
      <c r="G18" s="732">
        <f>IF(Select2=1,Wood!$K20,"")</f>
        <v>0</v>
      </c>
      <c r="H18" s="741">
        <f>IF(Select2=1,Textiles!$K20,"")</f>
        <v>3.426762317439493E-3</v>
      </c>
      <c r="I18" s="742">
        <f>Sludge!K20</f>
        <v>0</v>
      </c>
      <c r="J18" s="742" t="str">
        <f>IF(Select2=2,MSW!$K20,"")</f>
        <v/>
      </c>
      <c r="K18" s="742">
        <f>Industry!$K20</f>
        <v>0</v>
      </c>
      <c r="L18" s="743">
        <f>SUM(C18:K18)</f>
        <v>0.33915730216683354</v>
      </c>
      <c r="M18" s="744">
        <f>Recovery_OX!C13</f>
        <v>0</v>
      </c>
      <c r="N18" s="699"/>
      <c r="O18" s="745">
        <f>(L18-M18)*(1-Recovery_OX!F13)</f>
        <v>0.33915730216683354</v>
      </c>
      <c r="P18" s="691"/>
      <c r="Q18" s="701"/>
      <c r="S18" s="739">
        <f t="shared" ref="S18:S81" si="2">S17+1</f>
        <v>2001</v>
      </c>
      <c r="T18" s="740">
        <f>IF(Select2=1,Food!$W20,"")</f>
        <v>0.18440078367842086</v>
      </c>
      <c r="U18" s="741">
        <f>IF(Select2=1,Paper!$W20,"")</f>
        <v>2.9903760456600342E-2</v>
      </c>
      <c r="V18" s="732">
        <f>IF(Select2=1,Nappies!$W20,"")</f>
        <v>0</v>
      </c>
      <c r="W18" s="741">
        <f>IF(Select2=1,Garden!$W20,"")</f>
        <v>0</v>
      </c>
      <c r="X18" s="732">
        <f>IF(Select2=1,Wood!$W20,"")</f>
        <v>1.2551146925341271E-2</v>
      </c>
      <c r="Y18" s="741">
        <f>IF(Select2=1,Textiles!$W20,"")</f>
        <v>3.7553559643172521E-3</v>
      </c>
      <c r="Z18" s="734">
        <f>Sludge!W20</f>
        <v>0</v>
      </c>
      <c r="AA18" s="734" t="str">
        <f>IF(Select2=2,MSW!$W20,"")</f>
        <v/>
      </c>
      <c r="AB18" s="742">
        <f>Industry!$W20</f>
        <v>0</v>
      </c>
      <c r="AC18" s="743">
        <f t="shared" si="0"/>
        <v>0.23061104702467972</v>
      </c>
      <c r="AD18" s="744">
        <f>Recovery_OX!R13</f>
        <v>0</v>
      </c>
      <c r="AE18" s="699"/>
      <c r="AF18" s="746">
        <f>(AC18-AD18)*(1-Recovery_OX!U13)</f>
        <v>0.23061104702467972</v>
      </c>
    </row>
    <row r="19" spans="2:32">
      <c r="B19" s="739">
        <f t="shared" si="1"/>
        <v>2002</v>
      </c>
      <c r="C19" s="740">
        <f>IF(Select2=1,Food!$K21,"")</f>
        <v>0.46588825172867943</v>
      </c>
      <c r="D19" s="741">
        <f>IF(Select2=1,Paper!$K21,"")</f>
        <v>2.8258137282721037E-2</v>
      </c>
      <c r="E19" s="732">
        <f>IF(Select2=1,Nappies!$K21,"")</f>
        <v>8.5057585691355714E-2</v>
      </c>
      <c r="F19" s="741">
        <f>IF(Select2=1,Garden!$K21,"")</f>
        <v>0</v>
      </c>
      <c r="G19" s="732">
        <f>IF(Select2=1,Wood!$K21,"")</f>
        <v>0</v>
      </c>
      <c r="H19" s="741">
        <f>IF(Select2=1,Textiles!$K21,"")</f>
        <v>6.6904656669521398E-3</v>
      </c>
      <c r="I19" s="742">
        <f>Sludge!K21</f>
        <v>0</v>
      </c>
      <c r="J19" s="742" t="str">
        <f>IF(Select2=2,MSW!$K21,"")</f>
        <v/>
      </c>
      <c r="K19" s="742">
        <f>Industry!$K21</f>
        <v>0</v>
      </c>
      <c r="L19" s="743">
        <f t="shared" ref="L19:L82" si="3">SUM(C19:K19)</f>
        <v>0.58589444036970839</v>
      </c>
      <c r="M19" s="744">
        <f>Recovery_OX!C14</f>
        <v>0</v>
      </c>
      <c r="N19" s="699"/>
      <c r="O19" s="745">
        <f>(L19-M19)*(1-Recovery_OX!F14)</f>
        <v>0.58589444036970839</v>
      </c>
      <c r="P19" s="691"/>
      <c r="Q19" s="701"/>
      <c r="S19" s="739">
        <f t="shared" si="2"/>
        <v>2002</v>
      </c>
      <c r="T19" s="740">
        <f>IF(Select2=1,Food!$W21,"")</f>
        <v>0.31170043603613701</v>
      </c>
      <c r="U19" s="741">
        <f>IF(Select2=1,Paper!$W21,"")</f>
        <v>5.8384581162646776E-2</v>
      </c>
      <c r="V19" s="732">
        <f>IF(Select2=1,Nappies!$W21,"")</f>
        <v>0</v>
      </c>
      <c r="W19" s="741">
        <f>IF(Select2=1,Garden!$W21,"")</f>
        <v>0</v>
      </c>
      <c r="X19" s="732">
        <f>IF(Select2=1,Wood!$W21,"")</f>
        <v>2.4921904031144915E-2</v>
      </c>
      <c r="Y19" s="741">
        <f>IF(Select2=1,Textiles!$W21,"")</f>
        <v>7.3320171692626175E-3</v>
      </c>
      <c r="Z19" s="734">
        <f>Sludge!W21</f>
        <v>0</v>
      </c>
      <c r="AA19" s="734" t="str">
        <f>IF(Select2=2,MSW!$W21,"")</f>
        <v/>
      </c>
      <c r="AB19" s="742">
        <f>Industry!$W21</f>
        <v>0</v>
      </c>
      <c r="AC19" s="743">
        <f t="shared" si="0"/>
        <v>0.40233893839919133</v>
      </c>
      <c r="AD19" s="744">
        <f>Recovery_OX!R14</f>
        <v>0</v>
      </c>
      <c r="AE19" s="699"/>
      <c r="AF19" s="746">
        <f>(AC19-AD19)*(1-Recovery_OX!U14)</f>
        <v>0.40233893839919133</v>
      </c>
    </row>
    <row r="20" spans="2:32">
      <c r="B20" s="739">
        <f t="shared" si="1"/>
        <v>2003</v>
      </c>
      <c r="C20" s="740">
        <f>IF(Select2=1,Food!$K22,"")</f>
        <v>0.59984264743194138</v>
      </c>
      <c r="D20" s="741">
        <f>IF(Select2=1,Paper!$K22,"")</f>
        <v>4.1447645913898941E-2</v>
      </c>
      <c r="E20" s="732">
        <f>IF(Select2=1,Nappies!$K22,"")</f>
        <v>0.11937510833540718</v>
      </c>
      <c r="F20" s="741">
        <f>IF(Select2=1,Garden!$K22,"")</f>
        <v>0</v>
      </c>
      <c r="G20" s="732">
        <f>IF(Select2=1,Wood!$K22,"")</f>
        <v>0</v>
      </c>
      <c r="H20" s="741">
        <f>IF(Select2=1,Textiles!$K22,"")</f>
        <v>9.8132459754342212E-3</v>
      </c>
      <c r="I20" s="742">
        <f>Sludge!K22</f>
        <v>0</v>
      </c>
      <c r="J20" s="742" t="str">
        <f>IF(Select2=2,MSW!$K22,"")</f>
        <v/>
      </c>
      <c r="K20" s="742">
        <f>Industry!$K22</f>
        <v>0</v>
      </c>
      <c r="L20" s="743">
        <f t="shared" si="3"/>
        <v>0.77047864765668173</v>
      </c>
      <c r="M20" s="744">
        <f>Recovery_OX!C15</f>
        <v>0</v>
      </c>
      <c r="N20" s="699"/>
      <c r="O20" s="745">
        <f>(L20-M20)*(1-Recovery_OX!F15)</f>
        <v>0.77047864765668173</v>
      </c>
      <c r="P20" s="691"/>
      <c r="Q20" s="701"/>
      <c r="S20" s="739">
        <f t="shared" si="2"/>
        <v>2003</v>
      </c>
      <c r="T20" s="740">
        <f>IF(Select2=1,Food!$W22,"")</f>
        <v>0.40132202102939873</v>
      </c>
      <c r="U20" s="741">
        <f>IF(Select2=1,Paper!$W22,"")</f>
        <v>8.5635632053510213E-2</v>
      </c>
      <c r="V20" s="732">
        <f>IF(Select2=1,Nappies!$W22,"")</f>
        <v>0</v>
      </c>
      <c r="W20" s="741">
        <f>IF(Select2=1,Garden!$W22,"")</f>
        <v>0</v>
      </c>
      <c r="X20" s="732">
        <f>IF(Select2=1,Wood!$W22,"")</f>
        <v>3.7159175979805573E-2</v>
      </c>
      <c r="Y20" s="741">
        <f>IF(Select2=1,Textiles!$W22,"")</f>
        <v>1.0754242164859422E-2</v>
      </c>
      <c r="Z20" s="734">
        <f>Sludge!W22</f>
        <v>0</v>
      </c>
      <c r="AA20" s="734" t="str">
        <f>IF(Select2=2,MSW!$W22,"")</f>
        <v/>
      </c>
      <c r="AB20" s="742">
        <f>Industry!$W22</f>
        <v>0</v>
      </c>
      <c r="AC20" s="743">
        <f t="shared" si="0"/>
        <v>0.53487107122757394</v>
      </c>
      <c r="AD20" s="744">
        <f>Recovery_OX!R15</f>
        <v>0</v>
      </c>
      <c r="AE20" s="699"/>
      <c r="AF20" s="746">
        <f>(AC20-AD20)*(1-Recovery_OX!U15)</f>
        <v>0.53487107122757394</v>
      </c>
    </row>
    <row r="21" spans="2:32">
      <c r="B21" s="739">
        <f t="shared" si="1"/>
        <v>2004</v>
      </c>
      <c r="C21" s="740">
        <f>IF(Select2=1,Food!$K23,"")</f>
        <v>0.69884581140136304</v>
      </c>
      <c r="D21" s="741">
        <f>IF(Select2=1,Paper!$K23,"")</f>
        <v>5.4229148382092821E-2</v>
      </c>
      <c r="E21" s="732">
        <f>IF(Select2=1,Nappies!$K23,"")</f>
        <v>0.14985281495289482</v>
      </c>
      <c r="F21" s="741">
        <f>IF(Select2=1,Garden!$K23,"")</f>
        <v>0</v>
      </c>
      <c r="G21" s="732">
        <f>IF(Select2=1,Wood!$K23,"")</f>
        <v>0</v>
      </c>
      <c r="H21" s="741">
        <f>IF(Select2=1,Textiles!$K23,"")</f>
        <v>1.2839425747297829E-2</v>
      </c>
      <c r="I21" s="742">
        <f>Sludge!K23</f>
        <v>0</v>
      </c>
      <c r="J21" s="742" t="str">
        <f>IF(Select2=2,MSW!$K23,"")</f>
        <v/>
      </c>
      <c r="K21" s="742">
        <f>Industry!$K23</f>
        <v>0</v>
      </c>
      <c r="L21" s="743">
        <f t="shared" si="3"/>
        <v>0.91576720048364846</v>
      </c>
      <c r="M21" s="744">
        <f>Recovery_OX!C16</f>
        <v>0</v>
      </c>
      <c r="N21" s="699"/>
      <c r="O21" s="745">
        <f>(L21-M21)*(1-Recovery_OX!F16)</f>
        <v>0.91576720048364846</v>
      </c>
      <c r="P21" s="691"/>
      <c r="Q21" s="701"/>
      <c r="S21" s="739">
        <f t="shared" si="2"/>
        <v>2004</v>
      </c>
      <c r="T21" s="740">
        <f>IF(Select2=1,Food!$W23,"")</f>
        <v>0.46755964188315985</v>
      </c>
      <c r="U21" s="741">
        <f>IF(Select2=1,Paper!$W23,"")</f>
        <v>0.11204369500432404</v>
      </c>
      <c r="V21" s="732">
        <f>IF(Select2=1,Nappies!$W23,"")</f>
        <v>0</v>
      </c>
      <c r="W21" s="741">
        <f>IF(Select2=1,Garden!$W23,"")</f>
        <v>0</v>
      </c>
      <c r="X21" s="732">
        <f>IF(Select2=1,Wood!$W23,"")</f>
        <v>4.9394997885666453E-2</v>
      </c>
      <c r="Y21" s="741">
        <f>IF(Select2=1,Textiles!$W23,"")</f>
        <v>1.4070603558682549E-2</v>
      </c>
      <c r="Z21" s="734">
        <f>Sludge!W23</f>
        <v>0</v>
      </c>
      <c r="AA21" s="734" t="str">
        <f>IF(Select2=2,MSW!$W23,"")</f>
        <v/>
      </c>
      <c r="AB21" s="742">
        <f>Industry!$W23</f>
        <v>0</v>
      </c>
      <c r="AC21" s="743">
        <f t="shared" si="0"/>
        <v>0.64306893833183287</v>
      </c>
      <c r="AD21" s="744">
        <f>Recovery_OX!R16</f>
        <v>0</v>
      </c>
      <c r="AE21" s="699"/>
      <c r="AF21" s="746">
        <f>(AC21-AD21)*(1-Recovery_OX!U16)</f>
        <v>0.64306893833183287</v>
      </c>
    </row>
    <row r="22" spans="2:32">
      <c r="B22" s="739">
        <f t="shared" si="1"/>
        <v>2005</v>
      </c>
      <c r="C22" s="740">
        <f>IF(Select2=1,Food!$K24,"")</f>
        <v>0.76865886164172859</v>
      </c>
      <c r="D22" s="741">
        <f>IF(Select2=1,Paper!$K24,"")</f>
        <v>6.6327671328139243E-2</v>
      </c>
      <c r="E22" s="732">
        <f>IF(Select2=1,Nappies!$K24,"")</f>
        <v>0.17613694265556723</v>
      </c>
      <c r="F22" s="741">
        <f>IF(Select2=1,Garden!$K24,"")</f>
        <v>0</v>
      </c>
      <c r="G22" s="732">
        <f>IF(Select2=1,Wood!$K24,"")</f>
        <v>0</v>
      </c>
      <c r="H22" s="741">
        <f>IF(Select2=1,Textiles!$K24,"")</f>
        <v>1.5703901617788105E-2</v>
      </c>
      <c r="I22" s="742">
        <f>Sludge!K24</f>
        <v>0</v>
      </c>
      <c r="J22" s="742" t="str">
        <f>IF(Select2=2,MSW!$K24,"")</f>
        <v/>
      </c>
      <c r="K22" s="742">
        <f>Industry!$K24</f>
        <v>0</v>
      </c>
      <c r="L22" s="743">
        <f t="shared" si="3"/>
        <v>1.026827377243223</v>
      </c>
      <c r="M22" s="744">
        <f>Recovery_OX!C17</f>
        <v>0</v>
      </c>
      <c r="N22" s="699"/>
      <c r="O22" s="745">
        <f>(L22-M22)*(1-Recovery_OX!F17)</f>
        <v>1.026827377243223</v>
      </c>
      <c r="P22" s="691"/>
      <c r="Q22" s="701"/>
      <c r="S22" s="739">
        <f t="shared" si="2"/>
        <v>2005</v>
      </c>
      <c r="T22" s="740">
        <f>IF(Select2=1,Food!$W24,"")</f>
        <v>0.51426774864522429</v>
      </c>
      <c r="U22" s="741">
        <f>IF(Select2=1,Paper!$W24,"")</f>
        <v>0.1370406432399571</v>
      </c>
      <c r="V22" s="732">
        <f>IF(Select2=1,Nappies!$W24,"")</f>
        <v>0</v>
      </c>
      <c r="W22" s="741">
        <f>IF(Select2=1,Garden!$W24,"")</f>
        <v>0</v>
      </c>
      <c r="X22" s="732">
        <f>IF(Select2=1,Wood!$W24,"")</f>
        <v>6.1367046350135047E-2</v>
      </c>
      <c r="Y22" s="741">
        <f>IF(Select2=1,Textiles!$W24,"")</f>
        <v>1.7209755197576004E-2</v>
      </c>
      <c r="Z22" s="734">
        <f>Sludge!W24</f>
        <v>0</v>
      </c>
      <c r="AA22" s="734" t="str">
        <f>IF(Select2=2,MSW!$W24,"")</f>
        <v/>
      </c>
      <c r="AB22" s="742">
        <f>Industry!$W24</f>
        <v>0</v>
      </c>
      <c r="AC22" s="743">
        <f t="shared" si="0"/>
        <v>0.72988519343289249</v>
      </c>
      <c r="AD22" s="744">
        <f>Recovery_OX!R17</f>
        <v>0</v>
      </c>
      <c r="AE22" s="699"/>
      <c r="AF22" s="746">
        <f>(AC22-AD22)*(1-Recovery_OX!U17)</f>
        <v>0.72988519343289249</v>
      </c>
    </row>
    <row r="23" spans="2:32">
      <c r="B23" s="739">
        <f t="shared" si="1"/>
        <v>2006</v>
      </c>
      <c r="C23" s="740">
        <f>IF(Select2=1,Food!$K25,"")</f>
        <v>0.82380104926219677</v>
      </c>
      <c r="D23" s="741">
        <f>IF(Select2=1,Paper!$K25,"")</f>
        <v>7.8046482819607244E-2</v>
      </c>
      <c r="E23" s="732">
        <f>IF(Select2=1,Nappies!$K25,"")</f>
        <v>0.19969379798504683</v>
      </c>
      <c r="F23" s="741">
        <f>IF(Select2=1,Garden!$K25,"")</f>
        <v>0</v>
      </c>
      <c r="G23" s="732">
        <f>IF(Select2=1,Wood!$K25,"")</f>
        <v>0</v>
      </c>
      <c r="H23" s="741">
        <f>IF(Select2=1,Textiles!$K25,"")</f>
        <v>1.8478476075995322E-2</v>
      </c>
      <c r="I23" s="742">
        <f>Sludge!K25</f>
        <v>0</v>
      </c>
      <c r="J23" s="742" t="str">
        <f>IF(Select2=2,MSW!$K25,"")</f>
        <v/>
      </c>
      <c r="K23" s="742">
        <f>Industry!$K25</f>
        <v>0</v>
      </c>
      <c r="L23" s="743">
        <f t="shared" si="3"/>
        <v>1.1200198061428461</v>
      </c>
      <c r="M23" s="744">
        <f>Recovery_OX!C18</f>
        <v>0</v>
      </c>
      <c r="N23" s="699"/>
      <c r="O23" s="745">
        <f>(L23-M23)*(1-Recovery_OX!F18)</f>
        <v>1.1200198061428461</v>
      </c>
      <c r="P23" s="691"/>
      <c r="Q23" s="701"/>
      <c r="S23" s="739">
        <f t="shared" si="2"/>
        <v>2006</v>
      </c>
      <c r="T23" s="740">
        <f>IF(Select2=1,Food!$W25,"")</f>
        <v>0.55116038086230834</v>
      </c>
      <c r="U23" s="741">
        <f>IF(Select2=1,Paper!$W25,"")</f>
        <v>0.16125306367687448</v>
      </c>
      <c r="V23" s="732">
        <f>IF(Select2=1,Nappies!$W25,"")</f>
        <v>0</v>
      </c>
      <c r="W23" s="741">
        <f>IF(Select2=1,Garden!$W25,"")</f>
        <v>0</v>
      </c>
      <c r="X23" s="732">
        <f>IF(Select2=1,Wood!$W25,"")</f>
        <v>7.3307342436417053E-2</v>
      </c>
      <c r="Y23" s="741">
        <f>IF(Select2=1,Textiles!$W25,"")</f>
        <v>2.0250384740816793E-2</v>
      </c>
      <c r="Z23" s="734">
        <f>Sludge!W25</f>
        <v>0</v>
      </c>
      <c r="AA23" s="734" t="str">
        <f>IF(Select2=2,MSW!$W25,"")</f>
        <v/>
      </c>
      <c r="AB23" s="742">
        <f>Industry!$W25</f>
        <v>0</v>
      </c>
      <c r="AC23" s="743">
        <f t="shared" si="0"/>
        <v>0.80597117171641652</v>
      </c>
      <c r="AD23" s="744">
        <f>Recovery_OX!R18</f>
        <v>0</v>
      </c>
      <c r="AE23" s="699"/>
      <c r="AF23" s="746">
        <f>(AC23-AD23)*(1-Recovery_OX!U18)</f>
        <v>0.80597117171641652</v>
      </c>
    </row>
    <row r="24" spans="2:32">
      <c r="B24" s="739">
        <f t="shared" si="1"/>
        <v>2007</v>
      </c>
      <c r="C24" s="740">
        <f>IF(Select2=1,Food!$K26,"")</f>
        <v>0.86432261536785626</v>
      </c>
      <c r="D24" s="741">
        <f>IF(Select2=1,Paper!$K26,"")</f>
        <v>8.9159904548490002E-2</v>
      </c>
      <c r="E24" s="732">
        <f>IF(Select2=1,Nappies!$K26,"")</f>
        <v>0.22015716370357777</v>
      </c>
      <c r="F24" s="741">
        <f>IF(Select2=1,Garden!$K26,"")</f>
        <v>0</v>
      </c>
      <c r="G24" s="732">
        <f>IF(Select2=1,Wood!$K26,"")</f>
        <v>0</v>
      </c>
      <c r="H24" s="741">
        <f>IF(Select2=1,Textiles!$K26,"")</f>
        <v>2.1109716973990222E-2</v>
      </c>
      <c r="I24" s="742">
        <f>Sludge!K26</f>
        <v>0</v>
      </c>
      <c r="J24" s="742" t="str">
        <f>IF(Select2=2,MSW!$K26,"")</f>
        <v/>
      </c>
      <c r="K24" s="742">
        <f>Industry!$K26</f>
        <v>0</v>
      </c>
      <c r="L24" s="743">
        <f t="shared" si="3"/>
        <v>1.1947494005939143</v>
      </c>
      <c r="M24" s="744">
        <f>Recovery_OX!C19</f>
        <v>0</v>
      </c>
      <c r="N24" s="699"/>
      <c r="O24" s="745">
        <f>(L24-M24)*(1-Recovery_OX!F19)</f>
        <v>1.1947494005939143</v>
      </c>
      <c r="P24" s="691"/>
      <c r="Q24" s="701"/>
      <c r="S24" s="739">
        <f t="shared" si="2"/>
        <v>2007</v>
      </c>
      <c r="T24" s="740">
        <f>IF(Select2=1,Food!$W26,"")</f>
        <v>0.5782711521194398</v>
      </c>
      <c r="U24" s="741">
        <f>IF(Select2=1,Paper!$W26,"")</f>
        <v>0.18421467881919423</v>
      </c>
      <c r="V24" s="732">
        <f>IF(Select2=1,Nappies!$W26,"")</f>
        <v>0</v>
      </c>
      <c r="W24" s="741">
        <f>IF(Select2=1,Garden!$W26,"")</f>
        <v>0</v>
      </c>
      <c r="X24" s="732">
        <f>IF(Select2=1,Wood!$W26,"")</f>
        <v>8.4999011796848961E-2</v>
      </c>
      <c r="Y24" s="741">
        <f>IF(Select2=1,Textiles!$W26,"")</f>
        <v>2.3133936409852299E-2</v>
      </c>
      <c r="Z24" s="734">
        <f>Sludge!W26</f>
        <v>0</v>
      </c>
      <c r="AA24" s="734" t="str">
        <f>IF(Select2=2,MSW!$W26,"")</f>
        <v/>
      </c>
      <c r="AB24" s="742">
        <f>Industry!$W26</f>
        <v>0</v>
      </c>
      <c r="AC24" s="743">
        <f t="shared" si="0"/>
        <v>0.87061877914533525</v>
      </c>
      <c r="AD24" s="744">
        <f>Recovery_OX!R19</f>
        <v>0</v>
      </c>
      <c r="AE24" s="699"/>
      <c r="AF24" s="746">
        <f>(AC24-AD24)*(1-Recovery_OX!U19)</f>
        <v>0.87061877914533525</v>
      </c>
    </row>
    <row r="25" spans="2:32">
      <c r="B25" s="739">
        <f t="shared" si="1"/>
        <v>2008</v>
      </c>
      <c r="C25" s="740">
        <f>IF(Select2=1,Food!$K27,"")</f>
        <v>0.89495013440271376</v>
      </c>
      <c r="D25" s="741">
        <f>IF(Select2=1,Paper!$K27,"")</f>
        <v>9.9703951971664567E-2</v>
      </c>
      <c r="E25" s="732">
        <f>IF(Select2=1,Nappies!$K27,"")</f>
        <v>0.23799516994411518</v>
      </c>
      <c r="F25" s="741">
        <f>IF(Select2=1,Garden!$K27,"")</f>
        <v>0</v>
      </c>
      <c r="G25" s="732">
        <f>IF(Select2=1,Wood!$K27,"")</f>
        <v>0</v>
      </c>
      <c r="H25" s="741">
        <f>IF(Select2=1,Textiles!$K27,"")</f>
        <v>2.3606151419391562E-2</v>
      </c>
      <c r="I25" s="742">
        <f>Sludge!K27</f>
        <v>0</v>
      </c>
      <c r="J25" s="742" t="str">
        <f>IF(Select2=2,MSW!$K27,"")</f>
        <v/>
      </c>
      <c r="K25" s="742">
        <f>Industry!$K27</f>
        <v>0</v>
      </c>
      <c r="L25" s="743">
        <f t="shared" si="3"/>
        <v>1.2562554077378849</v>
      </c>
      <c r="M25" s="744">
        <f>Recovery_OX!C20</f>
        <v>0</v>
      </c>
      <c r="N25" s="699"/>
      <c r="O25" s="745">
        <f>(L25-M25)*(1-Recovery_OX!F20)</f>
        <v>1.2562554077378849</v>
      </c>
      <c r="P25" s="691"/>
      <c r="Q25" s="701"/>
      <c r="S25" s="739">
        <f t="shared" si="2"/>
        <v>2008</v>
      </c>
      <c r="T25" s="740">
        <f>IF(Select2=1,Food!$W27,"")</f>
        <v>0.59876235575560688</v>
      </c>
      <c r="U25" s="741">
        <f>IF(Select2=1,Paper!$W27,"")</f>
        <v>0.20599990076790209</v>
      </c>
      <c r="V25" s="732">
        <f>IF(Select2=1,Nappies!$W27,"")</f>
        <v>0</v>
      </c>
      <c r="W25" s="741">
        <f>IF(Select2=1,Garden!$W27,"")</f>
        <v>0</v>
      </c>
      <c r="X25" s="732">
        <f>IF(Select2=1,Wood!$W27,"")</f>
        <v>9.6446345678208936E-2</v>
      </c>
      <c r="Y25" s="741">
        <f>IF(Select2=1,Textiles!$W27,"")</f>
        <v>2.5869754980155136E-2</v>
      </c>
      <c r="Z25" s="734">
        <f>Sludge!W27</f>
        <v>0</v>
      </c>
      <c r="AA25" s="734" t="str">
        <f>IF(Select2=2,MSW!$W27,"")</f>
        <v/>
      </c>
      <c r="AB25" s="742">
        <f>Industry!$W27</f>
        <v>0</v>
      </c>
      <c r="AC25" s="743">
        <f t="shared" si="0"/>
        <v>0.92707835718187304</v>
      </c>
      <c r="AD25" s="744">
        <f>Recovery_OX!R20</f>
        <v>0</v>
      </c>
      <c r="AE25" s="699"/>
      <c r="AF25" s="746">
        <f>(AC25-AD25)*(1-Recovery_OX!U20)</f>
        <v>0.92707835718187304</v>
      </c>
    </row>
    <row r="26" spans="2:32">
      <c r="B26" s="739">
        <f t="shared" si="1"/>
        <v>2009</v>
      </c>
      <c r="C26" s="740">
        <f>IF(Select2=1,Food!$K28,"")</f>
        <v>0.91881756893767252</v>
      </c>
      <c r="D26" s="741">
        <f>IF(Select2=1,Paper!$K28,"")</f>
        <v>0.10971040160448454</v>
      </c>
      <c r="E26" s="732">
        <f>IF(Select2=1,Nappies!$K28,"")</f>
        <v>0.25359707279536847</v>
      </c>
      <c r="F26" s="741">
        <f>IF(Select2=1,Garden!$K28,"")</f>
        <v>0</v>
      </c>
      <c r="G26" s="732">
        <f>IF(Select2=1,Wood!$K28,"")</f>
        <v>0</v>
      </c>
      <c r="H26" s="741">
        <f>IF(Select2=1,Textiles!$K28,"")</f>
        <v>2.5975302897659886E-2</v>
      </c>
      <c r="I26" s="742">
        <f>Sludge!K28</f>
        <v>0</v>
      </c>
      <c r="J26" s="742" t="str">
        <f>IF(Select2=2,MSW!$K28,"")</f>
        <v/>
      </c>
      <c r="K26" s="742">
        <f>Industry!$K28</f>
        <v>0</v>
      </c>
      <c r="L26" s="743">
        <f t="shared" si="3"/>
        <v>1.3081003462351855</v>
      </c>
      <c r="M26" s="744">
        <f>Recovery_OX!C21</f>
        <v>0</v>
      </c>
      <c r="N26" s="699"/>
      <c r="O26" s="745">
        <f>(L26-M26)*(1-Recovery_OX!F21)</f>
        <v>1.3081003462351855</v>
      </c>
      <c r="P26" s="691"/>
      <c r="Q26" s="701"/>
      <c r="S26" s="739">
        <f t="shared" si="2"/>
        <v>2009</v>
      </c>
      <c r="T26" s="740">
        <f>IF(Select2=1,Food!$W28,"")</f>
        <v>0.61473075531066412</v>
      </c>
      <c r="U26" s="741">
        <f>IF(Select2=1,Paper!$W28,"")</f>
        <v>0.22667438348034</v>
      </c>
      <c r="V26" s="732">
        <f>IF(Select2=1,Nappies!$W28,"")</f>
        <v>0</v>
      </c>
      <c r="W26" s="741">
        <f>IF(Select2=1,Garden!$W28,"")</f>
        <v>0</v>
      </c>
      <c r="X26" s="732">
        <f>IF(Select2=1,Wood!$W28,"")</f>
        <v>0.10765192326390127</v>
      </c>
      <c r="Y26" s="741">
        <f>IF(Select2=1,Textiles!$W28,"")</f>
        <v>2.8466085367298506E-2</v>
      </c>
      <c r="Z26" s="734">
        <f>Sludge!W28</f>
        <v>0</v>
      </c>
      <c r="AA26" s="734" t="str">
        <f>IF(Select2=2,MSW!$W28,"")</f>
        <v/>
      </c>
      <c r="AB26" s="742">
        <f>Industry!$W28</f>
        <v>0</v>
      </c>
      <c r="AC26" s="743">
        <f t="shared" si="0"/>
        <v>0.97752314742220392</v>
      </c>
      <c r="AD26" s="744">
        <f>Recovery_OX!R21</f>
        <v>0</v>
      </c>
      <c r="AE26" s="699"/>
      <c r="AF26" s="746">
        <f>(AC26-AD26)*(1-Recovery_OX!U21)</f>
        <v>0.97752314742220392</v>
      </c>
    </row>
    <row r="27" spans="2:32">
      <c r="B27" s="739">
        <f t="shared" si="1"/>
        <v>2010</v>
      </c>
      <c r="C27" s="740">
        <f>IF(Select2=1,Food!$K29,"")</f>
        <v>0.93798286525726327</v>
      </c>
      <c r="D27" s="741">
        <f>IF(Select2=1,Paper!$K29,"")</f>
        <v>0.11920663351965556</v>
      </c>
      <c r="E27" s="732">
        <f>IF(Select2=1,Nappies!$K29,"")</f>
        <v>0.26728418476159216</v>
      </c>
      <c r="F27" s="741">
        <f>IF(Select2=1,Garden!$K29,"")</f>
        <v>0</v>
      </c>
      <c r="G27" s="732">
        <f>IF(Select2=1,Wood!$K29,"")</f>
        <v>0</v>
      </c>
      <c r="H27" s="741">
        <f>IF(Select2=1,Textiles!$K29,"")</f>
        <v>2.8223653981746241E-2</v>
      </c>
      <c r="I27" s="742">
        <f>Sludge!K29</f>
        <v>0</v>
      </c>
      <c r="J27" s="742" t="str">
        <f>IF(Select2=2,MSW!$K29,"")</f>
        <v/>
      </c>
      <c r="K27" s="742">
        <f>Industry!$K29</f>
        <v>0</v>
      </c>
      <c r="L27" s="743">
        <f t="shared" si="3"/>
        <v>1.3526973375202571</v>
      </c>
      <c r="M27" s="744">
        <f>Recovery_OX!C22</f>
        <v>0</v>
      </c>
      <c r="N27" s="699"/>
      <c r="O27" s="745">
        <f>(L27-M27)*(1-Recovery_OX!F22)</f>
        <v>1.3526973375202571</v>
      </c>
      <c r="P27" s="691"/>
      <c r="Q27" s="701"/>
      <c r="S27" s="739">
        <f t="shared" si="2"/>
        <v>2010</v>
      </c>
      <c r="T27" s="740">
        <f>IF(Select2=1,Food!$W29,"")</f>
        <v>0.62755321047542156</v>
      </c>
      <c r="U27" s="741">
        <f>IF(Select2=1,Paper!$W29,"")</f>
        <v>0.24629469735466028</v>
      </c>
      <c r="V27" s="732">
        <f>IF(Select2=1,Nappies!$W29,"")</f>
        <v>0</v>
      </c>
      <c r="W27" s="741">
        <f>IF(Select2=1,Garden!$W29,"")</f>
        <v>0</v>
      </c>
      <c r="X27" s="732">
        <f>IF(Select2=1,Wood!$W29,"")</f>
        <v>0.11861628545991532</v>
      </c>
      <c r="Y27" s="741">
        <f>IF(Select2=1,Textiles!$W29,"")</f>
        <v>3.0930031760817798E-2</v>
      </c>
      <c r="Z27" s="734">
        <f>Sludge!W29</f>
        <v>0</v>
      </c>
      <c r="AA27" s="734" t="str">
        <f>IF(Select2=2,MSW!$W29,"")</f>
        <v/>
      </c>
      <c r="AB27" s="742">
        <f>Industry!$W29</f>
        <v>0</v>
      </c>
      <c r="AC27" s="743">
        <f t="shared" si="0"/>
        <v>1.023394225050815</v>
      </c>
      <c r="AD27" s="744">
        <f>Recovery_OX!R22</f>
        <v>0</v>
      </c>
      <c r="AE27" s="699"/>
      <c r="AF27" s="746">
        <f>(AC27-AD27)*(1-Recovery_OX!U22)</f>
        <v>1.023394225050815</v>
      </c>
    </row>
    <row r="28" spans="2:32">
      <c r="B28" s="739">
        <f t="shared" si="1"/>
        <v>2011</v>
      </c>
      <c r="C28" s="740">
        <f>IF(Select2=1,Food!$K30,"")</f>
        <v>1.013260761518995</v>
      </c>
      <c r="D28" s="741">
        <f>IF(Select2=1,Paper!$K30,"")</f>
        <v>0.13133928036093878</v>
      </c>
      <c r="E28" s="732">
        <f>IF(Select2=1,Nappies!$K30,"")</f>
        <v>0.28916944385101517</v>
      </c>
      <c r="F28" s="741">
        <f>IF(Select2=1,Garden!$K30,"")</f>
        <v>0</v>
      </c>
      <c r="G28" s="732">
        <f>IF(Select2=1,Wood!$K30,"")</f>
        <v>0</v>
      </c>
      <c r="H28" s="741">
        <f>IF(Select2=1,Textiles!$K30,"")</f>
        <v>3.1096209109096946E-2</v>
      </c>
      <c r="I28" s="742">
        <f>Sludge!K30</f>
        <v>0</v>
      </c>
      <c r="J28" s="742" t="str">
        <f>IF(Select2=2,MSW!$K30,"")</f>
        <v/>
      </c>
      <c r="K28" s="742">
        <f>Industry!$K30</f>
        <v>0</v>
      </c>
      <c r="L28" s="743">
        <f t="shared" si="3"/>
        <v>1.464865694840046</v>
      </c>
      <c r="M28" s="744">
        <f>Recovery_OX!C23</f>
        <v>0</v>
      </c>
      <c r="N28" s="699"/>
      <c r="O28" s="745">
        <f>(L28-M28)*(1-Recovery_OX!F23)</f>
        <v>1.464865694840046</v>
      </c>
      <c r="P28" s="691"/>
      <c r="Q28" s="701"/>
      <c r="S28" s="739">
        <f t="shared" si="2"/>
        <v>2011</v>
      </c>
      <c r="T28" s="740">
        <f>IF(Select2=1,Food!$W30,"")</f>
        <v>0.67791754784946134</v>
      </c>
      <c r="U28" s="741">
        <f>IF(Select2=1,Paper!$W30,"")</f>
        <v>0.2713621495060719</v>
      </c>
      <c r="V28" s="732">
        <f>IF(Select2=1,Nappies!$W30,"")</f>
        <v>0</v>
      </c>
      <c r="W28" s="741">
        <f>IF(Select2=1,Garden!$W30,"")</f>
        <v>0</v>
      </c>
      <c r="X28" s="732">
        <f>IF(Select2=1,Wood!$W30,"")</f>
        <v>0.13204653187345056</v>
      </c>
      <c r="Y28" s="741">
        <f>IF(Select2=1,Textiles!$W30,"")</f>
        <v>3.4078037379832275E-2</v>
      </c>
      <c r="Z28" s="734">
        <f>Sludge!W30</f>
        <v>0</v>
      </c>
      <c r="AA28" s="734" t="str">
        <f>IF(Select2=2,MSW!$W30,"")</f>
        <v/>
      </c>
      <c r="AB28" s="742">
        <f>Industry!$W30</f>
        <v>0</v>
      </c>
      <c r="AC28" s="743">
        <f t="shared" si="0"/>
        <v>1.115404266608816</v>
      </c>
      <c r="AD28" s="744">
        <f>Recovery_OX!R23</f>
        <v>0</v>
      </c>
      <c r="AE28" s="699"/>
      <c r="AF28" s="746">
        <f>(AC28-AD28)*(1-Recovery_OX!U23)</f>
        <v>1.115404266608816</v>
      </c>
    </row>
    <row r="29" spans="2:32">
      <c r="B29" s="739">
        <f t="shared" si="1"/>
        <v>2012</v>
      </c>
      <c r="C29" s="740">
        <f>IF(Select2=1,Food!$K31,"")</f>
        <v>1.0791527944431356</v>
      </c>
      <c r="D29" s="741">
        <f>IF(Select2=1,Paper!$K31,"")</f>
        <v>0.14346204760746611</v>
      </c>
      <c r="E29" s="732">
        <f>IF(Select2=1,Nappies!$K31,"")</f>
        <v>0.31018860368307605</v>
      </c>
      <c r="F29" s="741">
        <f>IF(Select2=1,Garden!$K31,"")</f>
        <v>0</v>
      </c>
      <c r="G29" s="732">
        <f>IF(Select2=1,Wood!$K31,"")</f>
        <v>0</v>
      </c>
      <c r="H29" s="741">
        <f>IF(Select2=1,Textiles!$K31,"")</f>
        <v>3.3966425119440188E-2</v>
      </c>
      <c r="I29" s="742">
        <f>Sludge!K31</f>
        <v>0</v>
      </c>
      <c r="J29" s="742" t="str">
        <f>IF(Select2=2,MSW!$K31,"")</f>
        <v/>
      </c>
      <c r="K29" s="742">
        <f>Industry!$K31</f>
        <v>0</v>
      </c>
      <c r="L29" s="743">
        <f>SUM(C29:K29)</f>
        <v>1.5667698708531181</v>
      </c>
      <c r="M29" s="744">
        <f>Recovery_OX!C24</f>
        <v>0</v>
      </c>
      <c r="N29" s="699"/>
      <c r="O29" s="745">
        <f>(L29-M29)*(1-Recovery_OX!F24)</f>
        <v>1.5667698708531181</v>
      </c>
      <c r="P29" s="691"/>
      <c r="Q29" s="701"/>
      <c r="S29" s="739">
        <f t="shared" si="2"/>
        <v>2012</v>
      </c>
      <c r="T29" s="740">
        <f>IF(Select2=1,Food!$W31,"")</f>
        <v>0.72200231563992112</v>
      </c>
      <c r="U29" s="741">
        <f>IF(Select2=1,Paper!$W31,"")</f>
        <v>0.2964091892716243</v>
      </c>
      <c r="V29" s="732">
        <f>IF(Select2=1,Nappies!$W31,"")</f>
        <v>0</v>
      </c>
      <c r="W29" s="741">
        <f>IF(Select2=1,Garden!$W31,"")</f>
        <v>0</v>
      </c>
      <c r="X29" s="732">
        <f>IF(Select2=1,Wood!$W31,"")</f>
        <v>0.14571758538633767</v>
      </c>
      <c r="Y29" s="741">
        <f>IF(Select2=1,Textiles!$W31,"")</f>
        <v>3.7223479582948159E-2</v>
      </c>
      <c r="Z29" s="734">
        <f>Sludge!W31</f>
        <v>0</v>
      </c>
      <c r="AA29" s="734" t="str">
        <f>IF(Select2=2,MSW!$W31,"")</f>
        <v/>
      </c>
      <c r="AB29" s="742">
        <f>Industry!$W31</f>
        <v>0</v>
      </c>
      <c r="AC29" s="743">
        <f t="shared" si="0"/>
        <v>1.2013525698808314</v>
      </c>
      <c r="AD29" s="744">
        <f>Recovery_OX!R24</f>
        <v>0</v>
      </c>
      <c r="AE29" s="699"/>
      <c r="AF29" s="746">
        <f>(AC29-AD29)*(1-Recovery_OX!U24)</f>
        <v>1.2013525698808314</v>
      </c>
    </row>
    <row r="30" spans="2:32">
      <c r="B30" s="739">
        <f t="shared" si="1"/>
        <v>2013</v>
      </c>
      <c r="C30" s="740">
        <f>IF(Select2=1,Food!$K32,"")</f>
        <v>1.1276613778303481</v>
      </c>
      <c r="D30" s="741">
        <f>IF(Select2=1,Paper!$K32,"")</f>
        <v>0.15499313705449974</v>
      </c>
      <c r="E30" s="732">
        <f>IF(Select2=1,Nappies!$K32,"")</f>
        <v>0.32864036032951943</v>
      </c>
      <c r="F30" s="741">
        <f>IF(Select2=1,Garden!$K32,"")</f>
        <v>0</v>
      </c>
      <c r="G30" s="732">
        <f>IF(Select2=1,Wood!$K32,"")</f>
        <v>0</v>
      </c>
      <c r="H30" s="741">
        <f>IF(Select2=1,Textiles!$K32,"")</f>
        <v>3.6696554047474891E-2</v>
      </c>
      <c r="I30" s="742">
        <f>Sludge!K32</f>
        <v>0</v>
      </c>
      <c r="J30" s="742" t="str">
        <f>IF(Select2=2,MSW!$K32,"")</f>
        <v/>
      </c>
      <c r="K30" s="742">
        <f>Industry!$K32</f>
        <v>0</v>
      </c>
      <c r="L30" s="743">
        <f t="shared" si="3"/>
        <v>1.6479914292618421</v>
      </c>
      <c r="M30" s="744">
        <f>Recovery_OX!C25</f>
        <v>0</v>
      </c>
      <c r="N30" s="699"/>
      <c r="O30" s="745">
        <f>(L30-M30)*(1-Recovery_OX!F25)</f>
        <v>1.6479914292618421</v>
      </c>
      <c r="P30" s="691"/>
      <c r="Q30" s="701"/>
      <c r="S30" s="739">
        <f t="shared" si="2"/>
        <v>2013</v>
      </c>
      <c r="T30" s="740">
        <f>IF(Select2=1,Food!$W32,"")</f>
        <v>0.7544567648285111</v>
      </c>
      <c r="U30" s="741">
        <f>IF(Select2=1,Paper!$W32,"")</f>
        <v>0.3202337542448343</v>
      </c>
      <c r="V30" s="732">
        <f>IF(Select2=1,Nappies!$W32,"")</f>
        <v>0</v>
      </c>
      <c r="W30" s="741">
        <f>IF(Select2=1,Garden!$W32,"")</f>
        <v>0</v>
      </c>
      <c r="X30" s="732">
        <f>IF(Select2=1,Wood!$W32,"")</f>
        <v>0.1591160570813695</v>
      </c>
      <c r="Y30" s="741">
        <f>IF(Select2=1,Textiles!$W32,"")</f>
        <v>4.0215401695862907E-2</v>
      </c>
      <c r="Z30" s="734">
        <f>Sludge!W32</f>
        <v>0</v>
      </c>
      <c r="AA30" s="734" t="str">
        <f>IF(Select2=2,MSW!$W32,"")</f>
        <v/>
      </c>
      <c r="AB30" s="742">
        <f>Industry!$W32</f>
        <v>0</v>
      </c>
      <c r="AC30" s="743">
        <f t="shared" si="0"/>
        <v>1.2740219778505777</v>
      </c>
      <c r="AD30" s="744">
        <f>Recovery_OX!R25</f>
        <v>0</v>
      </c>
      <c r="AE30" s="699"/>
      <c r="AF30" s="746">
        <f>(AC30-AD30)*(1-Recovery_OX!U25)</f>
        <v>1.2740219778505777</v>
      </c>
    </row>
    <row r="31" spans="2:32">
      <c r="B31" s="739">
        <f t="shared" si="1"/>
        <v>2014</v>
      </c>
      <c r="C31" s="740">
        <f>IF(Select2=1,Food!$K33,"")</f>
        <v>1.168690829616776</v>
      </c>
      <c r="D31" s="741">
        <f>IF(Select2=1,Paper!$K33,"")</f>
        <v>0.1661917031436802</v>
      </c>
      <c r="E31" s="732">
        <f>IF(Select2=1,Nappies!$K33,"")</f>
        <v>0.34561715129492998</v>
      </c>
      <c r="F31" s="741">
        <f>IF(Select2=1,Garden!$K33,"")</f>
        <v>0</v>
      </c>
      <c r="G31" s="732">
        <f>IF(Select2=1,Wood!$K33,"")</f>
        <v>0</v>
      </c>
      <c r="H31" s="741">
        <f>IF(Select2=1,Textiles!$K33,"")</f>
        <v>3.9347953932369992E-2</v>
      </c>
      <c r="I31" s="742">
        <f>Sludge!K33</f>
        <v>0</v>
      </c>
      <c r="J31" s="742" t="str">
        <f>IF(Select2=2,MSW!$K33,"")</f>
        <v/>
      </c>
      <c r="K31" s="742">
        <f>Industry!$K33</f>
        <v>0</v>
      </c>
      <c r="L31" s="743">
        <f t="shared" si="3"/>
        <v>1.7198476379877561</v>
      </c>
      <c r="M31" s="744">
        <f>Recovery_OX!C26</f>
        <v>0</v>
      </c>
      <c r="N31" s="699"/>
      <c r="O31" s="745">
        <f>(L31-M31)*(1-Recovery_OX!F26)</f>
        <v>1.7198476379877561</v>
      </c>
      <c r="P31" s="691"/>
      <c r="Q31" s="701"/>
      <c r="S31" s="739">
        <f t="shared" si="2"/>
        <v>2014</v>
      </c>
      <c r="T31" s="740">
        <f>IF(Select2=1,Food!$W33,"")</f>
        <v>0.78190733471238349</v>
      </c>
      <c r="U31" s="741">
        <f>IF(Select2=1,Paper!$W33,"")</f>
        <v>0.34337128748694268</v>
      </c>
      <c r="V31" s="732">
        <f>IF(Select2=1,Nappies!$W33,"")</f>
        <v>0</v>
      </c>
      <c r="W31" s="741">
        <f>IF(Select2=1,Garden!$W33,"")</f>
        <v>0</v>
      </c>
      <c r="X31" s="732">
        <f>IF(Select2=1,Wood!$W33,"")</f>
        <v>0.17244136902245494</v>
      </c>
      <c r="Y31" s="741">
        <f>IF(Select2=1,Textiles!$W33,"")</f>
        <v>4.3121045405336983E-2</v>
      </c>
      <c r="Z31" s="734">
        <f>Sludge!W33</f>
        <v>0</v>
      </c>
      <c r="AA31" s="734" t="str">
        <f>IF(Select2=2,MSW!$W33,"")</f>
        <v/>
      </c>
      <c r="AB31" s="742">
        <f>Industry!$W33</f>
        <v>0</v>
      </c>
      <c r="AC31" s="743">
        <f t="shared" si="0"/>
        <v>1.340841036627118</v>
      </c>
      <c r="AD31" s="744">
        <f>Recovery_OX!R26</f>
        <v>0</v>
      </c>
      <c r="AE31" s="699"/>
      <c r="AF31" s="746">
        <f>(AC31-AD31)*(1-Recovery_OX!U26)</f>
        <v>1.340841036627118</v>
      </c>
    </row>
    <row r="32" spans="2:32">
      <c r="B32" s="739">
        <f t="shared" si="1"/>
        <v>2015</v>
      </c>
      <c r="C32" s="740">
        <f>IF(Select2=1,Food!$K34,"")</f>
        <v>1.2046455590527605</v>
      </c>
      <c r="D32" s="741">
        <f>IF(Select2=1,Paper!$K34,"")</f>
        <v>0.17707700693070216</v>
      </c>
      <c r="E32" s="732">
        <f>IF(Select2=1,Nappies!$K34,"")</f>
        <v>0.36133941322879382</v>
      </c>
      <c r="F32" s="741">
        <f>IF(Select2=1,Garden!$K34,"")</f>
        <v>0</v>
      </c>
      <c r="G32" s="732">
        <f>IF(Select2=1,Wood!$K34,"")</f>
        <v>0</v>
      </c>
      <c r="H32" s="741">
        <f>IF(Select2=1,Textiles!$K34,"")</f>
        <v>4.1925185068760085E-2</v>
      </c>
      <c r="I32" s="742">
        <f>Sludge!K34</f>
        <v>0</v>
      </c>
      <c r="J32" s="742" t="str">
        <f>IF(Select2=2,MSW!$K34,"")</f>
        <v/>
      </c>
      <c r="K32" s="742">
        <f>Industry!$K34</f>
        <v>0</v>
      </c>
      <c r="L32" s="743">
        <f t="shared" si="3"/>
        <v>1.7849871642810167</v>
      </c>
      <c r="M32" s="744">
        <f>Recovery_OX!C27</f>
        <v>0</v>
      </c>
      <c r="N32" s="699"/>
      <c r="O32" s="745">
        <f>(L32-M32)*(1-Recovery_OX!F27)</f>
        <v>1.7849871642810167</v>
      </c>
      <c r="P32" s="691"/>
      <c r="Q32" s="701"/>
      <c r="S32" s="739">
        <f t="shared" si="2"/>
        <v>2015</v>
      </c>
      <c r="T32" s="740">
        <f>IF(Select2=1,Food!$W34,"")</f>
        <v>0.80596268446884056</v>
      </c>
      <c r="U32" s="741">
        <f>IF(Select2=1,Paper!$W34,"")</f>
        <v>0.36586158456756646</v>
      </c>
      <c r="V32" s="732">
        <f>IF(Select2=1,Nappies!$W34,"")</f>
        <v>0</v>
      </c>
      <c r="W32" s="741">
        <f>IF(Select2=1,Garden!$W34,"")</f>
        <v>0</v>
      </c>
      <c r="X32" s="732">
        <f>IF(Select2=1,Wood!$W34,"")</f>
        <v>0.18569324553570304</v>
      </c>
      <c r="Y32" s="741">
        <f>IF(Select2=1,Textiles!$W34,"")</f>
        <v>4.5945408294531601E-2</v>
      </c>
      <c r="Z32" s="734">
        <f>Sludge!W34</f>
        <v>0</v>
      </c>
      <c r="AA32" s="734" t="str">
        <f>IF(Select2=2,MSW!$W34,"")</f>
        <v/>
      </c>
      <c r="AB32" s="742">
        <f>Industry!$W34</f>
        <v>0</v>
      </c>
      <c r="AC32" s="743">
        <f t="shared" si="0"/>
        <v>1.4034629228666415</v>
      </c>
      <c r="AD32" s="744">
        <f>Recovery_OX!R27</f>
        <v>0</v>
      </c>
      <c r="AE32" s="699"/>
      <c r="AF32" s="746">
        <f>(AC32-AD32)*(1-Recovery_OX!U27)</f>
        <v>1.4034629228666415</v>
      </c>
    </row>
    <row r="33" spans="2:32">
      <c r="B33" s="739">
        <f t="shared" si="1"/>
        <v>2016</v>
      </c>
      <c r="C33" s="740">
        <f>IF(Select2=1,Food!$K35,"")</f>
        <v>1.2369871848122846</v>
      </c>
      <c r="D33" s="741">
        <f>IF(Select2=1,Paper!$K35,"")</f>
        <v>0.18765912488896866</v>
      </c>
      <c r="E33" s="732">
        <f>IF(Select2=1,Nappies!$K35,"")</f>
        <v>0.37596826494778446</v>
      </c>
      <c r="F33" s="741">
        <f>IF(Select2=1,Garden!$K35,"")</f>
        <v>0</v>
      </c>
      <c r="G33" s="732">
        <f>IF(Select2=1,Wood!$K35,"")</f>
        <v>0</v>
      </c>
      <c r="H33" s="741">
        <f>IF(Select2=1,Textiles!$K35,"")</f>
        <v>4.4430633187122481E-2</v>
      </c>
      <c r="I33" s="742">
        <f>Sludge!K35</f>
        <v>0</v>
      </c>
      <c r="J33" s="742" t="str">
        <f>IF(Select2=2,MSW!$K35,"")</f>
        <v/>
      </c>
      <c r="K33" s="742">
        <f>Industry!$K35</f>
        <v>0</v>
      </c>
      <c r="L33" s="743">
        <f t="shared" si="3"/>
        <v>1.8450452078361603</v>
      </c>
      <c r="M33" s="744">
        <f>Recovery_OX!C28</f>
        <v>0</v>
      </c>
      <c r="N33" s="699"/>
      <c r="O33" s="745">
        <f>(L33-M33)*(1-Recovery_OX!F28)</f>
        <v>1.8450452078361603</v>
      </c>
      <c r="P33" s="691"/>
      <c r="Q33" s="701"/>
      <c r="S33" s="739">
        <f t="shared" si="2"/>
        <v>2016</v>
      </c>
      <c r="T33" s="740">
        <f>IF(Select2=1,Food!$W35,"")</f>
        <v>0.82760070348725545</v>
      </c>
      <c r="U33" s="741">
        <f>IF(Select2=1,Paper!$W35,"")</f>
        <v>0.38772546464662949</v>
      </c>
      <c r="V33" s="732">
        <f>IF(Select2=1,Nappies!$W35,"")</f>
        <v>0</v>
      </c>
      <c r="W33" s="741">
        <f>IF(Select2=1,Garden!$W35,"")</f>
        <v>0</v>
      </c>
      <c r="X33" s="732">
        <f>IF(Select2=1,Wood!$W35,"")</f>
        <v>0.19886458490838069</v>
      </c>
      <c r="Y33" s="741">
        <f>IF(Select2=1,Textiles!$W35,"")</f>
        <v>4.8691104862599983E-2</v>
      </c>
      <c r="Z33" s="734">
        <f>Sludge!W35</f>
        <v>0</v>
      </c>
      <c r="AA33" s="734" t="str">
        <f>IF(Select2=2,MSW!$W35,"")</f>
        <v/>
      </c>
      <c r="AB33" s="742">
        <f>Industry!$W35</f>
        <v>0</v>
      </c>
      <c r="AC33" s="743">
        <f t="shared" si="0"/>
        <v>1.4628818579048657</v>
      </c>
      <c r="AD33" s="744">
        <f>Recovery_OX!R28</f>
        <v>0</v>
      </c>
      <c r="AE33" s="699"/>
      <c r="AF33" s="746">
        <f>(AC33-AD33)*(1-Recovery_OX!U28)</f>
        <v>1.4628818579048657</v>
      </c>
    </row>
    <row r="34" spans="2:32">
      <c r="B34" s="739">
        <f t="shared" si="1"/>
        <v>2017</v>
      </c>
      <c r="C34" s="740">
        <f>IF(Select2=1,Food!$K36,"")</f>
        <v>1.266967656721679</v>
      </c>
      <c r="D34" s="741">
        <f>IF(Select2=1,Paper!$K36,"")</f>
        <v>0.1979617460775569</v>
      </c>
      <c r="E34" s="732">
        <f>IF(Select2=1,Nappies!$K36,"")</f>
        <v>0.3896847097986274</v>
      </c>
      <c r="F34" s="741">
        <f>IF(Select2=1,Garden!$K36,"")</f>
        <v>0</v>
      </c>
      <c r="G34" s="732">
        <f>IF(Select2=1,Wood!$K36,"")</f>
        <v>0</v>
      </c>
      <c r="H34" s="741">
        <f>IF(Select2=1,Textiles!$K36,"")</f>
        <v>4.6869906966997957E-2</v>
      </c>
      <c r="I34" s="742">
        <f>Sludge!K36</f>
        <v>0</v>
      </c>
      <c r="J34" s="742" t="str">
        <f>IF(Select2=2,MSW!$K36,"")</f>
        <v/>
      </c>
      <c r="K34" s="742">
        <f>Industry!$K36</f>
        <v>0</v>
      </c>
      <c r="L34" s="743">
        <f t="shared" si="3"/>
        <v>1.9014840195648612</v>
      </c>
      <c r="M34" s="744">
        <f>Recovery_OX!C29</f>
        <v>0</v>
      </c>
      <c r="N34" s="699"/>
      <c r="O34" s="745">
        <f>(L34-M34)*(1-Recovery_OX!F29)</f>
        <v>1.9014840195648612</v>
      </c>
      <c r="P34" s="691"/>
      <c r="Q34" s="701"/>
      <c r="S34" s="739">
        <f t="shared" si="2"/>
        <v>2017</v>
      </c>
      <c r="T34" s="740">
        <f>IF(Select2=1,Food!$W36,"")</f>
        <v>0.84765900315901821</v>
      </c>
      <c r="U34" s="741">
        <f>IF(Select2=1,Paper!$W36,"")</f>
        <v>0.40901187206106804</v>
      </c>
      <c r="V34" s="732">
        <f>IF(Select2=1,Nappies!$W36,"")</f>
        <v>0</v>
      </c>
      <c r="W34" s="741">
        <f>IF(Select2=1,Garden!$W36,"")</f>
        <v>0</v>
      </c>
      <c r="X34" s="732">
        <f>IF(Select2=1,Wood!$W36,"")</f>
        <v>0.21196092508635384</v>
      </c>
      <c r="Y34" s="741">
        <f>IF(Select2=1,Textiles!$W36,"")</f>
        <v>5.136428160766901E-2</v>
      </c>
      <c r="Z34" s="734">
        <f>Sludge!W36</f>
        <v>0</v>
      </c>
      <c r="AA34" s="734" t="str">
        <f>IF(Select2=2,MSW!$W36,"")</f>
        <v/>
      </c>
      <c r="AB34" s="742">
        <f>Industry!$W36</f>
        <v>0</v>
      </c>
      <c r="AC34" s="743">
        <f t="shared" si="0"/>
        <v>1.5199960819141092</v>
      </c>
      <c r="AD34" s="744">
        <f>Recovery_OX!R29</f>
        <v>0</v>
      </c>
      <c r="AE34" s="699"/>
      <c r="AF34" s="746">
        <f>(AC34-AD34)*(1-Recovery_OX!U29)</f>
        <v>1.5199960819141092</v>
      </c>
    </row>
    <row r="35" spans="2:32">
      <c r="B35" s="739">
        <f t="shared" si="1"/>
        <v>2018</v>
      </c>
      <c r="C35" s="740">
        <f>IF(Select2=1,Food!$K37,"")</f>
        <v>1.297425115936587</v>
      </c>
      <c r="D35" s="741">
        <f>IF(Select2=1,Paper!$K37,"")</f>
        <v>0.20811192738403633</v>
      </c>
      <c r="E35" s="732">
        <f>IF(Select2=1,Nappies!$K37,"")</f>
        <v>0.40297245655801961</v>
      </c>
      <c r="F35" s="741">
        <f>IF(Select2=1,Garden!$K37,"")</f>
        <v>0</v>
      </c>
      <c r="G35" s="732">
        <f>IF(Select2=1,Wood!$K37,"")</f>
        <v>0</v>
      </c>
      <c r="H35" s="741">
        <f>IF(Select2=1,Textiles!$K37,"")</f>
        <v>4.9273088707708974E-2</v>
      </c>
      <c r="I35" s="742">
        <f>Sludge!K37</f>
        <v>0</v>
      </c>
      <c r="J35" s="742" t="str">
        <f>IF(Select2=2,MSW!$K37,"")</f>
        <v/>
      </c>
      <c r="K35" s="742">
        <f>Industry!$K37</f>
        <v>0</v>
      </c>
      <c r="L35" s="743">
        <f t="shared" si="3"/>
        <v>1.957782588586352</v>
      </c>
      <c r="M35" s="744">
        <f>Recovery_OX!C30</f>
        <v>0</v>
      </c>
      <c r="N35" s="699"/>
      <c r="O35" s="745">
        <f>(L35-M35)*(1-Recovery_OX!F30)</f>
        <v>1.957782588586352</v>
      </c>
      <c r="P35" s="691"/>
      <c r="Q35" s="701"/>
      <c r="S35" s="739">
        <f t="shared" si="2"/>
        <v>2018</v>
      </c>
      <c r="T35" s="740">
        <f>IF(Select2=1,Food!$W37,"")</f>
        <v>0.86803642903875167</v>
      </c>
      <c r="U35" s="741">
        <f>IF(Select2=1,Paper!$W37,"")</f>
        <v>0.42998332104139747</v>
      </c>
      <c r="V35" s="732">
        <f>IF(Select2=1,Nappies!$W37,"")</f>
        <v>0</v>
      </c>
      <c r="W35" s="741">
        <f>IF(Select2=1,Garden!$W37,"")</f>
        <v>0</v>
      </c>
      <c r="X35" s="732">
        <f>IF(Select2=1,Wood!$W37,"")</f>
        <v>0.22507864149313195</v>
      </c>
      <c r="Y35" s="741">
        <f>IF(Select2=1,Textiles!$W37,"")</f>
        <v>5.3997905433105731E-2</v>
      </c>
      <c r="Z35" s="734">
        <f>Sludge!W37</f>
        <v>0</v>
      </c>
      <c r="AA35" s="734" t="str">
        <f>IF(Select2=2,MSW!$W37,"")</f>
        <v/>
      </c>
      <c r="AB35" s="742">
        <f>Industry!$W37</f>
        <v>0</v>
      </c>
      <c r="AC35" s="743">
        <f t="shared" si="0"/>
        <v>1.5770962970063866</v>
      </c>
      <c r="AD35" s="744">
        <f>Recovery_OX!R30</f>
        <v>0</v>
      </c>
      <c r="AE35" s="699"/>
      <c r="AF35" s="746">
        <f>(AC35-AD35)*(1-Recovery_OX!U30)</f>
        <v>1.5770962970063866</v>
      </c>
    </row>
    <row r="36" spans="2:32">
      <c r="B36" s="739">
        <f t="shared" si="1"/>
        <v>2019</v>
      </c>
      <c r="C36" s="740">
        <f>IF(Select2=1,Food!$K38,"")</f>
        <v>1.3290178448148002</v>
      </c>
      <c r="D36" s="741">
        <f>IF(Select2=1,Paper!$K38,"")</f>
        <v>0.21816280062920818</v>
      </c>
      <c r="E36" s="732">
        <f>IF(Select2=1,Nappies!$K38,"")</f>
        <v>0.41603356998908586</v>
      </c>
      <c r="F36" s="741">
        <f>IF(Select2=1,Garden!$K38,"")</f>
        <v>0</v>
      </c>
      <c r="G36" s="732">
        <f>IF(Select2=1,Wood!$K38,"")</f>
        <v>0</v>
      </c>
      <c r="H36" s="741">
        <f>IF(Select2=1,Textiles!$K38,"")</f>
        <v>5.1652758029042067E-2</v>
      </c>
      <c r="I36" s="742">
        <f>Sludge!K38</f>
        <v>0</v>
      </c>
      <c r="J36" s="742" t="str">
        <f>IF(Select2=2,MSW!$K38,"")</f>
        <v/>
      </c>
      <c r="K36" s="742">
        <f>Industry!$K38</f>
        <v>0</v>
      </c>
      <c r="L36" s="743">
        <f t="shared" si="3"/>
        <v>2.0148669734621363</v>
      </c>
      <c r="M36" s="744">
        <f>Recovery_OX!C31</f>
        <v>0</v>
      </c>
      <c r="N36" s="699"/>
      <c r="O36" s="745">
        <f>(L36-M36)*(1-Recovery_OX!F31)</f>
        <v>2.0148669734621363</v>
      </c>
      <c r="P36" s="691"/>
      <c r="Q36" s="701"/>
      <c r="S36" s="739">
        <f t="shared" si="2"/>
        <v>2019</v>
      </c>
      <c r="T36" s="740">
        <f>IF(Select2=1,Food!$W38,"")</f>
        <v>0.88917340197243577</v>
      </c>
      <c r="U36" s="741">
        <f>IF(Select2=1,Paper!$W38,"")</f>
        <v>0.45074958807687648</v>
      </c>
      <c r="V36" s="732">
        <f>IF(Select2=1,Nappies!$W38,"")</f>
        <v>0</v>
      </c>
      <c r="W36" s="741">
        <f>IF(Select2=1,Garden!$W38,"")</f>
        <v>0</v>
      </c>
      <c r="X36" s="732">
        <f>IF(Select2=1,Wood!$W38,"")</f>
        <v>0.23825413695919254</v>
      </c>
      <c r="Y36" s="741">
        <f>IF(Select2=1,Textiles!$W38,"")</f>
        <v>5.6605762223607754E-2</v>
      </c>
      <c r="Z36" s="734">
        <f>Sludge!W38</f>
        <v>0</v>
      </c>
      <c r="AA36" s="734" t="str">
        <f>IF(Select2=2,MSW!$W38,"")</f>
        <v/>
      </c>
      <c r="AB36" s="742">
        <f>Industry!$W38</f>
        <v>0</v>
      </c>
      <c r="AC36" s="743">
        <f t="shared" si="0"/>
        <v>1.6347828892321128</v>
      </c>
      <c r="AD36" s="744">
        <f>Recovery_OX!R31</f>
        <v>0</v>
      </c>
      <c r="AE36" s="699"/>
      <c r="AF36" s="746">
        <f>(AC36-AD36)*(1-Recovery_OX!U31)</f>
        <v>1.6347828892321128</v>
      </c>
    </row>
    <row r="37" spans="2:32">
      <c r="B37" s="739">
        <f t="shared" si="1"/>
        <v>2020</v>
      </c>
      <c r="C37" s="740">
        <f>IF(Select2=1,Food!$K39,"")</f>
        <v>1.361371567705983</v>
      </c>
      <c r="D37" s="741">
        <f>IF(Select2=1,Paper!$K39,"")</f>
        <v>0.22812107965174999</v>
      </c>
      <c r="E37" s="732">
        <f>IF(Select2=1,Nappies!$K39,"")</f>
        <v>0.42890348085477525</v>
      </c>
      <c r="F37" s="741">
        <f>IF(Select2=1,Garden!$K39,"")</f>
        <v>0</v>
      </c>
      <c r="G37" s="732">
        <f>IF(Select2=1,Wood!$K39,"")</f>
        <v>0</v>
      </c>
      <c r="H37" s="741">
        <f>IF(Select2=1,Textiles!$K39,"")</f>
        <v>5.401050451585615E-2</v>
      </c>
      <c r="I37" s="742">
        <f>Sludge!K39</f>
        <v>0</v>
      </c>
      <c r="J37" s="742" t="str">
        <f>IF(Select2=2,MSW!$K39,"")</f>
        <v/>
      </c>
      <c r="K37" s="742">
        <f>Industry!$K39</f>
        <v>0</v>
      </c>
      <c r="L37" s="743">
        <f t="shared" si="3"/>
        <v>2.0724066327283643</v>
      </c>
      <c r="M37" s="744">
        <f>Recovery_OX!C32</f>
        <v>0</v>
      </c>
      <c r="N37" s="699"/>
      <c r="O37" s="745">
        <f>(L37-M37)*(1-Recovery_OX!F32)</f>
        <v>2.0724066327283643</v>
      </c>
      <c r="P37" s="691"/>
      <c r="Q37" s="701"/>
      <c r="S37" s="739">
        <f t="shared" si="2"/>
        <v>2020</v>
      </c>
      <c r="T37" s="740">
        <f>IF(Select2=1,Food!$W39,"")</f>
        <v>0.91081951452229037</v>
      </c>
      <c r="U37" s="741">
        <f>IF(Select2=1,Paper!$W39,"")</f>
        <v>0.47132454473502072</v>
      </c>
      <c r="V37" s="732">
        <f>IF(Select2=1,Nappies!$W39,"")</f>
        <v>0</v>
      </c>
      <c r="W37" s="741">
        <f>IF(Select2=1,Garden!$W39,"")</f>
        <v>0</v>
      </c>
      <c r="X37" s="732">
        <f>IF(Select2=1,Wood!$W39,"")</f>
        <v>0.25148542419784248</v>
      </c>
      <c r="Y37" s="741">
        <f>IF(Select2=1,Textiles!$W39,"")</f>
        <v>5.9189593989979347E-2</v>
      </c>
      <c r="Z37" s="734">
        <f>Sludge!W39</f>
        <v>0</v>
      </c>
      <c r="AA37" s="734" t="str">
        <f>IF(Select2=2,MSW!$W39,"")</f>
        <v/>
      </c>
      <c r="AB37" s="742">
        <f>Industry!$W39</f>
        <v>0</v>
      </c>
      <c r="AC37" s="743">
        <f t="shared" si="0"/>
        <v>1.692819077445133</v>
      </c>
      <c r="AD37" s="744">
        <f>Recovery_OX!R32</f>
        <v>0</v>
      </c>
      <c r="AE37" s="699"/>
      <c r="AF37" s="746">
        <f>(AC37-AD37)*(1-Recovery_OX!U32)</f>
        <v>1.692819077445133</v>
      </c>
    </row>
    <row r="38" spans="2:32">
      <c r="B38" s="739">
        <f t="shared" si="1"/>
        <v>2021</v>
      </c>
      <c r="C38" s="740">
        <f>IF(Select2=1,Food!$K40,"")</f>
        <v>1.3942354001389721</v>
      </c>
      <c r="D38" s="741">
        <f>IF(Select2=1,Paper!$K40,"")</f>
        <v>0.23799302439335251</v>
      </c>
      <c r="E38" s="732">
        <f>IF(Select2=1,Nappies!$K40,"")</f>
        <v>0.44161208084321335</v>
      </c>
      <c r="F38" s="741">
        <f>IF(Select2=1,Garden!$K40,"")</f>
        <v>0</v>
      </c>
      <c r="G38" s="732">
        <f>IF(Select2=1,Wood!$K40,"")</f>
        <v>0</v>
      </c>
      <c r="H38" s="741">
        <f>IF(Select2=1,Textiles!$K40,"")</f>
        <v>5.6347810287249889E-2</v>
      </c>
      <c r="I38" s="742">
        <f>Sludge!K40</f>
        <v>0</v>
      </c>
      <c r="J38" s="742" t="str">
        <f>IF(Select2=2,MSW!$K40,"")</f>
        <v/>
      </c>
      <c r="K38" s="742">
        <f>Industry!$K40</f>
        <v>0</v>
      </c>
      <c r="L38" s="743">
        <f t="shared" si="3"/>
        <v>2.1301883156627879</v>
      </c>
      <c r="M38" s="744">
        <f>Recovery_OX!C33</f>
        <v>0</v>
      </c>
      <c r="N38" s="699"/>
      <c r="O38" s="745">
        <f>(L38-M38)*(1-Recovery_OX!F33)</f>
        <v>2.1301883156627879</v>
      </c>
      <c r="P38" s="691"/>
      <c r="Q38" s="701"/>
      <c r="S38" s="739">
        <f t="shared" si="2"/>
        <v>2021</v>
      </c>
      <c r="T38" s="740">
        <f>IF(Select2=1,Food!$W40,"")</f>
        <v>0.93280691356309475</v>
      </c>
      <c r="U38" s="741">
        <f>IF(Select2=1,Paper!$W40,"")</f>
        <v>0.49172112477965391</v>
      </c>
      <c r="V38" s="732">
        <f>IF(Select2=1,Nappies!$W40,"")</f>
        <v>0</v>
      </c>
      <c r="W38" s="741">
        <f>IF(Select2=1,Garden!$W40,"")</f>
        <v>0</v>
      </c>
      <c r="X38" s="732">
        <f>IF(Select2=1,Wood!$W40,"")</f>
        <v>0.2647705842742874</v>
      </c>
      <c r="Y38" s="741">
        <f>IF(Select2=1,Textiles!$W40,"")</f>
        <v>6.175102497232865E-2</v>
      </c>
      <c r="Z38" s="734">
        <f>Sludge!W40</f>
        <v>0</v>
      </c>
      <c r="AA38" s="734" t="str">
        <f>IF(Select2=2,MSW!$W40,"")</f>
        <v/>
      </c>
      <c r="AB38" s="742">
        <f>Industry!$W40</f>
        <v>0</v>
      </c>
      <c r="AC38" s="743">
        <f t="shared" si="0"/>
        <v>1.7510496475893644</v>
      </c>
      <c r="AD38" s="744">
        <f>Recovery_OX!R33</f>
        <v>0</v>
      </c>
      <c r="AE38" s="699"/>
      <c r="AF38" s="746">
        <f>(AC38-AD38)*(1-Recovery_OX!U33)</f>
        <v>1.7510496475893644</v>
      </c>
    </row>
    <row r="39" spans="2:32">
      <c r="B39" s="739">
        <f t="shared" si="1"/>
        <v>2022</v>
      </c>
      <c r="C39" s="740">
        <f>IF(Select2=1,Food!$K41,"")</f>
        <v>1.4274411692235083</v>
      </c>
      <c r="D39" s="741">
        <f>IF(Select2=1,Paper!$K41,"")</f>
        <v>0.24778447158496125</v>
      </c>
      <c r="E39" s="732">
        <f>IF(Select2=1,Nappies!$K41,"")</f>
        <v>0.45418458851998006</v>
      </c>
      <c r="F39" s="741">
        <f>IF(Select2=1,Garden!$K41,"")</f>
        <v>0</v>
      </c>
      <c r="G39" s="732">
        <f>IF(Select2=1,Wood!$K41,"")</f>
        <v>0</v>
      </c>
      <c r="H39" s="741">
        <f>IF(Select2=1,Textiles!$K41,"")</f>
        <v>5.8666057261911222E-2</v>
      </c>
      <c r="I39" s="742">
        <f>Sludge!K41</f>
        <v>0</v>
      </c>
      <c r="J39" s="742" t="str">
        <f>IF(Select2=2,MSW!$K41,"")</f>
        <v/>
      </c>
      <c r="K39" s="742">
        <f>Industry!$K41</f>
        <v>0</v>
      </c>
      <c r="L39" s="743">
        <f t="shared" si="3"/>
        <v>2.1880762865903609</v>
      </c>
      <c r="M39" s="744">
        <f>Recovery_OX!C34</f>
        <v>0</v>
      </c>
      <c r="N39" s="699"/>
      <c r="O39" s="745">
        <f>(L39-M39)*(1-Recovery_OX!F34)</f>
        <v>2.1880762865903609</v>
      </c>
      <c r="P39" s="691"/>
      <c r="Q39" s="701"/>
      <c r="S39" s="739">
        <f t="shared" si="2"/>
        <v>2022</v>
      </c>
      <c r="T39" s="740">
        <f>IF(Select2=1,Food!$W41,"")</f>
        <v>0.95502308378022405</v>
      </c>
      <c r="U39" s="741">
        <f>IF(Select2=1,Paper!$W41,"")</f>
        <v>0.51195138757223391</v>
      </c>
      <c r="V39" s="732">
        <f>IF(Select2=1,Nappies!$W41,"")</f>
        <v>0</v>
      </c>
      <c r="W39" s="741">
        <f>IF(Select2=1,Garden!$W41,"")</f>
        <v>0</v>
      </c>
      <c r="X39" s="732">
        <f>IF(Select2=1,Wood!$W41,"")</f>
        <v>0.2781077642546963</v>
      </c>
      <c r="Y39" s="741">
        <f>IF(Select2=1,Textiles!$W41,"")</f>
        <v>6.4291569602094506E-2</v>
      </c>
      <c r="Z39" s="734">
        <f>Sludge!W41</f>
        <v>0</v>
      </c>
      <c r="AA39" s="734" t="str">
        <f>IF(Select2=2,MSW!$W41,"")</f>
        <v/>
      </c>
      <c r="AB39" s="742">
        <f>Industry!$W41</f>
        <v>0</v>
      </c>
      <c r="AC39" s="743">
        <f t="shared" si="0"/>
        <v>1.8093738052092487</v>
      </c>
      <c r="AD39" s="744">
        <f>Recovery_OX!R34</f>
        <v>0</v>
      </c>
      <c r="AE39" s="699"/>
      <c r="AF39" s="746">
        <f>(AC39-AD39)*(1-Recovery_OX!U34)</f>
        <v>1.8093738052092487</v>
      </c>
    </row>
    <row r="40" spans="2:32">
      <c r="B40" s="739">
        <f t="shared" si="1"/>
        <v>2023</v>
      </c>
      <c r="C40" s="740">
        <f>IF(Select2=1,Food!$K42,"")</f>
        <v>1.4608761453000505</v>
      </c>
      <c r="D40" s="741">
        <f>IF(Select2=1,Paper!$K42,"")</f>
        <v>0.25750086335843819</v>
      </c>
      <c r="E40" s="732">
        <f>IF(Select2=1,Nappies!$K42,"")</f>
        <v>0.46664227990158047</v>
      </c>
      <c r="F40" s="741">
        <f>IF(Select2=1,Garden!$K42,"")</f>
        <v>0</v>
      </c>
      <c r="G40" s="732">
        <f>IF(Select2=1,Wood!$K42,"")</f>
        <v>0</v>
      </c>
      <c r="H40" s="741">
        <f>IF(Select2=1,Textiles!$K42,"")</f>
        <v>6.0966533932284447E-2</v>
      </c>
      <c r="I40" s="742">
        <f>Sludge!K42</f>
        <v>0</v>
      </c>
      <c r="J40" s="742" t="str">
        <f>IF(Select2=2,MSW!$K42,"")</f>
        <v/>
      </c>
      <c r="K40" s="742">
        <f>Industry!$K42</f>
        <v>0</v>
      </c>
      <c r="L40" s="743">
        <f t="shared" si="3"/>
        <v>2.2459858224923535</v>
      </c>
      <c r="M40" s="744">
        <f>Recovery_OX!C35</f>
        <v>0</v>
      </c>
      <c r="N40" s="699"/>
      <c r="O40" s="745">
        <f>(L40-M40)*(1-Recovery_OX!F35)</f>
        <v>2.2459858224923535</v>
      </c>
      <c r="P40" s="691"/>
      <c r="Q40" s="701"/>
      <c r="S40" s="739">
        <f t="shared" si="2"/>
        <v>2023</v>
      </c>
      <c r="T40" s="740">
        <f>IF(Select2=1,Food!$W42,"")</f>
        <v>0.97739260390279936</v>
      </c>
      <c r="U40" s="741">
        <f>IF(Select2=1,Paper!$W42,"")</f>
        <v>0.53202657718685575</v>
      </c>
      <c r="V40" s="732">
        <f>IF(Select2=1,Nappies!$W42,"")</f>
        <v>0</v>
      </c>
      <c r="W40" s="741">
        <f>IF(Select2=1,Garden!$W42,"")</f>
        <v>0</v>
      </c>
      <c r="X40" s="732">
        <f>IF(Select2=1,Wood!$W42,"")</f>
        <v>0.29149517493612598</v>
      </c>
      <c r="Y40" s="741">
        <f>IF(Select2=1,Textiles!$W42,"")</f>
        <v>6.6812639925791173E-2</v>
      </c>
      <c r="Z40" s="734">
        <f>Sludge!W42</f>
        <v>0</v>
      </c>
      <c r="AA40" s="734" t="str">
        <f>IF(Select2=2,MSW!$W42,"")</f>
        <v/>
      </c>
      <c r="AB40" s="742">
        <f>Industry!$W42</f>
        <v>0</v>
      </c>
      <c r="AC40" s="743">
        <f t="shared" si="0"/>
        <v>1.8677269959515721</v>
      </c>
      <c r="AD40" s="744">
        <f>Recovery_OX!R35</f>
        <v>0</v>
      </c>
      <c r="AE40" s="699"/>
      <c r="AF40" s="746">
        <f>(AC40-AD40)*(1-Recovery_OX!U35)</f>
        <v>1.8677269959515721</v>
      </c>
    </row>
    <row r="41" spans="2:32">
      <c r="B41" s="739">
        <f t="shared" si="1"/>
        <v>2024</v>
      </c>
      <c r="C41" s="740">
        <f>IF(Select2=1,Food!$K43,"")</f>
        <v>1.4944647634180266</v>
      </c>
      <c r="D41" s="741">
        <f>IF(Select2=1,Paper!$K43,"")</f>
        <v>0.26714727392389859</v>
      </c>
      <c r="E41" s="732">
        <f>IF(Select2=1,Nappies!$K43,"")</f>
        <v>0.47900310481457709</v>
      </c>
      <c r="F41" s="741">
        <f>IF(Select2=1,Garden!$K43,"")</f>
        <v>0</v>
      </c>
      <c r="G41" s="732">
        <f>IF(Select2=1,Wood!$K43,"")</f>
        <v>0</v>
      </c>
      <c r="H41" s="741">
        <f>IF(Select2=1,Textiles!$K43,"")</f>
        <v>6.3250441680761577E-2</v>
      </c>
      <c r="I41" s="742">
        <f>Sludge!K43</f>
        <v>0</v>
      </c>
      <c r="J41" s="742" t="str">
        <f>IF(Select2=2,MSW!$K43,"")</f>
        <v/>
      </c>
      <c r="K41" s="742">
        <f>Industry!$K43</f>
        <v>0</v>
      </c>
      <c r="L41" s="743">
        <f t="shared" si="3"/>
        <v>2.3038655838372639</v>
      </c>
      <c r="M41" s="744">
        <f>Recovery_OX!C36</f>
        <v>0</v>
      </c>
      <c r="N41" s="699"/>
      <c r="O41" s="745">
        <f>(L41-M41)*(1-Recovery_OX!F36)</f>
        <v>2.3038655838372639</v>
      </c>
      <c r="P41" s="691"/>
      <c r="Q41" s="701"/>
      <c r="S41" s="739">
        <f t="shared" si="2"/>
        <v>2024</v>
      </c>
      <c r="T41" s="740">
        <f>IF(Select2=1,Food!$W43,"")</f>
        <v>0.99986491754105267</v>
      </c>
      <c r="U41" s="741">
        <f>IF(Select2=1,Paper!$W43,"")</f>
        <v>0.55195717752871598</v>
      </c>
      <c r="V41" s="732">
        <f>IF(Select2=1,Nappies!$W43,"")</f>
        <v>0</v>
      </c>
      <c r="W41" s="741">
        <f>IF(Select2=1,Garden!$W43,"")</f>
        <v>0</v>
      </c>
      <c r="X41" s="732">
        <f>IF(Select2=1,Wood!$W43,"")</f>
        <v>0.30493108865452373</v>
      </c>
      <c r="Y41" s="741">
        <f>IF(Select2=1,Textiles!$W43,"")</f>
        <v>6.9315552526862001E-2</v>
      </c>
      <c r="Z41" s="734">
        <f>Sludge!W43</f>
        <v>0</v>
      </c>
      <c r="AA41" s="734" t="str">
        <f>IF(Select2=2,MSW!$W43,"")</f>
        <v/>
      </c>
      <c r="AB41" s="742">
        <f>Industry!$W43</f>
        <v>0</v>
      </c>
      <c r="AC41" s="743">
        <f t="shared" si="0"/>
        <v>1.9260687362511544</v>
      </c>
      <c r="AD41" s="744">
        <f>Recovery_OX!R36</f>
        <v>0</v>
      </c>
      <c r="AE41" s="699"/>
      <c r="AF41" s="746">
        <f>(AC41-AD41)*(1-Recovery_OX!U36)</f>
        <v>1.9260687362511544</v>
      </c>
    </row>
    <row r="42" spans="2:32">
      <c r="B42" s="739">
        <f t="shared" si="1"/>
        <v>2025</v>
      </c>
      <c r="C42" s="740">
        <f>IF(Select2=1,Food!$K44,"")</f>
        <v>1.5281563708762889</v>
      </c>
      <c r="D42" s="741">
        <f>IF(Select2=1,Paper!$K44,"")</f>
        <v>0.27672843444349471</v>
      </c>
      <c r="E42" s="732">
        <f>IF(Select2=1,Nappies!$K44,"")</f>
        <v>0.49128220689610475</v>
      </c>
      <c r="F42" s="741">
        <f>IF(Select2=1,Garden!$K44,"")</f>
        <v>0</v>
      </c>
      <c r="G42" s="732">
        <f>IF(Select2=1,Wood!$K44,"")</f>
        <v>0</v>
      </c>
      <c r="H42" s="741">
        <f>IF(Select2=1,Textiles!$K44,"")</f>
        <v>6.5518900668860278E-2</v>
      </c>
      <c r="I42" s="742">
        <f>Sludge!K44</f>
        <v>0</v>
      </c>
      <c r="J42" s="742" t="str">
        <f>IF(Select2=2,MSW!$K44,"")</f>
        <v/>
      </c>
      <c r="K42" s="742">
        <f>Industry!$K44</f>
        <v>0</v>
      </c>
      <c r="L42" s="743">
        <f t="shared" si="3"/>
        <v>2.3616859128847487</v>
      </c>
      <c r="M42" s="744">
        <f>Recovery_OX!C37</f>
        <v>0</v>
      </c>
      <c r="N42" s="699"/>
      <c r="O42" s="745">
        <f>(L42-M42)*(1-Recovery_OX!F37)</f>
        <v>2.3616859128847487</v>
      </c>
      <c r="P42" s="691"/>
      <c r="Q42" s="701"/>
      <c r="S42" s="739">
        <f t="shared" si="2"/>
        <v>2025</v>
      </c>
      <c r="T42" s="740">
        <f>IF(Select2=1,Food!$W44,"")</f>
        <v>1.0224061357334673</v>
      </c>
      <c r="U42" s="741">
        <f>IF(Select2=1,Paper!$W44,"")</f>
        <v>0.57175296372622886</v>
      </c>
      <c r="V42" s="732">
        <f>IF(Select2=1,Nappies!$W44,"")</f>
        <v>0</v>
      </c>
      <c r="W42" s="741">
        <f>IF(Select2=1,Garden!$W44,"")</f>
        <v>0</v>
      </c>
      <c r="X42" s="732">
        <f>IF(Select2=1,Wood!$W44,"")</f>
        <v>0.31841383716812288</v>
      </c>
      <c r="Y42" s="741">
        <f>IF(Select2=1,Textiles!$W44,"")</f>
        <v>7.1801534979572923E-2</v>
      </c>
      <c r="Z42" s="734">
        <f>Sludge!W44</f>
        <v>0</v>
      </c>
      <c r="AA42" s="734" t="str">
        <f>IF(Select2=2,MSW!$W44,"")</f>
        <v/>
      </c>
      <c r="AB42" s="742">
        <f>Industry!$W44</f>
        <v>0</v>
      </c>
      <c r="AC42" s="743">
        <f t="shared" si="0"/>
        <v>1.9843744716073919</v>
      </c>
      <c r="AD42" s="744">
        <f>Recovery_OX!R37</f>
        <v>0</v>
      </c>
      <c r="AE42" s="699"/>
      <c r="AF42" s="746">
        <f>(AC42-AD42)*(1-Recovery_OX!U37)</f>
        <v>1.9843744716073919</v>
      </c>
    </row>
    <row r="43" spans="2:32">
      <c r="B43" s="739">
        <f t="shared" si="1"/>
        <v>2026</v>
      </c>
      <c r="C43" s="740">
        <f>IF(Select2=1,Food!$K45,"")</f>
        <v>1.5619170141538732</v>
      </c>
      <c r="D43" s="741">
        <f>IF(Select2=1,Paper!$K45,"")</f>
        <v>0.28624875622357859</v>
      </c>
      <c r="E43" s="732">
        <f>IF(Select2=1,Nappies!$K45,"")</f>
        <v>0.50349236230000938</v>
      </c>
      <c r="F43" s="741">
        <f>IF(Select2=1,Garden!$K45,"")</f>
        <v>0</v>
      </c>
      <c r="G43" s="732">
        <f>IF(Select2=1,Wood!$K45,"")</f>
        <v>0</v>
      </c>
      <c r="H43" s="741">
        <f>IF(Select2=1,Textiles!$K45,"")</f>
        <v>6.7772955328256945E-2</v>
      </c>
      <c r="I43" s="742">
        <f>Sludge!K45</f>
        <v>0</v>
      </c>
      <c r="J43" s="742" t="str">
        <f>IF(Select2=2,MSW!$K45,"")</f>
        <v/>
      </c>
      <c r="K43" s="742">
        <f>Industry!$K45</f>
        <v>0</v>
      </c>
      <c r="L43" s="743">
        <f t="shared" si="3"/>
        <v>2.4194310880057186</v>
      </c>
      <c r="M43" s="744">
        <f>Recovery_OX!C38</f>
        <v>0</v>
      </c>
      <c r="N43" s="699"/>
      <c r="O43" s="745">
        <f>(L43-M43)*(1-Recovery_OX!F38)</f>
        <v>2.4194310880057186</v>
      </c>
      <c r="P43" s="691"/>
      <c r="Q43" s="701"/>
      <c r="S43" s="739">
        <f t="shared" si="2"/>
        <v>2026</v>
      </c>
      <c r="T43" s="740">
        <f>IF(Select2=1,Food!$W45,"")</f>
        <v>1.0449935420297993</v>
      </c>
      <c r="U43" s="741">
        <f>IF(Select2=1,Paper!$W45,"")</f>
        <v>0.5914230500487162</v>
      </c>
      <c r="V43" s="732">
        <f>IF(Select2=1,Nappies!$W45,"")</f>
        <v>0</v>
      </c>
      <c r="W43" s="741">
        <f>IF(Select2=1,Garden!$W45,"")</f>
        <v>0</v>
      </c>
      <c r="X43" s="732">
        <f>IF(Select2=1,Wood!$W45,"")</f>
        <v>0.33194180961363773</v>
      </c>
      <c r="Y43" s="741">
        <f>IF(Select2=1,Textiles!$W45,"")</f>
        <v>7.4271731866582952E-2</v>
      </c>
      <c r="Z43" s="734">
        <f>Sludge!W45</f>
        <v>0</v>
      </c>
      <c r="AA43" s="734" t="str">
        <f>IF(Select2=2,MSW!$W45,"")</f>
        <v/>
      </c>
      <c r="AB43" s="742">
        <f>Industry!$W45</f>
        <v>0</v>
      </c>
      <c r="AC43" s="743">
        <f t="shared" si="0"/>
        <v>2.0426301335587365</v>
      </c>
      <c r="AD43" s="744">
        <f>Recovery_OX!R38</f>
        <v>0</v>
      </c>
      <c r="AE43" s="699"/>
      <c r="AF43" s="746">
        <f>(AC43-AD43)*(1-Recovery_OX!U38)</f>
        <v>2.0426301335587365</v>
      </c>
    </row>
    <row r="44" spans="2:32">
      <c r="B44" s="739">
        <f t="shared" si="1"/>
        <v>2027</v>
      </c>
      <c r="C44" s="740">
        <f>IF(Select2=1,Food!$K46,"")</f>
        <v>1.5957239335250435</v>
      </c>
      <c r="D44" s="741">
        <f>IF(Select2=1,Paper!$K46,"")</f>
        <v>0.29571235233893034</v>
      </c>
      <c r="E44" s="732">
        <f>IF(Select2=1,Nappies!$K46,"")</f>
        <v>0.51564434981778229</v>
      </c>
      <c r="F44" s="741">
        <f>IF(Select2=1,Garden!$K46,"")</f>
        <v>0</v>
      </c>
      <c r="G44" s="732">
        <f>IF(Select2=1,Wood!$K46,"")</f>
        <v>0</v>
      </c>
      <c r="H44" s="741">
        <f>IF(Select2=1,Textiles!$K46,"")</f>
        <v>7.001357948059192E-2</v>
      </c>
      <c r="I44" s="742">
        <f>Sludge!K46</f>
        <v>0</v>
      </c>
      <c r="J44" s="742" t="str">
        <f>IF(Select2=2,MSW!$K46,"")</f>
        <v/>
      </c>
      <c r="K44" s="742">
        <f>Industry!$K46</f>
        <v>0</v>
      </c>
      <c r="L44" s="743">
        <f t="shared" si="3"/>
        <v>2.4770942151623481</v>
      </c>
      <c r="M44" s="744">
        <f>Recovery_OX!C39</f>
        <v>0</v>
      </c>
      <c r="N44" s="699"/>
      <c r="O44" s="745">
        <f>(L44-M44)*(1-Recovery_OX!F39)</f>
        <v>2.4770942151623481</v>
      </c>
      <c r="P44" s="691"/>
      <c r="Q44" s="701"/>
      <c r="S44" s="739">
        <f t="shared" si="2"/>
        <v>2027</v>
      </c>
      <c r="T44" s="740">
        <f>IF(Select2=1,Food!$W46,"")</f>
        <v>1.0676119091380758</v>
      </c>
      <c r="U44" s="741">
        <f>IF(Select2=1,Paper!$W46,"")</f>
        <v>0.61097593458456678</v>
      </c>
      <c r="V44" s="732">
        <f>IF(Select2=1,Nappies!$W46,"")</f>
        <v>0</v>
      </c>
      <c r="W44" s="741">
        <f>IF(Select2=1,Garden!$W46,"")</f>
        <v>0</v>
      </c>
      <c r="X44" s="732">
        <f>IF(Select2=1,Wood!$W46,"")</f>
        <v>0.34551345053275484</v>
      </c>
      <c r="Y44" s="741">
        <f>IF(Select2=1,Textiles!$W46,"")</f>
        <v>7.6727210389689771E-2</v>
      </c>
      <c r="Z44" s="734">
        <f>Sludge!W46</f>
        <v>0</v>
      </c>
      <c r="AA44" s="734" t="str">
        <f>IF(Select2=2,MSW!$W46,"")</f>
        <v/>
      </c>
      <c r="AB44" s="742">
        <f>Industry!$W46</f>
        <v>0</v>
      </c>
      <c r="AC44" s="743">
        <f t="shared" si="0"/>
        <v>2.1008285046450874</v>
      </c>
      <c r="AD44" s="744">
        <f>Recovery_OX!R39</f>
        <v>0</v>
      </c>
      <c r="AE44" s="699"/>
      <c r="AF44" s="746">
        <f>(AC44-AD44)*(1-Recovery_OX!U39)</f>
        <v>2.1008285046450874</v>
      </c>
    </row>
    <row r="45" spans="2:32">
      <c r="B45" s="739">
        <f t="shared" si="1"/>
        <v>2028</v>
      </c>
      <c r="C45" s="740">
        <f>IF(Select2=1,Food!$K47,"")</f>
        <v>1.629561872689397</v>
      </c>
      <c r="D45" s="741">
        <f>IF(Select2=1,Paper!$K47,"")</f>
        <v>0.30512305779505572</v>
      </c>
      <c r="E45" s="732">
        <f>IF(Select2=1,Nappies!$K47,"")</f>
        <v>0.52774726313657017</v>
      </c>
      <c r="F45" s="741">
        <f>IF(Select2=1,Garden!$K47,"")</f>
        <v>0</v>
      </c>
      <c r="G45" s="732">
        <f>IF(Select2=1,Wood!$K47,"")</f>
        <v>0</v>
      </c>
      <c r="H45" s="741">
        <f>IF(Select2=1,Textiles!$K47,"")</f>
        <v>7.2241681111144374E-2</v>
      </c>
      <c r="I45" s="742">
        <f>Sludge!K47</f>
        <v>0</v>
      </c>
      <c r="J45" s="742" t="str">
        <f>IF(Select2=2,MSW!$K47,"")</f>
        <v/>
      </c>
      <c r="K45" s="742">
        <f>Industry!$K47</f>
        <v>0</v>
      </c>
      <c r="L45" s="743">
        <f t="shared" si="3"/>
        <v>2.5346738747321673</v>
      </c>
      <c r="M45" s="744">
        <f>Recovery_OX!C40</f>
        <v>0</v>
      </c>
      <c r="N45" s="699"/>
      <c r="O45" s="745">
        <f>(L45-M45)*(1-Recovery_OX!F40)</f>
        <v>2.5346738747321673</v>
      </c>
      <c r="P45" s="691"/>
      <c r="Q45" s="701"/>
      <c r="S45" s="739">
        <f t="shared" si="2"/>
        <v>2028</v>
      </c>
      <c r="T45" s="740">
        <f>IF(Select2=1,Food!$W47,"")</f>
        <v>1.0902510298992398</v>
      </c>
      <c r="U45" s="741">
        <f>IF(Select2=1,Paper!$W47,"")</f>
        <v>0.63041954089887531</v>
      </c>
      <c r="V45" s="732">
        <f>IF(Select2=1,Nappies!$W47,"")</f>
        <v>0</v>
      </c>
      <c r="W45" s="741">
        <f>IF(Select2=1,Garden!$W47,"")</f>
        <v>0</v>
      </c>
      <c r="X45" s="732">
        <f>IF(Select2=1,Wood!$W47,"")</f>
        <v>0.35912725796650197</v>
      </c>
      <c r="Y45" s="741">
        <f>IF(Select2=1,Textiles!$W47,"")</f>
        <v>7.916896560125411E-2</v>
      </c>
      <c r="Z45" s="734">
        <f>Sludge!W47</f>
        <v>0</v>
      </c>
      <c r="AA45" s="734" t="str">
        <f>IF(Select2=2,MSW!$W47,"")</f>
        <v/>
      </c>
      <c r="AB45" s="742">
        <f>Industry!$W47</f>
        <v>0</v>
      </c>
      <c r="AC45" s="743">
        <f t="shared" si="0"/>
        <v>2.1589667943658712</v>
      </c>
      <c r="AD45" s="744">
        <f>Recovery_OX!R40</f>
        <v>0</v>
      </c>
      <c r="AE45" s="699"/>
      <c r="AF45" s="746">
        <f>(AC45-AD45)*(1-Recovery_OX!U40)</f>
        <v>2.1589667943658712</v>
      </c>
    </row>
    <row r="46" spans="2:32">
      <c r="B46" s="739">
        <f t="shared" si="1"/>
        <v>2029</v>
      </c>
      <c r="C46" s="740">
        <f>IF(Select2=1,Food!$K48,"")</f>
        <v>1.6634206050429452</v>
      </c>
      <c r="D46" s="741">
        <f>IF(Select2=1,Paper!$K48,"")</f>
        <v>0.31448444832738764</v>
      </c>
      <c r="E46" s="732">
        <f>IF(Select2=1,Nappies!$K48,"")</f>
        <v>0.53980877428027152</v>
      </c>
      <c r="F46" s="741">
        <f>IF(Select2=1,Garden!$K48,"")</f>
        <v>0</v>
      </c>
      <c r="G46" s="732">
        <f>IF(Select2=1,Wood!$K48,"")</f>
        <v>0</v>
      </c>
      <c r="H46" s="741">
        <f>IF(Select2=1,Textiles!$K48,"")</f>
        <v>7.4458106819777173E-2</v>
      </c>
      <c r="I46" s="742">
        <f>Sludge!K48</f>
        <v>0</v>
      </c>
      <c r="J46" s="742" t="str">
        <f>IF(Select2=2,MSW!$K48,"")</f>
        <v/>
      </c>
      <c r="K46" s="742">
        <f>Industry!$K48</f>
        <v>0</v>
      </c>
      <c r="L46" s="743">
        <f t="shared" si="3"/>
        <v>2.592171934470382</v>
      </c>
      <c r="M46" s="744">
        <f>Recovery_OX!C41</f>
        <v>0</v>
      </c>
      <c r="N46" s="699"/>
      <c r="O46" s="745">
        <f>(L46-M46)*(1-Recovery_OX!F41)</f>
        <v>2.592171934470382</v>
      </c>
      <c r="P46" s="691"/>
      <c r="Q46" s="701"/>
      <c r="S46" s="739">
        <f t="shared" si="2"/>
        <v>2029</v>
      </c>
      <c r="T46" s="740">
        <f>IF(Select2=1,Food!$W48,"")</f>
        <v>1.1129040622499633</v>
      </c>
      <c r="U46" s="741">
        <f>IF(Select2=1,Paper!$W48,"")</f>
        <v>0.64976125687476782</v>
      </c>
      <c r="V46" s="732">
        <f>IF(Select2=1,Nappies!$W48,"")</f>
        <v>0</v>
      </c>
      <c r="W46" s="741">
        <f>IF(Select2=1,Garden!$W48,"")</f>
        <v>0</v>
      </c>
      <c r="X46" s="732">
        <f>IF(Select2=1,Wood!$W48,"")</f>
        <v>0.37278178161516062</v>
      </c>
      <c r="Y46" s="741">
        <f>IF(Select2=1,Textiles!$W48,"")</f>
        <v>8.1597925281947592E-2</v>
      </c>
      <c r="Z46" s="734">
        <f>Sludge!W48</f>
        <v>0</v>
      </c>
      <c r="AA46" s="734" t="str">
        <f>IF(Select2=2,MSW!$W48,"")</f>
        <v/>
      </c>
      <c r="AB46" s="742">
        <f>Industry!$W48</f>
        <v>0</v>
      </c>
      <c r="AC46" s="743">
        <f t="shared" si="0"/>
        <v>2.2170450260218395</v>
      </c>
      <c r="AD46" s="744">
        <f>Recovery_OX!R41</f>
        <v>0</v>
      </c>
      <c r="AE46" s="699"/>
      <c r="AF46" s="746">
        <f>(AC46-AD46)*(1-Recovery_OX!U41)</f>
        <v>2.2170450260218395</v>
      </c>
    </row>
    <row r="47" spans="2:32">
      <c r="B47" s="739">
        <f t="shared" si="1"/>
        <v>2030</v>
      </c>
      <c r="C47" s="740">
        <f>IF(Select2=1,Food!$K49,"")</f>
        <v>1.697293275488031</v>
      </c>
      <c r="D47" s="741">
        <f>IF(Select2=1,Paper!$K49,"")</f>
        <v>0.32379985792954552</v>
      </c>
      <c r="E47" s="732">
        <f>IF(Select2=1,Nappies!$K49,"")</f>
        <v>0.55183535586552201</v>
      </c>
      <c r="F47" s="741">
        <f>IF(Select2=1,Garden!$K49,"")</f>
        <v>0</v>
      </c>
      <c r="G47" s="732">
        <f>IF(Select2=1,Wood!$K49,"")</f>
        <v>0</v>
      </c>
      <c r="H47" s="741">
        <f>IF(Select2=1,Textiles!$K49,"")</f>
        <v>7.6663645970970376E-2</v>
      </c>
      <c r="I47" s="742">
        <f>Sludge!K49</f>
        <v>0</v>
      </c>
      <c r="J47" s="742" t="str">
        <f>IF(Select2=2,MSW!$K49,"")</f>
        <v/>
      </c>
      <c r="K47" s="742">
        <f>Industry!$K49</f>
        <v>0</v>
      </c>
      <c r="L47" s="743">
        <f t="shared" si="3"/>
        <v>2.649592135254069</v>
      </c>
      <c r="M47" s="744">
        <f>Recovery_OX!C42</f>
        <v>0</v>
      </c>
      <c r="N47" s="699"/>
      <c r="O47" s="745">
        <f>(L47-M47)*(1-Recovery_OX!F42)</f>
        <v>2.649592135254069</v>
      </c>
      <c r="P47" s="691"/>
      <c r="Q47" s="701"/>
      <c r="S47" s="739">
        <f t="shared" si="2"/>
        <v>2030</v>
      </c>
      <c r="T47" s="740">
        <f>IF(Select2=1,Food!$W49,"")</f>
        <v>1.1355664198180404</v>
      </c>
      <c r="U47" s="741">
        <f>IF(Select2=1,Paper!$W49,"")</f>
        <v>0.66900797092881303</v>
      </c>
      <c r="V47" s="732">
        <f>IF(Select2=1,Nappies!$W49,"")</f>
        <v>0</v>
      </c>
      <c r="W47" s="741">
        <f>IF(Select2=1,Garden!$W49,"")</f>
        <v>0</v>
      </c>
      <c r="X47" s="732">
        <f>IF(Select2=1,Wood!$W49,"")</f>
        <v>0.38647562106146738</v>
      </c>
      <c r="Y47" s="741">
        <f>IF(Select2=1,Textiles!$W49,"")</f>
        <v>8.4014954488734667E-2</v>
      </c>
      <c r="Z47" s="734">
        <f>Sludge!W49</f>
        <v>0</v>
      </c>
      <c r="AA47" s="734" t="str">
        <f>IF(Select2=2,MSW!$W49,"")</f>
        <v/>
      </c>
      <c r="AB47" s="742">
        <f>Industry!$W49</f>
        <v>0</v>
      </c>
      <c r="AC47" s="743">
        <f t="shared" si="0"/>
        <v>2.2750649662970552</v>
      </c>
      <c r="AD47" s="744">
        <f>Recovery_OX!R42</f>
        <v>0</v>
      </c>
      <c r="AE47" s="699"/>
      <c r="AF47" s="746">
        <f>(AC47-AD47)*(1-Recovery_OX!U42)</f>
        <v>2.2750649662970552</v>
      </c>
    </row>
    <row r="48" spans="2:32">
      <c r="B48" s="739">
        <f t="shared" si="1"/>
        <v>2031</v>
      </c>
      <c r="C48" s="740">
        <f>IF(Select2=1,Food!$K50,"")</f>
        <v>1.7311752889152783</v>
      </c>
      <c r="D48" s="741">
        <f>IF(Select2=1,Paper!$K50,"")</f>
        <v>0.33307239519657561</v>
      </c>
      <c r="E48" s="732">
        <f>IF(Select2=1,Nappies!$K50,"")</f>
        <v>0.56383246861124825</v>
      </c>
      <c r="F48" s="741">
        <f>IF(Select2=1,Garden!$K50,"")</f>
        <v>0</v>
      </c>
      <c r="G48" s="732">
        <f>IF(Select2=1,Wood!$K50,"")</f>
        <v>0</v>
      </c>
      <c r="H48" s="741">
        <f>IF(Select2=1,Textiles!$K50,"")</f>
        <v>7.8859034563286856E-2</v>
      </c>
      <c r="I48" s="742">
        <f>Sludge!K50</f>
        <v>0</v>
      </c>
      <c r="J48" s="742" t="str">
        <f>IF(Select2=2,MSW!$K50,"")</f>
        <v/>
      </c>
      <c r="K48" s="742">
        <f>Industry!$K50</f>
        <v>0</v>
      </c>
      <c r="L48" s="743">
        <f t="shared" si="3"/>
        <v>2.7069391872863888</v>
      </c>
      <c r="M48" s="744">
        <f>Recovery_OX!C43</f>
        <v>0</v>
      </c>
      <c r="N48" s="699"/>
      <c r="O48" s="745">
        <f>(L48-M48)*(1-Recovery_OX!F43)</f>
        <v>2.7069391872863888</v>
      </c>
      <c r="P48" s="691"/>
      <c r="Q48" s="701"/>
      <c r="S48" s="739">
        <f t="shared" si="2"/>
        <v>2031</v>
      </c>
      <c r="T48" s="740">
        <f>IF(Select2=1,Food!$W50,"")</f>
        <v>1.1582350282662435</v>
      </c>
      <c r="U48" s="741">
        <f>IF(Select2=1,Paper!$W50,"")</f>
        <v>0.68816610577804882</v>
      </c>
      <c r="V48" s="732">
        <f>IF(Select2=1,Nappies!$W50,"")</f>
        <v>0</v>
      </c>
      <c r="W48" s="741">
        <f>IF(Select2=1,Garden!$W50,"")</f>
        <v>0</v>
      </c>
      <c r="X48" s="732">
        <f>IF(Select2=1,Wood!$W50,"")</f>
        <v>0.4002074240549276</v>
      </c>
      <c r="Y48" s="741">
        <f>IF(Select2=1,Textiles!$W50,"")</f>
        <v>8.6420859795382859E-2</v>
      </c>
      <c r="Z48" s="734">
        <f>Sludge!W50</f>
        <v>0</v>
      </c>
      <c r="AA48" s="734" t="str">
        <f>IF(Select2=2,MSW!$W50,"")</f>
        <v/>
      </c>
      <c r="AB48" s="742">
        <f>Industry!$W50</f>
        <v>0</v>
      </c>
      <c r="AC48" s="743">
        <f t="shared" si="0"/>
        <v>2.3330294178946027</v>
      </c>
      <c r="AD48" s="744">
        <f>Recovery_OX!R43</f>
        <v>0</v>
      </c>
      <c r="AE48" s="699"/>
      <c r="AF48" s="746">
        <f>(AC48-AD48)*(1-Recovery_OX!U43)</f>
        <v>2.3330294178946027</v>
      </c>
    </row>
    <row r="49" spans="2:32">
      <c r="B49" s="739">
        <f t="shared" si="1"/>
        <v>2032</v>
      </c>
      <c r="C49" s="740">
        <f>IF(Select2=1,Food!$K51,"")</f>
        <v>1.1604414993614505</v>
      </c>
      <c r="D49" s="741">
        <f>IF(Select2=1,Paper!$K51,"")</f>
        <v>0.31055464286255874</v>
      </c>
      <c r="E49" s="732">
        <f>IF(Select2=1,Nappies!$K51,"")</f>
        <v>0.47568561622199501</v>
      </c>
      <c r="F49" s="741">
        <f>IF(Select2=1,Garden!$K51,"")</f>
        <v>0</v>
      </c>
      <c r="G49" s="732">
        <f>IF(Select2=1,Wood!$K51,"")</f>
        <v>0</v>
      </c>
      <c r="H49" s="741">
        <f>IF(Select2=1,Textiles!$K51,"")</f>
        <v>7.3527676470558218E-2</v>
      </c>
      <c r="I49" s="742">
        <f>Sludge!K51</f>
        <v>0</v>
      </c>
      <c r="J49" s="742" t="str">
        <f>IF(Select2=2,MSW!$K51,"")</f>
        <v/>
      </c>
      <c r="K49" s="742">
        <f>Industry!$K51</f>
        <v>0</v>
      </c>
      <c r="L49" s="743">
        <f t="shared" si="3"/>
        <v>2.0202094349165622</v>
      </c>
      <c r="M49" s="744">
        <f>Recovery_OX!C44</f>
        <v>0</v>
      </c>
      <c r="N49" s="699"/>
      <c r="O49" s="745">
        <f>(L49-M49)*(1-Recovery_OX!F44)</f>
        <v>2.0202094349165622</v>
      </c>
      <c r="P49" s="691"/>
      <c r="Q49" s="701"/>
      <c r="S49" s="739">
        <f t="shared" si="2"/>
        <v>2032</v>
      </c>
      <c r="T49" s="740">
        <f>IF(Select2=1,Food!$W51,"")</f>
        <v>0.77638815746751821</v>
      </c>
      <c r="U49" s="741">
        <f>IF(Select2=1,Paper!$W51,"")</f>
        <v>0.64164182409619575</v>
      </c>
      <c r="V49" s="732">
        <f>IF(Select2=1,Nappies!$W51,"")</f>
        <v>0</v>
      </c>
      <c r="W49" s="741">
        <f>IF(Select2=1,Garden!$W51,"")</f>
        <v>0</v>
      </c>
      <c r="X49" s="732">
        <f>IF(Select2=1,Wood!$W51,"")</f>
        <v>0.38644245629392671</v>
      </c>
      <c r="Y49" s="741">
        <f>IF(Select2=1,Textiles!$W51,"")</f>
        <v>8.0578275584173423E-2</v>
      </c>
      <c r="Z49" s="734">
        <f>Sludge!W51</f>
        <v>0</v>
      </c>
      <c r="AA49" s="734" t="str">
        <f>IF(Select2=2,MSW!$W51,"")</f>
        <v/>
      </c>
      <c r="AB49" s="742">
        <f>Industry!$W51</f>
        <v>0</v>
      </c>
      <c r="AC49" s="743">
        <f t="shared" ref="AC49:AC80" si="4">SUM(T49:AA49)</f>
        <v>1.8850507134418144</v>
      </c>
      <c r="AD49" s="744">
        <f>Recovery_OX!R44</f>
        <v>0</v>
      </c>
      <c r="AE49" s="699"/>
      <c r="AF49" s="746">
        <f>(AC49-AD49)*(1-Recovery_OX!U44)</f>
        <v>1.8850507134418144</v>
      </c>
    </row>
    <row r="50" spans="2:32">
      <c r="B50" s="739">
        <f t="shared" si="1"/>
        <v>2033</v>
      </c>
      <c r="C50" s="740">
        <f>IF(Select2=1,Food!$K52,"")</f>
        <v>0.7778671992736339</v>
      </c>
      <c r="D50" s="741">
        <f>IF(Select2=1,Paper!$K52,"")</f>
        <v>0.28955922974814868</v>
      </c>
      <c r="E50" s="732">
        <f>IF(Select2=1,Nappies!$K52,"")</f>
        <v>0.40131921816746724</v>
      </c>
      <c r="F50" s="741">
        <f>IF(Select2=1,Garden!$K52,"")</f>
        <v>0</v>
      </c>
      <c r="G50" s="732">
        <f>IF(Select2=1,Wood!$K52,"")</f>
        <v>0</v>
      </c>
      <c r="H50" s="741">
        <f>IF(Select2=1,Textiles!$K52,"")</f>
        <v>6.8556751133192484E-2</v>
      </c>
      <c r="I50" s="742">
        <f>Sludge!K52</f>
        <v>0</v>
      </c>
      <c r="J50" s="742" t="str">
        <f>IF(Select2=2,MSW!$K52,"")</f>
        <v/>
      </c>
      <c r="K50" s="742">
        <f>Industry!$K52</f>
        <v>0</v>
      </c>
      <c r="L50" s="743">
        <f t="shared" si="3"/>
        <v>1.5373023983224421</v>
      </c>
      <c r="M50" s="744">
        <f>Recovery_OX!C45</f>
        <v>0</v>
      </c>
      <c r="N50" s="699"/>
      <c r="O50" s="745">
        <f>(L50-M50)*(1-Recovery_OX!F45)</f>
        <v>1.5373023983224421</v>
      </c>
      <c r="P50" s="691"/>
      <c r="Q50" s="701"/>
      <c r="S50" s="739">
        <f t="shared" si="2"/>
        <v>2033</v>
      </c>
      <c r="T50" s="740">
        <f>IF(Select2=1,Food!$W52,"")</f>
        <v>0.52042854545515205</v>
      </c>
      <c r="U50" s="741">
        <f>IF(Select2=1,Paper!$W52,"")</f>
        <v>0.59826287138047241</v>
      </c>
      <c r="V50" s="732">
        <f>IF(Select2=1,Nappies!$W52,"")</f>
        <v>0</v>
      </c>
      <c r="W50" s="741">
        <f>IF(Select2=1,Garden!$W52,"")</f>
        <v>0</v>
      </c>
      <c r="X50" s="732">
        <f>IF(Select2=1,Wood!$W52,"")</f>
        <v>0.37315092886929357</v>
      </c>
      <c r="Y50" s="741">
        <f>IF(Select2=1,Textiles!$W52,"")</f>
        <v>7.513068617336166E-2</v>
      </c>
      <c r="Z50" s="734">
        <f>Sludge!W52</f>
        <v>0</v>
      </c>
      <c r="AA50" s="734" t="str">
        <f>IF(Select2=2,MSW!$W52,"")</f>
        <v/>
      </c>
      <c r="AB50" s="742">
        <f>Industry!$W52</f>
        <v>0</v>
      </c>
      <c r="AC50" s="743">
        <f t="shared" si="4"/>
        <v>1.5669730318782795</v>
      </c>
      <c r="AD50" s="744">
        <f>Recovery_OX!R45</f>
        <v>0</v>
      </c>
      <c r="AE50" s="699"/>
      <c r="AF50" s="746">
        <f>(AC50-AD50)*(1-Recovery_OX!U45)</f>
        <v>1.5669730318782795</v>
      </c>
    </row>
    <row r="51" spans="2:32">
      <c r="B51" s="739">
        <f t="shared" si="1"/>
        <v>2034</v>
      </c>
      <c r="C51" s="740">
        <f>IF(Select2=1,Food!$K53,"")</f>
        <v>0.52141997682671604</v>
      </c>
      <c r="D51" s="741">
        <f>IF(Select2=1,Paper!$K53,"")</f>
        <v>0.26998323631390042</v>
      </c>
      <c r="E51" s="732">
        <f>IF(Select2=1,Nappies!$K53,"")</f>
        <v>0.33857890459186035</v>
      </c>
      <c r="F51" s="741">
        <f>IF(Select2=1,Garden!$K53,"")</f>
        <v>0</v>
      </c>
      <c r="G51" s="732">
        <f>IF(Select2=1,Wood!$K53,"")</f>
        <v>0</v>
      </c>
      <c r="H51" s="741">
        <f>IF(Select2=1,Textiles!$K53,"")</f>
        <v>6.3921891069418799E-2</v>
      </c>
      <c r="I51" s="742">
        <f>Sludge!K53</f>
        <v>0</v>
      </c>
      <c r="J51" s="742" t="str">
        <f>IF(Select2=2,MSW!$K53,"")</f>
        <v/>
      </c>
      <c r="K51" s="742">
        <f>Industry!$K53</f>
        <v>0</v>
      </c>
      <c r="L51" s="743">
        <f t="shared" si="3"/>
        <v>1.1939040088018955</v>
      </c>
      <c r="M51" s="744">
        <f>Recovery_OX!C46</f>
        <v>0</v>
      </c>
      <c r="N51" s="699"/>
      <c r="O51" s="745">
        <f>(L51-M51)*(1-Recovery_OX!F46)</f>
        <v>1.1939040088018955</v>
      </c>
      <c r="P51" s="691"/>
      <c r="Q51" s="701"/>
      <c r="S51" s="739">
        <f t="shared" si="2"/>
        <v>2034</v>
      </c>
      <c r="T51" s="740">
        <f>IF(Select2=1,Food!$W53,"")</f>
        <v>0.34885368654775839</v>
      </c>
      <c r="U51" s="741">
        <f>IF(Select2=1,Paper!$W53,"")</f>
        <v>0.55781660395433974</v>
      </c>
      <c r="V51" s="732">
        <f>IF(Select2=1,Nappies!$W53,"")</f>
        <v>0</v>
      </c>
      <c r="W51" s="741">
        <f>IF(Select2=1,Garden!$W53,"")</f>
        <v>0</v>
      </c>
      <c r="X51" s="732">
        <f>IF(Select2=1,Wood!$W53,"")</f>
        <v>0.36031655799773177</v>
      </c>
      <c r="Y51" s="741">
        <f>IF(Select2=1,Textiles!$W53,"")</f>
        <v>7.0051387473335683E-2</v>
      </c>
      <c r="Z51" s="734">
        <f>Sludge!W53</f>
        <v>0</v>
      </c>
      <c r="AA51" s="734" t="str">
        <f>IF(Select2=2,MSW!$W53,"")</f>
        <v/>
      </c>
      <c r="AB51" s="742">
        <f>Industry!$W53</f>
        <v>0</v>
      </c>
      <c r="AC51" s="743">
        <f t="shared" si="4"/>
        <v>1.3370382359731656</v>
      </c>
      <c r="AD51" s="744">
        <f>Recovery_OX!R46</f>
        <v>0</v>
      </c>
      <c r="AE51" s="699"/>
      <c r="AF51" s="746">
        <f>(AC51-AD51)*(1-Recovery_OX!U46)</f>
        <v>1.3370382359731656</v>
      </c>
    </row>
    <row r="52" spans="2:32">
      <c r="B52" s="739">
        <f t="shared" si="1"/>
        <v>2035</v>
      </c>
      <c r="C52" s="740">
        <f>IF(Select2=1,Food!$K54,"")</f>
        <v>0.34951826287038634</v>
      </c>
      <c r="D52" s="741">
        <f>IF(Select2=1,Paper!$K54,"")</f>
        <v>0.25173070101728795</v>
      </c>
      <c r="E52" s="732">
        <f>IF(Select2=1,Nappies!$K54,"")</f>
        <v>0.28564710944589633</v>
      </c>
      <c r="F52" s="741">
        <f>IF(Select2=1,Garden!$K54,"")</f>
        <v>0</v>
      </c>
      <c r="G52" s="732">
        <f>IF(Select2=1,Wood!$K54,"")</f>
        <v>0</v>
      </c>
      <c r="H52" s="741">
        <f>IF(Select2=1,Textiles!$K54,"")</f>
        <v>5.9600376189827317E-2</v>
      </c>
      <c r="I52" s="742">
        <f>Sludge!K54</f>
        <v>0</v>
      </c>
      <c r="J52" s="742" t="str">
        <f>IF(Select2=2,MSW!$K54,"")</f>
        <v/>
      </c>
      <c r="K52" s="742">
        <f>Industry!$K54</f>
        <v>0</v>
      </c>
      <c r="L52" s="743">
        <f t="shared" si="3"/>
        <v>0.94649644952339795</v>
      </c>
      <c r="M52" s="744">
        <f>Recovery_OX!C47</f>
        <v>0</v>
      </c>
      <c r="N52" s="699"/>
      <c r="O52" s="745">
        <f>(L52-M52)*(1-Recovery_OX!F47)</f>
        <v>0.94649644952339795</v>
      </c>
      <c r="P52" s="691"/>
      <c r="Q52" s="701"/>
      <c r="S52" s="739">
        <f t="shared" si="2"/>
        <v>2035</v>
      </c>
      <c r="T52" s="740">
        <f>IF(Select2=1,Food!$W54,"")</f>
        <v>0.23384361922639588</v>
      </c>
      <c r="U52" s="741">
        <f>IF(Select2=1,Paper!$W54,"")</f>
        <v>0.52010475416795032</v>
      </c>
      <c r="V52" s="732">
        <f>IF(Select2=1,Nappies!$W54,"")</f>
        <v>0</v>
      </c>
      <c r="W52" s="741">
        <f>IF(Select2=1,Garden!$W54,"")</f>
        <v>0</v>
      </c>
      <c r="X52" s="732">
        <f>IF(Select2=1,Wood!$W54,"")</f>
        <v>0.34792361996989341</v>
      </c>
      <c r="Y52" s="741">
        <f>IF(Select2=1,Textiles!$W54,"")</f>
        <v>6.5315480755975153E-2</v>
      </c>
      <c r="Z52" s="734">
        <f>Sludge!W54</f>
        <v>0</v>
      </c>
      <c r="AA52" s="734" t="str">
        <f>IF(Select2=2,MSW!$W54,"")</f>
        <v/>
      </c>
      <c r="AB52" s="742">
        <f>Industry!$W54</f>
        <v>0</v>
      </c>
      <c r="AC52" s="743">
        <f t="shared" si="4"/>
        <v>1.1671874741202148</v>
      </c>
      <c r="AD52" s="744">
        <f>Recovery_OX!R47</f>
        <v>0</v>
      </c>
      <c r="AE52" s="699"/>
      <c r="AF52" s="746">
        <f>(AC52-AD52)*(1-Recovery_OX!U47)</f>
        <v>1.1671874741202148</v>
      </c>
    </row>
    <row r="53" spans="2:32">
      <c r="B53" s="739">
        <f t="shared" si="1"/>
        <v>2036</v>
      </c>
      <c r="C53" s="740">
        <f>IF(Select2=1,Food!$K55,"")</f>
        <v>0.23428909805757406</v>
      </c>
      <c r="D53" s="741">
        <f>IF(Select2=1,Paper!$K55,"")</f>
        <v>0.23471214990911132</v>
      </c>
      <c r="E53" s="732">
        <f>IF(Select2=1,Nappies!$K55,"")</f>
        <v>0.24099041620195927</v>
      </c>
      <c r="F53" s="741">
        <f>IF(Select2=1,Garden!$K55,"")</f>
        <v>0</v>
      </c>
      <c r="G53" s="732">
        <f>IF(Select2=1,Wood!$K55,"")</f>
        <v>0</v>
      </c>
      <c r="H53" s="741">
        <f>IF(Select2=1,Textiles!$K55,"")</f>
        <v>5.5571022423464608E-2</v>
      </c>
      <c r="I53" s="742">
        <f>Sludge!K55</f>
        <v>0</v>
      </c>
      <c r="J53" s="742" t="str">
        <f>IF(Select2=2,MSW!$K55,"")</f>
        <v/>
      </c>
      <c r="K53" s="742">
        <f>Industry!$K55</f>
        <v>0</v>
      </c>
      <c r="L53" s="743">
        <f t="shared" si="3"/>
        <v>0.76556268659210924</v>
      </c>
      <c r="M53" s="744">
        <f>Recovery_OX!C48</f>
        <v>0</v>
      </c>
      <c r="N53" s="699"/>
      <c r="O53" s="745">
        <f>(L53-M53)*(1-Recovery_OX!F48)</f>
        <v>0.76556268659210924</v>
      </c>
      <c r="P53" s="691"/>
      <c r="Q53" s="701"/>
      <c r="S53" s="739">
        <f t="shared" si="2"/>
        <v>2036</v>
      </c>
      <c r="T53" s="740">
        <f>IF(Select2=1,Food!$W55,"")</f>
        <v>0.1567500656049782</v>
      </c>
      <c r="U53" s="741">
        <f>IF(Select2=1,Paper!$W55,"")</f>
        <v>0.48494245848989936</v>
      </c>
      <c r="V53" s="732">
        <f>IF(Select2=1,Nappies!$W55,"")</f>
        <v>0</v>
      </c>
      <c r="W53" s="741">
        <f>IF(Select2=1,Garden!$W55,"")</f>
        <v>0</v>
      </c>
      <c r="X53" s="732">
        <f>IF(Select2=1,Wood!$W55,"")</f>
        <v>0.33595693188686826</v>
      </c>
      <c r="Y53" s="741">
        <f>IF(Select2=1,Textiles!$W55,"")</f>
        <v>6.089975060105713E-2</v>
      </c>
      <c r="Z53" s="734">
        <f>Sludge!W55</f>
        <v>0</v>
      </c>
      <c r="AA53" s="734" t="str">
        <f>IF(Select2=2,MSW!$W55,"")</f>
        <v/>
      </c>
      <c r="AB53" s="742">
        <f>Industry!$W55</f>
        <v>0</v>
      </c>
      <c r="AC53" s="743">
        <f t="shared" si="4"/>
        <v>1.038549206582803</v>
      </c>
      <c r="AD53" s="744">
        <f>Recovery_OX!R48</f>
        <v>0</v>
      </c>
      <c r="AE53" s="699"/>
      <c r="AF53" s="746">
        <f>(AC53-AD53)*(1-Recovery_OX!U48)</f>
        <v>1.038549206582803</v>
      </c>
    </row>
    <row r="54" spans="2:32">
      <c r="B54" s="739">
        <f t="shared" si="1"/>
        <v>2037</v>
      </c>
      <c r="C54" s="740">
        <f>IF(Select2=1,Food!$K56,"")</f>
        <v>0.15704867899560143</v>
      </c>
      <c r="D54" s="741">
        <f>IF(Select2=1,Paper!$K56,"")</f>
        <v>0.21884415803209384</v>
      </c>
      <c r="E54" s="732">
        <f>IF(Select2=1,Nappies!$K56,"")</f>
        <v>0.20331513528651216</v>
      </c>
      <c r="F54" s="741">
        <f>IF(Select2=1,Garden!$K56,"")</f>
        <v>0</v>
      </c>
      <c r="G54" s="732">
        <f>IF(Select2=1,Wood!$K56,"")</f>
        <v>0</v>
      </c>
      <c r="H54" s="741">
        <f>IF(Select2=1,Textiles!$K56,"")</f>
        <v>5.1814077873493278E-2</v>
      </c>
      <c r="I54" s="742">
        <f>Sludge!K56</f>
        <v>0</v>
      </c>
      <c r="J54" s="742" t="str">
        <f>IF(Select2=2,MSW!$K56,"")</f>
        <v/>
      </c>
      <c r="K54" s="742">
        <f>Industry!$K56</f>
        <v>0</v>
      </c>
      <c r="L54" s="743">
        <f t="shared" si="3"/>
        <v>0.63102205018770063</v>
      </c>
      <c r="M54" s="744">
        <f>Recovery_OX!C49</f>
        <v>0</v>
      </c>
      <c r="N54" s="699"/>
      <c r="O54" s="745">
        <f>(L54-M54)*(1-Recovery_OX!F49)</f>
        <v>0.63102205018770063</v>
      </c>
      <c r="P54" s="691"/>
      <c r="Q54" s="701"/>
      <c r="S54" s="739">
        <f t="shared" si="2"/>
        <v>2037</v>
      </c>
      <c r="T54" s="740">
        <f>IF(Select2=1,Food!$W56,"")</f>
        <v>0.10507271119241847</v>
      </c>
      <c r="U54" s="741">
        <f>IF(Select2=1,Paper!$W56,"")</f>
        <v>0.45215735130597901</v>
      </c>
      <c r="V54" s="732">
        <f>IF(Select2=1,Nappies!$W56,"")</f>
        <v>0</v>
      </c>
      <c r="W54" s="741">
        <f>IF(Select2=1,Garden!$W56,"")</f>
        <v>0</v>
      </c>
      <c r="X54" s="732">
        <f>IF(Select2=1,Wood!$W56,"")</f>
        <v>0.32440183305923431</v>
      </c>
      <c r="Y54" s="741">
        <f>IF(Select2=1,Textiles!$W56,"")</f>
        <v>5.6782551094239221E-2</v>
      </c>
      <c r="Z54" s="734">
        <f>Sludge!W56</f>
        <v>0</v>
      </c>
      <c r="AA54" s="734" t="str">
        <f>IF(Select2=2,MSW!$W56,"")</f>
        <v/>
      </c>
      <c r="AB54" s="742">
        <f>Industry!$W56</f>
        <v>0</v>
      </c>
      <c r="AC54" s="743">
        <f t="shared" si="4"/>
        <v>0.93841444665187101</v>
      </c>
      <c r="AD54" s="744">
        <f>Recovery_OX!R49</f>
        <v>0</v>
      </c>
      <c r="AE54" s="699"/>
      <c r="AF54" s="746">
        <f>(AC54-AD54)*(1-Recovery_OX!U49)</f>
        <v>0.93841444665187101</v>
      </c>
    </row>
    <row r="55" spans="2:32">
      <c r="B55" s="739">
        <f t="shared" si="1"/>
        <v>2038</v>
      </c>
      <c r="C55" s="740">
        <f>IF(Select2=1,Food!$K57,"")</f>
        <v>0.10527287773416791</v>
      </c>
      <c r="D55" s="741">
        <f>IF(Select2=1,Paper!$K57,"")</f>
        <v>0.20404894047164501</v>
      </c>
      <c r="E55" s="732">
        <f>IF(Select2=1,Nappies!$K57,"")</f>
        <v>0.1715298263227642</v>
      </c>
      <c r="F55" s="741">
        <f>IF(Select2=1,Garden!$K57,"")</f>
        <v>0</v>
      </c>
      <c r="G55" s="732">
        <f>IF(Select2=1,Wood!$K57,"")</f>
        <v>0</v>
      </c>
      <c r="H55" s="741">
        <f>IF(Select2=1,Textiles!$K57,"")</f>
        <v>4.8311125993370674E-2</v>
      </c>
      <c r="I55" s="742">
        <f>Sludge!K57</f>
        <v>0</v>
      </c>
      <c r="J55" s="742" t="str">
        <f>IF(Select2=2,MSW!$K57,"")</f>
        <v/>
      </c>
      <c r="K55" s="742">
        <f>Industry!$K57</f>
        <v>0</v>
      </c>
      <c r="L55" s="743">
        <f t="shared" si="3"/>
        <v>0.52916277052194782</v>
      </c>
      <c r="M55" s="744">
        <f>Recovery_OX!C50</f>
        <v>0</v>
      </c>
      <c r="N55" s="699"/>
      <c r="O55" s="745">
        <f>(L55-M55)*(1-Recovery_OX!F50)</f>
        <v>0.52916277052194782</v>
      </c>
      <c r="P55" s="691"/>
      <c r="Q55" s="701"/>
      <c r="S55" s="739">
        <f t="shared" si="2"/>
        <v>2038</v>
      </c>
      <c r="T55" s="740">
        <f>IF(Select2=1,Food!$W57,"")</f>
        <v>7.0432344603591379E-2</v>
      </c>
      <c r="U55" s="741">
        <f>IF(Select2=1,Paper!$W57,"")</f>
        <v>0.42158871998273756</v>
      </c>
      <c r="V55" s="732">
        <f>IF(Select2=1,Nappies!$W57,"")</f>
        <v>0</v>
      </c>
      <c r="W55" s="741">
        <f>IF(Select2=1,Garden!$W57,"")</f>
        <v>0</v>
      </c>
      <c r="X55" s="732">
        <f>IF(Select2=1,Wood!$W57,"")</f>
        <v>0.31324416704587954</v>
      </c>
      <c r="Y55" s="741">
        <f>IF(Select2=1,Textiles!$W57,"")</f>
        <v>5.2943699718762394E-2</v>
      </c>
      <c r="Z55" s="734">
        <f>Sludge!W57</f>
        <v>0</v>
      </c>
      <c r="AA55" s="734" t="str">
        <f>IF(Select2=2,MSW!$W57,"")</f>
        <v/>
      </c>
      <c r="AB55" s="742">
        <f>Industry!$W57</f>
        <v>0</v>
      </c>
      <c r="AC55" s="743">
        <f t="shared" si="4"/>
        <v>0.85820893135097087</v>
      </c>
      <c r="AD55" s="744">
        <f>Recovery_OX!R50</f>
        <v>0</v>
      </c>
      <c r="AE55" s="699"/>
      <c r="AF55" s="746">
        <f>(AC55-AD55)*(1-Recovery_OX!U50)</f>
        <v>0.85820893135097087</v>
      </c>
    </row>
    <row r="56" spans="2:32">
      <c r="B56" s="739">
        <f t="shared" si="1"/>
        <v>2039</v>
      </c>
      <c r="C56" s="740">
        <f>IF(Select2=1,Food!$K58,"")</f>
        <v>7.0566520249071674E-2</v>
      </c>
      <c r="D56" s="741">
        <f>IF(Select2=1,Paper!$K58,"")</f>
        <v>0.19025397105411856</v>
      </c>
      <c r="E56" s="732">
        <f>IF(Select2=1,Nappies!$K58,"")</f>
        <v>0.14471367946540442</v>
      </c>
      <c r="F56" s="741">
        <f>IF(Select2=1,Garden!$K58,"")</f>
        <v>0</v>
      </c>
      <c r="G56" s="732">
        <f>IF(Select2=1,Wood!$K58,"")</f>
        <v>0</v>
      </c>
      <c r="H56" s="741">
        <f>IF(Select2=1,Textiles!$K58,"")</f>
        <v>4.5044995308916431E-2</v>
      </c>
      <c r="I56" s="742">
        <f>Sludge!K58</f>
        <v>0</v>
      </c>
      <c r="J56" s="742" t="str">
        <f>IF(Select2=2,MSW!$K58,"")</f>
        <v/>
      </c>
      <c r="K56" s="742">
        <f>Industry!$K58</f>
        <v>0</v>
      </c>
      <c r="L56" s="743">
        <f t="shared" si="3"/>
        <v>0.45057916607751108</v>
      </c>
      <c r="M56" s="744">
        <f>Recovery_OX!C51</f>
        <v>0</v>
      </c>
      <c r="N56" s="699"/>
      <c r="O56" s="745">
        <f>(L56-M56)*(1-Recovery_OX!F51)</f>
        <v>0.45057916607751108</v>
      </c>
      <c r="P56" s="691"/>
      <c r="Q56" s="701"/>
      <c r="S56" s="739">
        <f t="shared" si="2"/>
        <v>2039</v>
      </c>
      <c r="T56" s="740">
        <f>IF(Select2=1,Food!$W58,"")</f>
        <v>4.7212212477077388E-2</v>
      </c>
      <c r="U56" s="741">
        <f>IF(Select2=1,Paper!$W58,"")</f>
        <v>0.39308671705396386</v>
      </c>
      <c r="V56" s="732">
        <f>IF(Select2=1,Nappies!$W58,"")</f>
        <v>0</v>
      </c>
      <c r="W56" s="741">
        <f>IF(Select2=1,Garden!$W58,"")</f>
        <v>0</v>
      </c>
      <c r="X56" s="732">
        <f>IF(Select2=1,Wood!$W58,"")</f>
        <v>0.30247026431059121</v>
      </c>
      <c r="Y56" s="741">
        <f>IF(Select2=1,Textiles!$W58,"")</f>
        <v>4.936437842073034E-2</v>
      </c>
      <c r="Z56" s="734">
        <f>Sludge!W58</f>
        <v>0</v>
      </c>
      <c r="AA56" s="734" t="str">
        <f>IF(Select2=2,MSW!$W58,"")</f>
        <v/>
      </c>
      <c r="AB56" s="742">
        <f>Industry!$W58</f>
        <v>0</v>
      </c>
      <c r="AC56" s="743">
        <f t="shared" si="4"/>
        <v>0.79213357226236292</v>
      </c>
      <c r="AD56" s="744">
        <f>Recovery_OX!R51</f>
        <v>0</v>
      </c>
      <c r="AE56" s="699"/>
      <c r="AF56" s="746">
        <f>(AC56-AD56)*(1-Recovery_OX!U51)</f>
        <v>0.79213357226236292</v>
      </c>
    </row>
    <row r="57" spans="2:32">
      <c r="B57" s="739">
        <f t="shared" si="1"/>
        <v>2040</v>
      </c>
      <c r="C57" s="740">
        <f>IF(Select2=1,Food!$K59,"")</f>
        <v>4.7302153101932594E-2</v>
      </c>
      <c r="D57" s="741">
        <f>IF(Select2=1,Paper!$K59,"")</f>
        <v>0.1773916268234253</v>
      </c>
      <c r="E57" s="732">
        <f>IF(Select2=1,Nappies!$K59,"")</f>
        <v>0.12208983984516827</v>
      </c>
      <c r="F57" s="741">
        <f>IF(Select2=1,Garden!$K59,"")</f>
        <v>0</v>
      </c>
      <c r="G57" s="732">
        <f>IF(Select2=1,Wood!$K59,"")</f>
        <v>0</v>
      </c>
      <c r="H57" s="741">
        <f>IF(Select2=1,Textiles!$K59,"")</f>
        <v>4.1999675243726116E-2</v>
      </c>
      <c r="I57" s="742">
        <f>Sludge!K59</f>
        <v>0</v>
      </c>
      <c r="J57" s="742" t="str">
        <f>IF(Select2=2,MSW!$K59,"")</f>
        <v/>
      </c>
      <c r="K57" s="742">
        <f>Industry!$K59</f>
        <v>0</v>
      </c>
      <c r="L57" s="743">
        <f t="shared" si="3"/>
        <v>0.38878329501425229</v>
      </c>
      <c r="M57" s="744">
        <f>Recovery_OX!C52</f>
        <v>0</v>
      </c>
      <c r="N57" s="699"/>
      <c r="O57" s="745">
        <f>(L57-M57)*(1-Recovery_OX!F52)</f>
        <v>0.38878329501425229</v>
      </c>
      <c r="P57" s="691"/>
      <c r="Q57" s="701"/>
      <c r="S57" s="739">
        <f t="shared" si="2"/>
        <v>2040</v>
      </c>
      <c r="T57" s="740">
        <f>IF(Select2=1,Food!$W59,"")</f>
        <v>3.1647292441078903E-2</v>
      </c>
      <c r="U57" s="741">
        <f>IF(Select2=1,Paper!$W59,"")</f>
        <v>0.36651162566823403</v>
      </c>
      <c r="V57" s="732">
        <f>IF(Select2=1,Nappies!$W59,"")</f>
        <v>0</v>
      </c>
      <c r="W57" s="741">
        <f>IF(Select2=1,Garden!$W59,"")</f>
        <v>0</v>
      </c>
      <c r="X57" s="732">
        <f>IF(Select2=1,Wood!$W59,"")</f>
        <v>0.29206692547516455</v>
      </c>
      <c r="Y57" s="741">
        <f>IF(Select2=1,Textiles!$W59,"")</f>
        <v>4.6027041362987527E-2</v>
      </c>
      <c r="Z57" s="734">
        <f>Sludge!W59</f>
        <v>0</v>
      </c>
      <c r="AA57" s="734" t="str">
        <f>IF(Select2=2,MSW!$W59,"")</f>
        <v/>
      </c>
      <c r="AB57" s="742">
        <f>Industry!$W59</f>
        <v>0</v>
      </c>
      <c r="AC57" s="743">
        <f t="shared" si="4"/>
        <v>0.73625288494746499</v>
      </c>
      <c r="AD57" s="744">
        <f>Recovery_OX!R52</f>
        <v>0</v>
      </c>
      <c r="AE57" s="699"/>
      <c r="AF57" s="746">
        <f>(AC57-AD57)*(1-Recovery_OX!U52)</f>
        <v>0.73625288494746499</v>
      </c>
    </row>
    <row r="58" spans="2:32">
      <c r="B58" s="739">
        <f t="shared" si="1"/>
        <v>2041</v>
      </c>
      <c r="C58" s="740">
        <f>IF(Select2=1,Food!$K60,"")</f>
        <v>3.1707581444872318E-2</v>
      </c>
      <c r="D58" s="741">
        <f>IF(Select2=1,Paper!$K60,"")</f>
        <v>0.16539885655322401</v>
      </c>
      <c r="E58" s="732">
        <f>IF(Select2=1,Nappies!$K60,"")</f>
        <v>0.10300290234125577</v>
      </c>
      <c r="F58" s="741">
        <f>IF(Select2=1,Garden!$K60,"")</f>
        <v>0</v>
      </c>
      <c r="G58" s="732">
        <f>IF(Select2=1,Wood!$K60,"")</f>
        <v>0</v>
      </c>
      <c r="H58" s="741">
        <f>IF(Select2=1,Textiles!$K60,"")</f>
        <v>3.9160237635307085E-2</v>
      </c>
      <c r="I58" s="742">
        <f>Sludge!K60</f>
        <v>0</v>
      </c>
      <c r="J58" s="742" t="str">
        <f>IF(Select2=2,MSW!$K60,"")</f>
        <v/>
      </c>
      <c r="K58" s="742">
        <f>Industry!$K60</f>
        <v>0</v>
      </c>
      <c r="L58" s="743">
        <f t="shared" si="3"/>
        <v>0.33926957797465918</v>
      </c>
      <c r="M58" s="744">
        <f>Recovery_OX!C53</f>
        <v>0</v>
      </c>
      <c r="N58" s="699"/>
      <c r="O58" s="745">
        <f>(L58-M58)*(1-Recovery_OX!F53)</f>
        <v>0.33926957797465918</v>
      </c>
      <c r="P58" s="691"/>
      <c r="Q58" s="701"/>
      <c r="S58" s="739">
        <f t="shared" si="2"/>
        <v>2041</v>
      </c>
      <c r="T58" s="740">
        <f>IF(Select2=1,Food!$W60,"")</f>
        <v>2.121381452600735E-2</v>
      </c>
      <c r="U58" s="741">
        <f>IF(Select2=1,Paper!$W60,"")</f>
        <v>0.3417331746967438</v>
      </c>
      <c r="V58" s="732">
        <f>IF(Select2=1,Nappies!$W60,"")</f>
        <v>0</v>
      </c>
      <c r="W58" s="741">
        <f>IF(Select2=1,Garden!$W60,"")</f>
        <v>0</v>
      </c>
      <c r="X58" s="732">
        <f>IF(Select2=1,Wood!$W60,"")</f>
        <v>0.28202140514851393</v>
      </c>
      <c r="Y58" s="741">
        <f>IF(Select2=1,Textiles!$W60,"")</f>
        <v>4.2915328915405018E-2</v>
      </c>
      <c r="Z58" s="734">
        <f>Sludge!W60</f>
        <v>0</v>
      </c>
      <c r="AA58" s="734" t="str">
        <f>IF(Select2=2,MSW!$W60,"")</f>
        <v/>
      </c>
      <c r="AB58" s="742">
        <f>Industry!$W60</f>
        <v>0</v>
      </c>
      <c r="AC58" s="743">
        <f t="shared" si="4"/>
        <v>0.68788372328667013</v>
      </c>
      <c r="AD58" s="744">
        <f>Recovery_OX!R53</f>
        <v>0</v>
      </c>
      <c r="AE58" s="699"/>
      <c r="AF58" s="746">
        <f>(AC58-AD58)*(1-Recovery_OX!U53)</f>
        <v>0.68788372328667013</v>
      </c>
    </row>
    <row r="59" spans="2:32">
      <c r="B59" s="739">
        <f t="shared" si="1"/>
        <v>2042</v>
      </c>
      <c r="C59" s="740">
        <f>IF(Select2=1,Food!$K61,"")</f>
        <v>2.1254227453805594E-2</v>
      </c>
      <c r="D59" s="741">
        <f>IF(Select2=1,Paper!$K61,"")</f>
        <v>0.15421687166973652</v>
      </c>
      <c r="E59" s="732">
        <f>IF(Select2=1,Nappies!$K61,"")</f>
        <v>8.6899924712630763E-2</v>
      </c>
      <c r="F59" s="741">
        <f>IF(Select2=1,Garden!$K61,"")</f>
        <v>0</v>
      </c>
      <c r="G59" s="732">
        <f>IF(Select2=1,Wood!$K61,"")</f>
        <v>0</v>
      </c>
      <c r="H59" s="741">
        <f>IF(Select2=1,Textiles!$K61,"")</f>
        <v>3.6512763557208651E-2</v>
      </c>
      <c r="I59" s="742">
        <f>Sludge!K61</f>
        <v>0</v>
      </c>
      <c r="J59" s="742" t="str">
        <f>IF(Select2=2,MSW!$K61,"")</f>
        <v/>
      </c>
      <c r="K59" s="742">
        <f>Industry!$K61</f>
        <v>0</v>
      </c>
      <c r="L59" s="743">
        <f t="shared" si="3"/>
        <v>0.29888378739338156</v>
      </c>
      <c r="M59" s="744">
        <f>Recovery_OX!C54</f>
        <v>0</v>
      </c>
      <c r="N59" s="699"/>
      <c r="O59" s="745">
        <f>(L59-M59)*(1-Recovery_OX!F54)</f>
        <v>0.29888378739338156</v>
      </c>
      <c r="P59" s="691"/>
      <c r="Q59" s="701"/>
      <c r="S59" s="739">
        <f t="shared" si="2"/>
        <v>2042</v>
      </c>
      <c r="T59" s="740">
        <f>IF(Select2=1,Food!$W61,"")</f>
        <v>1.422004512966476E-2</v>
      </c>
      <c r="U59" s="741">
        <f>IF(Select2=1,Paper!$W61,"")</f>
        <v>0.31862990014408366</v>
      </c>
      <c r="V59" s="732">
        <f>IF(Select2=1,Nappies!$W61,"")</f>
        <v>0</v>
      </c>
      <c r="W59" s="741">
        <f>IF(Select2=1,Garden!$W61,"")</f>
        <v>0</v>
      </c>
      <c r="X59" s="732">
        <f>IF(Select2=1,Wood!$W61,"")</f>
        <v>0.27232139631197461</v>
      </c>
      <c r="Y59" s="741">
        <f>IF(Select2=1,Textiles!$W61,"")</f>
        <v>4.0013987459954686E-2</v>
      </c>
      <c r="Z59" s="734">
        <f>Sludge!W61</f>
        <v>0</v>
      </c>
      <c r="AA59" s="734" t="str">
        <f>IF(Select2=2,MSW!$W61,"")</f>
        <v/>
      </c>
      <c r="AB59" s="742">
        <f>Industry!$W61</f>
        <v>0</v>
      </c>
      <c r="AC59" s="743">
        <f t="shared" si="4"/>
        <v>0.6451853290456776</v>
      </c>
      <c r="AD59" s="744">
        <f>Recovery_OX!R54</f>
        <v>0</v>
      </c>
      <c r="AE59" s="699"/>
      <c r="AF59" s="746">
        <f>(AC59-AD59)*(1-Recovery_OX!U54)</f>
        <v>0.6451853290456776</v>
      </c>
    </row>
    <row r="60" spans="2:32">
      <c r="B60" s="739">
        <f t="shared" si="1"/>
        <v>2043</v>
      </c>
      <c r="C60" s="740">
        <f>IF(Select2=1,Food!$K62,"")</f>
        <v>1.4247134725286915E-2</v>
      </c>
      <c r="D60" s="741">
        <f>IF(Select2=1,Paper!$K62,"")</f>
        <v>0.14379085807009104</v>
      </c>
      <c r="E60" s="732">
        <f>IF(Select2=1,Nappies!$K62,"")</f>
        <v>7.3314409044921189E-2</v>
      </c>
      <c r="F60" s="741">
        <f>IF(Select2=1,Garden!$K62,"")</f>
        <v>0</v>
      </c>
      <c r="G60" s="732">
        <f>IF(Select2=1,Wood!$K62,"")</f>
        <v>0</v>
      </c>
      <c r="H60" s="741">
        <f>IF(Select2=1,Textiles!$K62,"")</f>
        <v>3.4044275088428472E-2</v>
      </c>
      <c r="I60" s="742">
        <f>Sludge!K62</f>
        <v>0</v>
      </c>
      <c r="J60" s="742" t="str">
        <f>IF(Select2=2,MSW!$K62,"")</f>
        <v/>
      </c>
      <c r="K60" s="742">
        <f>Industry!$K62</f>
        <v>0</v>
      </c>
      <c r="L60" s="743">
        <f t="shared" si="3"/>
        <v>0.26539667692872759</v>
      </c>
      <c r="M60" s="744">
        <f>Recovery_OX!C55</f>
        <v>0</v>
      </c>
      <c r="N60" s="699"/>
      <c r="O60" s="745">
        <f>(L60-M60)*(1-Recovery_OX!F55)</f>
        <v>0.26539667692872759</v>
      </c>
      <c r="P60" s="691"/>
      <c r="Q60" s="701"/>
      <c r="S60" s="739">
        <f t="shared" si="2"/>
        <v>2043</v>
      </c>
      <c r="T60" s="740">
        <f>IF(Select2=1,Food!$W62,"")</f>
        <v>9.5319813059457498E-3</v>
      </c>
      <c r="U60" s="741">
        <f>IF(Select2=1,Paper!$W62,"")</f>
        <v>0.29708854973159299</v>
      </c>
      <c r="V60" s="732">
        <f>IF(Select2=1,Nappies!$W62,"")</f>
        <v>0</v>
      </c>
      <c r="W60" s="741">
        <f>IF(Select2=1,Garden!$W62,"")</f>
        <v>0</v>
      </c>
      <c r="X60" s="732">
        <f>IF(Select2=1,Wood!$W62,"")</f>
        <v>0.26295501524166598</v>
      </c>
      <c r="Y60" s="741">
        <f>IF(Select2=1,Textiles!$W62,"")</f>
        <v>3.7308794617455857E-2</v>
      </c>
      <c r="Z60" s="734">
        <f>Sludge!W62</f>
        <v>0</v>
      </c>
      <c r="AA60" s="734" t="str">
        <f>IF(Select2=2,MSW!$W62,"")</f>
        <v/>
      </c>
      <c r="AB60" s="742">
        <f>Industry!$W62</f>
        <v>0</v>
      </c>
      <c r="AC60" s="743">
        <f t="shared" si="4"/>
        <v>0.60688434089666055</v>
      </c>
      <c r="AD60" s="744">
        <f>Recovery_OX!R55</f>
        <v>0</v>
      </c>
      <c r="AE60" s="699"/>
      <c r="AF60" s="746">
        <f>(AC60-AD60)*(1-Recovery_OX!U55)</f>
        <v>0.60688434089666055</v>
      </c>
    </row>
    <row r="61" spans="2:32">
      <c r="B61" s="739">
        <f t="shared" si="1"/>
        <v>2044</v>
      </c>
      <c r="C61" s="740">
        <f>IF(Select2=1,Food!$K63,"")</f>
        <v>9.5501400049302805E-3</v>
      </c>
      <c r="D61" s="741">
        <f>IF(Select2=1,Paper!$K63,"")</f>
        <v>0.13406970742352625</v>
      </c>
      <c r="E61" s="732">
        <f>IF(Select2=1,Nappies!$K63,"")</f>
        <v>6.185278746075569E-2</v>
      </c>
      <c r="F61" s="741">
        <f>IF(Select2=1,Garden!$K63,"")</f>
        <v>0</v>
      </c>
      <c r="G61" s="732">
        <f>IF(Select2=1,Wood!$K63,"")</f>
        <v>0</v>
      </c>
      <c r="H61" s="741">
        <f>IF(Select2=1,Textiles!$K63,"")</f>
        <v>3.1742671695628735E-2</v>
      </c>
      <c r="I61" s="742">
        <f>Sludge!K63</f>
        <v>0</v>
      </c>
      <c r="J61" s="742" t="str">
        <f>IF(Select2=2,MSW!$K63,"")</f>
        <v/>
      </c>
      <c r="K61" s="742">
        <f>Industry!$K63</f>
        <v>0</v>
      </c>
      <c r="L61" s="743">
        <f t="shared" si="3"/>
        <v>0.23721530658484097</v>
      </c>
      <c r="M61" s="744">
        <f>Recovery_OX!C56</f>
        <v>0</v>
      </c>
      <c r="N61" s="699"/>
      <c r="O61" s="745">
        <f>(L61-M61)*(1-Recovery_OX!F56)</f>
        <v>0.23721530658484097</v>
      </c>
      <c r="P61" s="691"/>
      <c r="Q61" s="701"/>
      <c r="S61" s="739">
        <f t="shared" si="2"/>
        <v>2044</v>
      </c>
      <c r="T61" s="740">
        <f>IF(Select2=1,Food!$W63,"")</f>
        <v>6.3894781478124095E-3</v>
      </c>
      <c r="U61" s="741">
        <f>IF(Select2=1,Paper!$W63,"")</f>
        <v>0.27700352773455827</v>
      </c>
      <c r="V61" s="732">
        <f>IF(Select2=1,Nappies!$W63,"")</f>
        <v>0</v>
      </c>
      <c r="W61" s="741">
        <f>IF(Select2=1,Garden!$W63,"")</f>
        <v>0</v>
      </c>
      <c r="X61" s="732">
        <f>IF(Select2=1,Wood!$W63,"")</f>
        <v>0.25391078694944358</v>
      </c>
      <c r="Y61" s="741">
        <f>IF(Select2=1,Textiles!$W63,"")</f>
        <v>3.4786489529456149E-2</v>
      </c>
      <c r="Z61" s="734">
        <f>Sludge!W63</f>
        <v>0</v>
      </c>
      <c r="AA61" s="734" t="str">
        <f>IF(Select2=2,MSW!$W63,"")</f>
        <v/>
      </c>
      <c r="AB61" s="742">
        <f>Industry!$W63</f>
        <v>0</v>
      </c>
      <c r="AC61" s="743">
        <f t="shared" si="4"/>
        <v>0.57209028236127046</v>
      </c>
      <c r="AD61" s="744">
        <f>Recovery_OX!R56</f>
        <v>0</v>
      </c>
      <c r="AE61" s="699"/>
      <c r="AF61" s="746">
        <f>(AC61-AD61)*(1-Recovery_OX!U56)</f>
        <v>0.57209028236127046</v>
      </c>
    </row>
    <row r="62" spans="2:32">
      <c r="B62" s="739">
        <f t="shared" si="1"/>
        <v>2045</v>
      </c>
      <c r="C62" s="740">
        <f>IF(Select2=1,Food!$K64,"")</f>
        <v>6.4016502877516663E-3</v>
      </c>
      <c r="D62" s="741">
        <f>IF(Select2=1,Paper!$K64,"")</f>
        <v>0.12500576663829449</v>
      </c>
      <c r="E62" s="732">
        <f>IF(Select2=1,Nappies!$K64,"")</f>
        <v>5.2183020589053553E-2</v>
      </c>
      <c r="F62" s="741">
        <f>IF(Select2=1,Garden!$K64,"")</f>
        <v>0</v>
      </c>
      <c r="G62" s="732">
        <f>IF(Select2=1,Wood!$K64,"")</f>
        <v>0</v>
      </c>
      <c r="H62" s="741">
        <f>IF(Select2=1,Textiles!$K64,"")</f>
        <v>2.9596670916307705E-2</v>
      </c>
      <c r="I62" s="742">
        <f>Sludge!K64</f>
        <v>0</v>
      </c>
      <c r="J62" s="742" t="str">
        <f>IF(Select2=2,MSW!$K64,"")</f>
        <v/>
      </c>
      <c r="K62" s="742">
        <f>Industry!$K64</f>
        <v>0</v>
      </c>
      <c r="L62" s="743">
        <f t="shared" si="3"/>
        <v>0.21318710843140742</v>
      </c>
      <c r="M62" s="744">
        <f>Recovery_OX!C57</f>
        <v>0</v>
      </c>
      <c r="N62" s="699"/>
      <c r="O62" s="745">
        <f>(L62-M62)*(1-Recovery_OX!F57)</f>
        <v>0.21318710843140742</v>
      </c>
      <c r="P62" s="691"/>
      <c r="Q62" s="701"/>
      <c r="S62" s="739">
        <f t="shared" si="2"/>
        <v>2045</v>
      </c>
      <c r="T62" s="740">
        <f>IF(Select2=1,Food!$W64,"")</f>
        <v>4.2829952861853249E-3</v>
      </c>
      <c r="U62" s="741">
        <f>IF(Select2=1,Paper!$W64,"")</f>
        <v>0.25827637735184811</v>
      </c>
      <c r="V62" s="732">
        <f>IF(Select2=1,Nappies!$W64,"")</f>
        <v>0</v>
      </c>
      <c r="W62" s="741">
        <f>IF(Select2=1,Garden!$W64,"")</f>
        <v>0</v>
      </c>
      <c r="X62" s="732">
        <f>IF(Select2=1,Wood!$W64,"")</f>
        <v>0.24517763112460378</v>
      </c>
      <c r="Y62" s="741">
        <f>IF(Select2=1,Textiles!$W64,"")</f>
        <v>3.2434707853487899E-2</v>
      </c>
      <c r="Z62" s="734">
        <f>Sludge!W64</f>
        <v>0</v>
      </c>
      <c r="AA62" s="734" t="str">
        <f>IF(Select2=2,MSW!$W64,"")</f>
        <v/>
      </c>
      <c r="AB62" s="742">
        <f>Industry!$W64</f>
        <v>0</v>
      </c>
      <c r="AC62" s="743">
        <f t="shared" si="4"/>
        <v>0.54017171161612509</v>
      </c>
      <c r="AD62" s="744">
        <f>Recovery_OX!R57</f>
        <v>0</v>
      </c>
      <c r="AE62" s="699"/>
      <c r="AF62" s="746">
        <f>(AC62-AD62)*(1-Recovery_OX!U57)</f>
        <v>0.54017171161612509</v>
      </c>
    </row>
    <row r="63" spans="2:32">
      <c r="B63" s="739">
        <f t="shared" si="1"/>
        <v>2046</v>
      </c>
      <c r="C63" s="740">
        <f>IF(Select2=1,Food!$K65,"")</f>
        <v>4.2911545155897603E-3</v>
      </c>
      <c r="D63" s="741">
        <f>IF(Select2=1,Paper!$K65,"")</f>
        <v>0.11655460426615097</v>
      </c>
      <c r="E63" s="732">
        <f>IF(Select2=1,Nappies!$K65,"")</f>
        <v>4.4024978494709183E-2</v>
      </c>
      <c r="F63" s="741">
        <f>IF(Select2=1,Garden!$K65,"")</f>
        <v>0</v>
      </c>
      <c r="G63" s="732">
        <f>IF(Select2=1,Wood!$K65,"")</f>
        <v>0</v>
      </c>
      <c r="H63" s="741">
        <f>IF(Select2=1,Textiles!$K65,"")</f>
        <v>2.7595753052155423E-2</v>
      </c>
      <c r="I63" s="742">
        <f>Sludge!K65</f>
        <v>0</v>
      </c>
      <c r="J63" s="742" t="str">
        <f>IF(Select2=2,MSW!$K65,"")</f>
        <v/>
      </c>
      <c r="K63" s="742">
        <f>Industry!$K65</f>
        <v>0</v>
      </c>
      <c r="L63" s="743">
        <f t="shared" si="3"/>
        <v>0.19246649032860533</v>
      </c>
      <c r="M63" s="744">
        <f>Recovery_OX!C58</f>
        <v>0</v>
      </c>
      <c r="N63" s="699"/>
      <c r="O63" s="745">
        <f>(L63-M63)*(1-Recovery_OX!F58)</f>
        <v>0.19246649032860533</v>
      </c>
      <c r="P63" s="691"/>
      <c r="Q63" s="701"/>
      <c r="S63" s="739">
        <f t="shared" si="2"/>
        <v>2046</v>
      </c>
      <c r="T63" s="740">
        <f>IF(Select2=1,Food!$W65,"")</f>
        <v>2.8709775974061738E-3</v>
      </c>
      <c r="U63" s="741">
        <f>IF(Select2=1,Paper!$W65,"")</f>
        <v>0.24081529807055982</v>
      </c>
      <c r="V63" s="732">
        <f>IF(Select2=1,Nappies!$W65,"")</f>
        <v>0</v>
      </c>
      <c r="W63" s="741">
        <f>IF(Select2=1,Garden!$W65,"")</f>
        <v>0</v>
      </c>
      <c r="X63" s="732">
        <f>IF(Select2=1,Wood!$W65,"")</f>
        <v>0.23674484855911709</v>
      </c>
      <c r="Y63" s="741">
        <f>IF(Select2=1,Textiles!$W65,"")</f>
        <v>3.0241921153047038E-2</v>
      </c>
      <c r="Z63" s="734">
        <f>Sludge!W65</f>
        <v>0</v>
      </c>
      <c r="AA63" s="734" t="str">
        <f>IF(Select2=2,MSW!$W65,"")</f>
        <v/>
      </c>
      <c r="AB63" s="742">
        <f>Industry!$W65</f>
        <v>0</v>
      </c>
      <c r="AC63" s="743">
        <f t="shared" si="4"/>
        <v>0.51067304538013014</v>
      </c>
      <c r="AD63" s="744">
        <f>Recovery_OX!R58</f>
        <v>0</v>
      </c>
      <c r="AE63" s="699"/>
      <c r="AF63" s="746">
        <f>(AC63-AD63)*(1-Recovery_OX!U58)</f>
        <v>0.51067304538013014</v>
      </c>
    </row>
    <row r="64" spans="2:32">
      <c r="B64" s="739">
        <f t="shared" si="1"/>
        <v>2047</v>
      </c>
      <c r="C64" s="740">
        <f>IF(Select2=1,Food!$K66,"")</f>
        <v>2.8764468924361701E-3</v>
      </c>
      <c r="D64" s="741">
        <f>IF(Select2=1,Paper!$K66,"")</f>
        <v>0.10867479269934263</v>
      </c>
      <c r="E64" s="732">
        <f>IF(Select2=1,Nappies!$K66,"")</f>
        <v>3.7142325407398563E-2</v>
      </c>
      <c r="F64" s="741">
        <f>IF(Select2=1,Garden!$K66,"")</f>
        <v>0</v>
      </c>
      <c r="G64" s="732">
        <f>IF(Select2=1,Wood!$K66,"")</f>
        <v>0</v>
      </c>
      <c r="H64" s="741">
        <f>IF(Select2=1,Textiles!$K66,"")</f>
        <v>2.5730109601480426E-2</v>
      </c>
      <c r="I64" s="742">
        <f>Sludge!K66</f>
        <v>0</v>
      </c>
      <c r="J64" s="742" t="str">
        <f>IF(Select2=2,MSW!$K66,"")</f>
        <v/>
      </c>
      <c r="K64" s="742">
        <f>Industry!$K66</f>
        <v>0</v>
      </c>
      <c r="L64" s="743">
        <f t="shared" si="3"/>
        <v>0.17442367460065777</v>
      </c>
      <c r="M64" s="744">
        <f>Recovery_OX!C59</f>
        <v>0</v>
      </c>
      <c r="N64" s="699"/>
      <c r="O64" s="745">
        <f>(L64-M64)*(1-Recovery_OX!F59)</f>
        <v>0.17442367460065777</v>
      </c>
      <c r="P64" s="691"/>
      <c r="Q64" s="701"/>
      <c r="S64" s="739">
        <f t="shared" si="2"/>
        <v>2047</v>
      </c>
      <c r="T64" s="740">
        <f>IF(Select2=1,Food!$W66,"")</f>
        <v>1.9244738352605956E-3</v>
      </c>
      <c r="U64" s="741">
        <f>IF(Select2=1,Paper!$W66,"")</f>
        <v>0.22453469565979881</v>
      </c>
      <c r="V64" s="732">
        <f>IF(Select2=1,Nappies!$W66,"")</f>
        <v>0</v>
      </c>
      <c r="W64" s="741">
        <f>IF(Select2=1,Garden!$W66,"")</f>
        <v>0</v>
      </c>
      <c r="X64" s="732">
        <f>IF(Select2=1,Wood!$W66,"")</f>
        <v>0.2286021080397608</v>
      </c>
      <c r="Y64" s="741">
        <f>IF(Select2=1,Textiles!$W66,"")</f>
        <v>2.8197380385184025E-2</v>
      </c>
      <c r="Z64" s="734">
        <f>Sludge!W66</f>
        <v>0</v>
      </c>
      <c r="AA64" s="734" t="str">
        <f>IF(Select2=2,MSW!$W66,"")</f>
        <v/>
      </c>
      <c r="AB64" s="742">
        <f>Industry!$W66</f>
        <v>0</v>
      </c>
      <c r="AC64" s="743">
        <f t="shared" si="4"/>
        <v>0.48325865792000422</v>
      </c>
      <c r="AD64" s="744">
        <f>Recovery_OX!R59</f>
        <v>0</v>
      </c>
      <c r="AE64" s="699"/>
      <c r="AF64" s="746">
        <f>(AC64-AD64)*(1-Recovery_OX!U59)</f>
        <v>0.48325865792000422</v>
      </c>
    </row>
    <row r="65" spans="2:32">
      <c r="B65" s="739">
        <f t="shared" si="1"/>
        <v>2048</v>
      </c>
      <c r="C65" s="740">
        <f>IF(Select2=1,Food!$K67,"")</f>
        <v>1.9281400133568851E-3</v>
      </c>
      <c r="D65" s="741">
        <f>IF(Select2=1,Paper!$K67,"")</f>
        <v>0.10132770509242713</v>
      </c>
      <c r="E65" s="732">
        <f>IF(Select2=1,Nappies!$K67,"")</f>
        <v>3.133567315279611E-2</v>
      </c>
      <c r="F65" s="741">
        <f>IF(Select2=1,Garden!$K67,"")</f>
        <v>0</v>
      </c>
      <c r="G65" s="732">
        <f>IF(Select2=1,Wood!$K67,"")</f>
        <v>0</v>
      </c>
      <c r="H65" s="741">
        <f>IF(Select2=1,Textiles!$K67,"")</f>
        <v>2.3990595177923048E-2</v>
      </c>
      <c r="I65" s="742">
        <f>Sludge!K67</f>
        <v>0</v>
      </c>
      <c r="J65" s="742" t="str">
        <f>IF(Select2=2,MSW!$K67,"")</f>
        <v/>
      </c>
      <c r="K65" s="742">
        <f>Industry!$K67</f>
        <v>0</v>
      </c>
      <c r="L65" s="743">
        <f t="shared" si="3"/>
        <v>0.15858211343650316</v>
      </c>
      <c r="M65" s="744">
        <f>Recovery_OX!C60</f>
        <v>0</v>
      </c>
      <c r="N65" s="699"/>
      <c r="O65" s="745">
        <f>(L65-M65)*(1-Recovery_OX!F60)</f>
        <v>0.15858211343650316</v>
      </c>
      <c r="P65" s="691"/>
      <c r="Q65" s="701"/>
      <c r="S65" s="739">
        <f t="shared" si="2"/>
        <v>2048</v>
      </c>
      <c r="T65" s="740">
        <f>IF(Select2=1,Food!$W67,"")</f>
        <v>1.2900133898462657E-3</v>
      </c>
      <c r="U65" s="741">
        <f>IF(Select2=1,Paper!$W67,"")</f>
        <v>0.20935476258765934</v>
      </c>
      <c r="V65" s="732">
        <f>IF(Select2=1,Nappies!$W67,"")</f>
        <v>0</v>
      </c>
      <c r="W65" s="741">
        <f>IF(Select2=1,Garden!$W67,"")</f>
        <v>0</v>
      </c>
      <c r="X65" s="732">
        <f>IF(Select2=1,Wood!$W67,"")</f>
        <v>0.22073943369109039</v>
      </c>
      <c r="Y65" s="741">
        <f>IF(Select2=1,Textiles!$W67,"")</f>
        <v>2.629106320868279E-2</v>
      </c>
      <c r="Z65" s="734">
        <f>Sludge!W67</f>
        <v>0</v>
      </c>
      <c r="AA65" s="734" t="str">
        <f>IF(Select2=2,MSW!$W67,"")</f>
        <v/>
      </c>
      <c r="AB65" s="742">
        <f>Industry!$W67</f>
        <v>0</v>
      </c>
      <c r="AC65" s="743">
        <f t="shared" si="4"/>
        <v>0.45767527287727883</v>
      </c>
      <c r="AD65" s="744">
        <f>Recovery_OX!R60</f>
        <v>0</v>
      </c>
      <c r="AE65" s="699"/>
      <c r="AF65" s="746">
        <f>(AC65-AD65)*(1-Recovery_OX!U60)</f>
        <v>0.45767527287727883</v>
      </c>
    </row>
    <row r="66" spans="2:32">
      <c r="B66" s="739">
        <f t="shared" si="1"/>
        <v>2049</v>
      </c>
      <c r="C66" s="740">
        <f>IF(Select2=1,Food!$K68,"")</f>
        <v>1.2924709025165454E-3</v>
      </c>
      <c r="D66" s="741">
        <f>IF(Select2=1,Paper!$K68,"")</f>
        <v>9.4477326013431534E-2</v>
      </c>
      <c r="E66" s="732">
        <f>IF(Select2=1,Nappies!$K68,"")</f>
        <v>2.6436804943377957E-2</v>
      </c>
      <c r="F66" s="741">
        <f>IF(Select2=1,Garden!$K68,"")</f>
        <v>0</v>
      </c>
      <c r="G66" s="732">
        <f>IF(Select2=1,Wood!$K68,"")</f>
        <v>0</v>
      </c>
      <c r="H66" s="741">
        <f>IF(Select2=1,Textiles!$K68,"")</f>
        <v>2.2368682679760894E-2</v>
      </c>
      <c r="I66" s="742">
        <f>Sludge!K68</f>
        <v>0</v>
      </c>
      <c r="J66" s="742" t="str">
        <f>IF(Select2=2,MSW!$K68,"")</f>
        <v/>
      </c>
      <c r="K66" s="742">
        <f>Industry!$K68</f>
        <v>0</v>
      </c>
      <c r="L66" s="743">
        <f t="shared" si="3"/>
        <v>0.14457528453908694</v>
      </c>
      <c r="M66" s="744">
        <f>Recovery_OX!C61</f>
        <v>0</v>
      </c>
      <c r="N66" s="699"/>
      <c r="O66" s="745">
        <f>(L66-M66)*(1-Recovery_OX!F61)</f>
        <v>0.14457528453908694</v>
      </c>
      <c r="P66" s="691"/>
      <c r="Q66" s="701"/>
      <c r="S66" s="739">
        <f t="shared" si="2"/>
        <v>2049</v>
      </c>
      <c r="T66" s="740">
        <f>IF(Select2=1,Food!$W68,"")</f>
        <v>8.6472183486833998E-4</v>
      </c>
      <c r="U66" s="741">
        <f>IF(Select2=1,Paper!$W68,"")</f>
        <v>0.1952010868046106</v>
      </c>
      <c r="V66" s="732">
        <f>IF(Select2=1,Nappies!$W68,"")</f>
        <v>0</v>
      </c>
      <c r="W66" s="741">
        <f>IF(Select2=1,Garden!$W68,"")</f>
        <v>0</v>
      </c>
      <c r="X66" s="732">
        <f>IF(Select2=1,Wood!$W68,"")</f>
        <v>0.21314719275374483</v>
      </c>
      <c r="Y66" s="741">
        <f>IF(Select2=1,Textiles!$W68,"")</f>
        <v>2.4513624854532488E-2</v>
      </c>
      <c r="Z66" s="734">
        <f>Sludge!W68</f>
        <v>0</v>
      </c>
      <c r="AA66" s="734" t="str">
        <f>IF(Select2=2,MSW!$W68,"")</f>
        <v/>
      </c>
      <c r="AB66" s="742">
        <f>Industry!$W68</f>
        <v>0</v>
      </c>
      <c r="AC66" s="743">
        <f t="shared" si="4"/>
        <v>0.43372662624775626</v>
      </c>
      <c r="AD66" s="744">
        <f>Recovery_OX!R61</f>
        <v>0</v>
      </c>
      <c r="AE66" s="699"/>
      <c r="AF66" s="746">
        <f>(AC66-AD66)*(1-Recovery_OX!U61)</f>
        <v>0.43372662624775626</v>
      </c>
    </row>
    <row r="67" spans="2:32">
      <c r="B67" s="739">
        <f t="shared" si="1"/>
        <v>2050</v>
      </c>
      <c r="C67" s="740">
        <f>IF(Select2=1,Food!$K69,"")</f>
        <v>8.6636915487461506E-4</v>
      </c>
      <c r="D67" s="741">
        <f>IF(Select2=1,Paper!$K69,"")</f>
        <v>8.8090074896163051E-2</v>
      </c>
      <c r="E67" s="732">
        <f>IF(Select2=1,Nappies!$K69,"")</f>
        <v>2.2303802193949333E-2</v>
      </c>
      <c r="F67" s="741">
        <f>IF(Select2=1,Garden!$K69,"")</f>
        <v>0</v>
      </c>
      <c r="G67" s="732">
        <f>IF(Select2=1,Wood!$K69,"")</f>
        <v>0</v>
      </c>
      <c r="H67" s="741">
        <f>IF(Select2=1,Textiles!$K69,"")</f>
        <v>2.0856421490046285E-2</v>
      </c>
      <c r="I67" s="742">
        <f>Sludge!K69</f>
        <v>0</v>
      </c>
      <c r="J67" s="742" t="str">
        <f>IF(Select2=2,MSW!$K69,"")</f>
        <v/>
      </c>
      <c r="K67" s="742">
        <f>Industry!$K69</f>
        <v>0</v>
      </c>
      <c r="L67" s="743">
        <f t="shared" si="3"/>
        <v>0.13211666773503331</v>
      </c>
      <c r="M67" s="744">
        <f>Recovery_OX!C62</f>
        <v>0</v>
      </c>
      <c r="N67" s="699"/>
      <c r="O67" s="745">
        <f>(L67-M67)*(1-Recovery_OX!F62)</f>
        <v>0.13211666773503331</v>
      </c>
      <c r="P67" s="691"/>
      <c r="Q67" s="701"/>
      <c r="S67" s="739">
        <f t="shared" si="2"/>
        <v>2050</v>
      </c>
      <c r="T67" s="740">
        <f>IF(Select2=1,Food!$W69,"")</f>
        <v>5.7964038015696816E-4</v>
      </c>
      <c r="U67" s="741">
        <f>IF(Select2=1,Paper!$W69,"")</f>
        <v>0.18200428697554344</v>
      </c>
      <c r="V67" s="732">
        <f>IF(Select2=1,Nappies!$W69,"")</f>
        <v>0</v>
      </c>
      <c r="W67" s="741">
        <f>IF(Select2=1,Garden!$W69,"")</f>
        <v>0</v>
      </c>
      <c r="X67" s="732">
        <f>IF(Select2=1,Wood!$W69,"")</f>
        <v>0.2058160837831115</v>
      </c>
      <c r="Y67" s="741">
        <f>IF(Select2=1,Textiles!$W69,"")</f>
        <v>2.2856352317858937E-2</v>
      </c>
      <c r="Z67" s="734">
        <f>Sludge!W69</f>
        <v>0</v>
      </c>
      <c r="AA67" s="734" t="str">
        <f>IF(Select2=2,MSW!$W69,"")</f>
        <v/>
      </c>
      <c r="AB67" s="742">
        <f>Industry!$W69</f>
        <v>0</v>
      </c>
      <c r="AC67" s="743">
        <f t="shared" si="4"/>
        <v>0.41125636345667088</v>
      </c>
      <c r="AD67" s="744">
        <f>Recovery_OX!R62</f>
        <v>0</v>
      </c>
      <c r="AE67" s="699"/>
      <c r="AF67" s="746">
        <f>(AC67-AD67)*(1-Recovery_OX!U62)</f>
        <v>0.41125636345667088</v>
      </c>
    </row>
    <row r="68" spans="2:32">
      <c r="B68" s="739">
        <f t="shared" si="1"/>
        <v>2051</v>
      </c>
      <c r="C68" s="740">
        <f>IF(Select2=1,Food!$K70,"")</f>
        <v>5.8074461177940991E-4</v>
      </c>
      <c r="D68" s="741">
        <f>IF(Select2=1,Paper!$K70,"")</f>
        <v>8.2134641428234539E-2</v>
      </c>
      <c r="E68" s="732">
        <f>IF(Select2=1,Nappies!$K70,"")</f>
        <v>1.8816933187360285E-2</v>
      </c>
      <c r="F68" s="741">
        <f>IF(Select2=1,Garden!$K70,"")</f>
        <v>0</v>
      </c>
      <c r="G68" s="732">
        <f>IF(Select2=1,Wood!$K70,"")</f>
        <v>0</v>
      </c>
      <c r="H68" s="741">
        <f>IF(Select2=1,Textiles!$K70,"")</f>
        <v>1.9446398502672765E-2</v>
      </c>
      <c r="I68" s="742">
        <f>Sludge!K70</f>
        <v>0</v>
      </c>
      <c r="J68" s="742" t="str">
        <f>IF(Select2=2,MSW!$K70,"")</f>
        <v/>
      </c>
      <c r="K68" s="742">
        <f>Industry!$K70</f>
        <v>0</v>
      </c>
      <c r="L68" s="743">
        <f t="shared" si="3"/>
        <v>0.12097871773004701</v>
      </c>
      <c r="M68" s="744">
        <f>Recovery_OX!C63</f>
        <v>0</v>
      </c>
      <c r="N68" s="699"/>
      <c r="O68" s="745">
        <f>(L68-M68)*(1-Recovery_OX!F63)</f>
        <v>0.12097871773004701</v>
      </c>
      <c r="P68" s="691"/>
      <c r="Q68" s="701"/>
      <c r="S68" s="739">
        <f t="shared" si="2"/>
        <v>2051</v>
      </c>
      <c r="T68" s="740">
        <f>IF(Select2=1,Food!$W70,"")</f>
        <v>3.885445663109344E-4</v>
      </c>
      <c r="U68" s="741">
        <f>IF(Select2=1,Paper!$W70,"")</f>
        <v>0.1696996723723854</v>
      </c>
      <c r="V68" s="732">
        <f>IF(Select2=1,Nappies!$W70,"")</f>
        <v>0</v>
      </c>
      <c r="W68" s="741">
        <f>IF(Select2=1,Garden!$W70,"")</f>
        <v>0</v>
      </c>
      <c r="X68" s="732">
        <f>IF(Select2=1,Wood!$W70,"")</f>
        <v>0.19873712525389359</v>
      </c>
      <c r="Y68" s="741">
        <f>IF(Select2=1,Textiles!$W70,"")</f>
        <v>2.1311121646764672E-2</v>
      </c>
      <c r="Z68" s="734">
        <f>Sludge!W70</f>
        <v>0</v>
      </c>
      <c r="AA68" s="734" t="str">
        <f>IF(Select2=2,MSW!$W70,"")</f>
        <v/>
      </c>
      <c r="AB68" s="742">
        <f>Industry!$W70</f>
        <v>0</v>
      </c>
      <c r="AC68" s="743">
        <f t="shared" si="4"/>
        <v>0.39013646383935457</v>
      </c>
      <c r="AD68" s="744">
        <f>Recovery_OX!R63</f>
        <v>0</v>
      </c>
      <c r="AE68" s="699"/>
      <c r="AF68" s="746">
        <f>(AC68-AD68)*(1-Recovery_OX!U63)</f>
        <v>0.39013646383935457</v>
      </c>
    </row>
    <row r="69" spans="2:32">
      <c r="B69" s="739">
        <f t="shared" si="1"/>
        <v>2052</v>
      </c>
      <c r="C69" s="740">
        <f>IF(Select2=1,Food!$K71,"")</f>
        <v>3.8928475490292353E-4</v>
      </c>
      <c r="D69" s="741">
        <f>IF(Select2=1,Paper!$K71,"")</f>
        <v>7.6581832067876957E-2</v>
      </c>
      <c r="E69" s="732">
        <f>IF(Select2=1,Nappies!$K71,"")</f>
        <v>1.5875184486420717E-2</v>
      </c>
      <c r="F69" s="741">
        <f>IF(Select2=1,Garden!$K71,"")</f>
        <v>0</v>
      </c>
      <c r="G69" s="732">
        <f>IF(Select2=1,Wood!$K71,"")</f>
        <v>0</v>
      </c>
      <c r="H69" s="741">
        <f>IF(Select2=1,Textiles!$K71,"")</f>
        <v>1.8131701783320374E-2</v>
      </c>
      <c r="I69" s="742">
        <f>Sludge!K71</f>
        <v>0</v>
      </c>
      <c r="J69" s="742" t="str">
        <f>IF(Select2=2,MSW!$K71,"")</f>
        <v/>
      </c>
      <c r="K69" s="742">
        <f>Industry!$K71</f>
        <v>0</v>
      </c>
      <c r="L69" s="743">
        <f t="shared" si="3"/>
        <v>0.11097800309252098</v>
      </c>
      <c r="M69" s="744">
        <f>Recovery_OX!C64</f>
        <v>0</v>
      </c>
      <c r="N69" s="699"/>
      <c r="O69" s="745">
        <f>(L69-M69)*(1-Recovery_OX!F64)</f>
        <v>0.11097800309252098</v>
      </c>
      <c r="P69" s="691"/>
      <c r="Q69" s="701"/>
      <c r="S69" s="739">
        <f t="shared" si="2"/>
        <v>2052</v>
      </c>
      <c r="T69" s="740">
        <f>IF(Select2=1,Food!$W71,"")</f>
        <v>2.6044921157644305E-4</v>
      </c>
      <c r="U69" s="741">
        <f>IF(Select2=1,Paper!$W71,"")</f>
        <v>0.15822692576007633</v>
      </c>
      <c r="V69" s="732">
        <f>IF(Select2=1,Nappies!$W71,"")</f>
        <v>0</v>
      </c>
      <c r="W69" s="741">
        <f>IF(Select2=1,Garden!$W71,"")</f>
        <v>0</v>
      </c>
      <c r="X69" s="732">
        <f>IF(Select2=1,Wood!$W71,"")</f>
        <v>0.19190164455661807</v>
      </c>
      <c r="Y69" s="741">
        <f>IF(Select2=1,Textiles!$W71,"")</f>
        <v>1.9870358118707254E-2</v>
      </c>
      <c r="Z69" s="734">
        <f>Sludge!W71</f>
        <v>0</v>
      </c>
      <c r="AA69" s="734" t="str">
        <f>IF(Select2=2,MSW!$W71,"")</f>
        <v/>
      </c>
      <c r="AB69" s="742">
        <f>Industry!$W71</f>
        <v>0</v>
      </c>
      <c r="AC69" s="743">
        <f t="shared" si="4"/>
        <v>0.37025937764697808</v>
      </c>
      <c r="AD69" s="744">
        <f>Recovery_OX!R64</f>
        <v>0</v>
      </c>
      <c r="AE69" s="699"/>
      <c r="AF69" s="746">
        <f>(AC69-AD69)*(1-Recovery_OX!U64)</f>
        <v>0.37025937764697808</v>
      </c>
    </row>
    <row r="70" spans="2:32">
      <c r="B70" s="739">
        <f t="shared" si="1"/>
        <v>2053</v>
      </c>
      <c r="C70" s="740">
        <f>IF(Select2=1,Food!$K72,"")</f>
        <v>2.6094537482750026E-4</v>
      </c>
      <c r="D70" s="741">
        <f>IF(Select2=1,Paper!$K72,"")</f>
        <v>7.1404426937163645E-2</v>
      </c>
      <c r="E70" s="732">
        <f>IF(Select2=1,Nappies!$K72,"")</f>
        <v>1.3393334608169891E-2</v>
      </c>
      <c r="F70" s="741">
        <f>IF(Select2=1,Garden!$K72,"")</f>
        <v>0</v>
      </c>
      <c r="G70" s="732">
        <f>IF(Select2=1,Wood!$K72,"")</f>
        <v>0</v>
      </c>
      <c r="H70" s="741">
        <f>IF(Select2=1,Textiles!$K72,"")</f>
        <v>1.6905886687145575E-2</v>
      </c>
      <c r="I70" s="742">
        <f>Sludge!K72</f>
        <v>0</v>
      </c>
      <c r="J70" s="742" t="str">
        <f>IF(Select2=2,MSW!$K72,"")</f>
        <v/>
      </c>
      <c r="K70" s="742">
        <f>Industry!$K72</f>
        <v>0</v>
      </c>
      <c r="L70" s="743">
        <f t="shared" si="3"/>
        <v>0.10196459360730661</v>
      </c>
      <c r="M70" s="744">
        <f>Recovery_OX!C65</f>
        <v>0</v>
      </c>
      <c r="N70" s="699"/>
      <c r="O70" s="745">
        <f>(L70-M70)*(1-Recovery_OX!F65)</f>
        <v>0.10196459360730661</v>
      </c>
      <c r="P70" s="691"/>
      <c r="Q70" s="701"/>
      <c r="S70" s="739">
        <f t="shared" si="2"/>
        <v>2053</v>
      </c>
      <c r="T70" s="740">
        <f>IF(Select2=1,Food!$W72,"")</f>
        <v>1.7458432749386729E-4</v>
      </c>
      <c r="U70" s="741">
        <f>IF(Select2=1,Paper!$W72,"")</f>
        <v>0.14752980772141244</v>
      </c>
      <c r="V70" s="732">
        <f>IF(Select2=1,Nappies!$W72,"")</f>
        <v>0</v>
      </c>
      <c r="W70" s="741">
        <f>IF(Select2=1,Garden!$W72,"")</f>
        <v>0</v>
      </c>
      <c r="X70" s="732">
        <f>IF(Select2=1,Wood!$W72,"")</f>
        <v>0.18530126737260472</v>
      </c>
      <c r="Y70" s="741">
        <f>IF(Select2=1,Textiles!$W72,"")</f>
        <v>1.852699910920063E-2</v>
      </c>
      <c r="Z70" s="734">
        <f>Sludge!W72</f>
        <v>0</v>
      </c>
      <c r="AA70" s="734" t="str">
        <f>IF(Select2=2,MSW!$W72,"")</f>
        <v/>
      </c>
      <c r="AB70" s="742">
        <f>Industry!$W72</f>
        <v>0</v>
      </c>
      <c r="AC70" s="743">
        <f t="shared" si="4"/>
        <v>0.35153265853071169</v>
      </c>
      <c r="AD70" s="744">
        <f>Recovery_OX!R65</f>
        <v>0</v>
      </c>
      <c r="AE70" s="699"/>
      <c r="AF70" s="746">
        <f>(AC70-AD70)*(1-Recovery_OX!U65)</f>
        <v>0.35153265853071169</v>
      </c>
    </row>
    <row r="71" spans="2:32">
      <c r="B71" s="739">
        <f t="shared" si="1"/>
        <v>2054</v>
      </c>
      <c r="C71" s="740">
        <f>IF(Select2=1,Food!$K73,"")</f>
        <v>1.7491691566715715E-4</v>
      </c>
      <c r="D71" s="741">
        <f>IF(Select2=1,Paper!$K73,"")</f>
        <v>6.6577046390137201E-2</v>
      </c>
      <c r="E71" s="732">
        <f>IF(Select2=1,Nappies!$K73,"")</f>
        <v>1.1299485185815649E-2</v>
      </c>
      <c r="F71" s="741">
        <f>IF(Select2=1,Garden!$K73,"")</f>
        <v>0</v>
      </c>
      <c r="G71" s="732">
        <f>IF(Select2=1,Wood!$K73,"")</f>
        <v>0</v>
      </c>
      <c r="H71" s="741">
        <f>IF(Select2=1,Textiles!$K73,"")</f>
        <v>1.5762944267124778E-2</v>
      </c>
      <c r="I71" s="742">
        <f>Sludge!K73</f>
        <v>0</v>
      </c>
      <c r="J71" s="742" t="str">
        <f>IF(Select2=2,MSW!$K73,"")</f>
        <v/>
      </c>
      <c r="K71" s="742">
        <f>Industry!$K73</f>
        <v>0</v>
      </c>
      <c r="L71" s="743">
        <f t="shared" si="3"/>
        <v>9.3814392758744786E-2</v>
      </c>
      <c r="M71" s="744">
        <f>Recovery_OX!C66</f>
        <v>0</v>
      </c>
      <c r="N71" s="699"/>
      <c r="O71" s="745">
        <f>(L71-M71)*(1-Recovery_OX!F66)</f>
        <v>9.3814392758744786E-2</v>
      </c>
      <c r="P71" s="691"/>
      <c r="Q71" s="701"/>
      <c r="S71" s="739">
        <f t="shared" si="2"/>
        <v>2054</v>
      </c>
      <c r="T71" s="740">
        <f>IF(Select2=1,Food!$W73,"")</f>
        <v>1.1702737444279027E-4</v>
      </c>
      <c r="U71" s="741">
        <f>IF(Select2=1,Paper!$W73,"")</f>
        <v>0.13755588097135782</v>
      </c>
      <c r="V71" s="732">
        <f>IF(Select2=1,Nappies!$W73,"")</f>
        <v>0</v>
      </c>
      <c r="W71" s="741">
        <f>IF(Select2=1,Garden!$W73,"")</f>
        <v>0</v>
      </c>
      <c r="X71" s="732">
        <f>IF(Select2=1,Wood!$W73,"")</f>
        <v>0.17892790741437861</v>
      </c>
      <c r="Y71" s="741">
        <f>IF(Select2=1,Textiles!$W73,"")</f>
        <v>1.7274459470821672E-2</v>
      </c>
      <c r="Z71" s="734">
        <f>Sludge!W73</f>
        <v>0</v>
      </c>
      <c r="AA71" s="734" t="str">
        <f>IF(Select2=2,MSW!$W73,"")</f>
        <v/>
      </c>
      <c r="AB71" s="742">
        <f>Industry!$W73</f>
        <v>0</v>
      </c>
      <c r="AC71" s="743">
        <f t="shared" si="4"/>
        <v>0.33387527523100091</v>
      </c>
      <c r="AD71" s="744">
        <f>Recovery_OX!R66</f>
        <v>0</v>
      </c>
      <c r="AE71" s="699"/>
      <c r="AF71" s="746">
        <f>(AC71-AD71)*(1-Recovery_OX!U66)</f>
        <v>0.33387527523100091</v>
      </c>
    </row>
    <row r="72" spans="2:32">
      <c r="B72" s="739">
        <f t="shared" si="1"/>
        <v>2055</v>
      </c>
      <c r="C72" s="740">
        <f>IF(Select2=1,Food!$K74,"")</f>
        <v>1.1725031496242081E-4</v>
      </c>
      <c r="D72" s="741">
        <f>IF(Select2=1,Paper!$K74,"")</f>
        <v>6.2076026601755548E-2</v>
      </c>
      <c r="E72" s="732">
        <f>IF(Select2=1,Nappies!$K74,"")</f>
        <v>9.532978096924714E-3</v>
      </c>
      <c r="F72" s="741">
        <f>IF(Select2=1,Garden!$K74,"")</f>
        <v>0</v>
      </c>
      <c r="G72" s="732">
        <f>IF(Select2=1,Wood!$K74,"")</f>
        <v>0</v>
      </c>
      <c r="H72" s="741">
        <f>IF(Select2=1,Textiles!$K74,"")</f>
        <v>1.4697271818189042E-2</v>
      </c>
      <c r="I72" s="742">
        <f>Sludge!K74</f>
        <v>0</v>
      </c>
      <c r="J72" s="742" t="str">
        <f>IF(Select2=2,MSW!$K74,"")</f>
        <v/>
      </c>
      <c r="K72" s="742">
        <f>Industry!$K74</f>
        <v>0</v>
      </c>
      <c r="L72" s="743">
        <f t="shared" si="3"/>
        <v>8.6423526831831729E-2</v>
      </c>
      <c r="M72" s="744">
        <f>Recovery_OX!C67</f>
        <v>0</v>
      </c>
      <c r="N72" s="699"/>
      <c r="O72" s="745">
        <f>(L72-M72)*(1-Recovery_OX!F67)</f>
        <v>8.6423526831831729E-2</v>
      </c>
      <c r="P72" s="691"/>
      <c r="Q72" s="701"/>
      <c r="S72" s="739">
        <f t="shared" si="2"/>
        <v>2055</v>
      </c>
      <c r="T72" s="740">
        <f>IF(Select2=1,Food!$W74,"")</f>
        <v>7.8445795023921166E-5</v>
      </c>
      <c r="U72" s="741">
        <f>IF(Select2=1,Paper!$W74,"")</f>
        <v>0.12825625330941226</v>
      </c>
      <c r="V72" s="732">
        <f>IF(Select2=1,Nappies!$W74,"")</f>
        <v>0</v>
      </c>
      <c r="W72" s="741">
        <f>IF(Select2=1,Garden!$W74,"")</f>
        <v>0</v>
      </c>
      <c r="X72" s="732">
        <f>IF(Select2=1,Wood!$W74,"")</f>
        <v>0.17277375651895635</v>
      </c>
      <c r="Y72" s="741">
        <f>IF(Select2=1,Textiles!$W74,"")</f>
        <v>1.6106599252809908E-2</v>
      </c>
      <c r="Z72" s="734">
        <f>Sludge!W74</f>
        <v>0</v>
      </c>
      <c r="AA72" s="734" t="str">
        <f>IF(Select2=2,MSW!$W74,"")</f>
        <v/>
      </c>
      <c r="AB72" s="742">
        <f>Industry!$W74</f>
        <v>0</v>
      </c>
      <c r="AC72" s="743">
        <f t="shared" si="4"/>
        <v>0.31721505487620238</v>
      </c>
      <c r="AD72" s="744">
        <f>Recovery_OX!R67</f>
        <v>0</v>
      </c>
      <c r="AE72" s="699"/>
      <c r="AF72" s="746">
        <f>(AC72-AD72)*(1-Recovery_OX!U67)</f>
        <v>0.31721505487620238</v>
      </c>
    </row>
    <row r="73" spans="2:32">
      <c r="B73" s="739">
        <f t="shared" si="1"/>
        <v>2056</v>
      </c>
      <c r="C73" s="740">
        <f>IF(Select2=1,Food!$K75,"")</f>
        <v>7.8595236523303129E-5</v>
      </c>
      <c r="D73" s="741">
        <f>IF(Select2=1,Paper!$K75,"")</f>
        <v>5.7879303567794117E-2</v>
      </c>
      <c r="E73" s="732">
        <f>IF(Select2=1,Nappies!$K75,"")</f>
        <v>8.0426382177593327E-3</v>
      </c>
      <c r="F73" s="741">
        <f>IF(Select2=1,Garden!$K75,"")</f>
        <v>0</v>
      </c>
      <c r="G73" s="732">
        <f>IF(Select2=1,Wood!$K75,"")</f>
        <v>0</v>
      </c>
      <c r="H73" s="741">
        <f>IF(Select2=1,Textiles!$K75,"")</f>
        <v>1.3703645412757324E-2</v>
      </c>
      <c r="I73" s="742">
        <f>Sludge!K75</f>
        <v>0</v>
      </c>
      <c r="J73" s="742" t="str">
        <f>IF(Select2=2,MSW!$K75,"")</f>
        <v/>
      </c>
      <c r="K73" s="742">
        <f>Industry!$K75</f>
        <v>0</v>
      </c>
      <c r="L73" s="743">
        <f t="shared" si="3"/>
        <v>7.9704182434834084E-2</v>
      </c>
      <c r="M73" s="744">
        <f>Recovery_OX!C68</f>
        <v>0</v>
      </c>
      <c r="N73" s="699"/>
      <c r="O73" s="745">
        <f>(L73-M73)*(1-Recovery_OX!F68)</f>
        <v>7.9704182434834084E-2</v>
      </c>
      <c r="P73" s="691"/>
      <c r="Q73" s="701"/>
      <c r="S73" s="739">
        <f t="shared" si="2"/>
        <v>2056</v>
      </c>
      <c r="T73" s="740">
        <f>IF(Select2=1,Food!$W75,"")</f>
        <v>5.2583788931737153E-5</v>
      </c>
      <c r="U73" s="741">
        <f>IF(Select2=1,Paper!$W75,"")</f>
        <v>0.1195853379499878</v>
      </c>
      <c r="V73" s="732">
        <f>IF(Select2=1,Nappies!$W75,"")</f>
        <v>0</v>
      </c>
      <c r="W73" s="741">
        <f>IF(Select2=1,Garden!$W75,"")</f>
        <v>0</v>
      </c>
      <c r="X73" s="732">
        <f>IF(Select2=1,Wood!$W75,"")</f>
        <v>0.16683127508187029</v>
      </c>
      <c r="Y73" s="741">
        <f>IF(Select2=1,Textiles!$W75,"")</f>
        <v>1.5017693603021721E-2</v>
      </c>
      <c r="Z73" s="734">
        <f>Sludge!W75</f>
        <v>0</v>
      </c>
      <c r="AA73" s="734" t="str">
        <f>IF(Select2=2,MSW!$W75,"")</f>
        <v/>
      </c>
      <c r="AB73" s="742">
        <f>Industry!$W75</f>
        <v>0</v>
      </c>
      <c r="AC73" s="743">
        <f t="shared" si="4"/>
        <v>0.30148689042381155</v>
      </c>
      <c r="AD73" s="744">
        <f>Recovery_OX!R68</f>
        <v>0</v>
      </c>
      <c r="AE73" s="699"/>
      <c r="AF73" s="746">
        <f>(AC73-AD73)*(1-Recovery_OX!U68)</f>
        <v>0.30148689042381155</v>
      </c>
    </row>
    <row r="74" spans="2:32">
      <c r="B74" s="739">
        <f t="shared" si="1"/>
        <v>2057</v>
      </c>
      <c r="C74" s="740">
        <f>IF(Select2=1,Food!$K76,"")</f>
        <v>5.2683962564482517E-5</v>
      </c>
      <c r="D74" s="741">
        <f>IF(Select2=1,Paper!$K76,"")</f>
        <v>5.3966304947071532E-2</v>
      </c>
      <c r="E74" s="732">
        <f>IF(Select2=1,Nappies!$K76,"")</f>
        <v>6.7852908969369937E-3</v>
      </c>
      <c r="F74" s="741">
        <f>IF(Select2=1,Garden!$K76,"")</f>
        <v>0</v>
      </c>
      <c r="G74" s="732">
        <f>IF(Select2=1,Wood!$K76,"")</f>
        <v>0</v>
      </c>
      <c r="H74" s="741">
        <f>IF(Select2=1,Textiles!$K76,"")</f>
        <v>1.2777194293037426E-2</v>
      </c>
      <c r="I74" s="742">
        <f>Sludge!K76</f>
        <v>0</v>
      </c>
      <c r="J74" s="742" t="str">
        <f>IF(Select2=2,MSW!$K76,"")</f>
        <v/>
      </c>
      <c r="K74" s="742">
        <f>Industry!$K76</f>
        <v>0</v>
      </c>
      <c r="L74" s="743">
        <f t="shared" si="3"/>
        <v>7.3581474099610439E-2</v>
      </c>
      <c r="M74" s="744">
        <f>Recovery_OX!C69</f>
        <v>0</v>
      </c>
      <c r="N74" s="699"/>
      <c r="O74" s="745">
        <f>(L74-M74)*(1-Recovery_OX!F69)</f>
        <v>7.3581474099610439E-2</v>
      </c>
      <c r="P74" s="691"/>
      <c r="Q74" s="701"/>
      <c r="S74" s="739">
        <f t="shared" si="2"/>
        <v>2057</v>
      </c>
      <c r="T74" s="740">
        <f>IF(Select2=1,Food!$W76,"")</f>
        <v>3.5247967817450391E-5</v>
      </c>
      <c r="U74" s="741">
        <f>IF(Select2=1,Paper!$W76,"")</f>
        <v>0.11150063005593289</v>
      </c>
      <c r="V74" s="732">
        <f>IF(Select2=1,Nappies!$W76,"")</f>
        <v>0</v>
      </c>
      <c r="W74" s="741">
        <f>IF(Select2=1,Garden!$W76,"")</f>
        <v>0</v>
      </c>
      <c r="X74" s="732">
        <f>IF(Select2=1,Wood!$W76,"")</f>
        <v>0.16109318282020996</v>
      </c>
      <c r="Y74" s="741">
        <f>IF(Select2=1,Textiles!$W76,"")</f>
        <v>1.4002404704698547E-2</v>
      </c>
      <c r="Z74" s="734">
        <f>Sludge!W76</f>
        <v>0</v>
      </c>
      <c r="AA74" s="734" t="str">
        <f>IF(Select2=2,MSW!$W76,"")</f>
        <v/>
      </c>
      <c r="AB74" s="742">
        <f>Industry!$W76</f>
        <v>0</v>
      </c>
      <c r="AC74" s="743">
        <f t="shared" si="4"/>
        <v>0.28663146554865887</v>
      </c>
      <c r="AD74" s="744">
        <f>Recovery_OX!R69</f>
        <v>0</v>
      </c>
      <c r="AE74" s="699"/>
      <c r="AF74" s="746">
        <f>(AC74-AD74)*(1-Recovery_OX!U69)</f>
        <v>0.28663146554865887</v>
      </c>
    </row>
    <row r="75" spans="2:32">
      <c r="B75" s="739">
        <f t="shared" si="1"/>
        <v>2058</v>
      </c>
      <c r="C75" s="740">
        <f>IF(Select2=1,Food!$K77,"")</f>
        <v>3.531511621156382E-5</v>
      </c>
      <c r="D75" s="741">
        <f>IF(Select2=1,Paper!$K77,"")</f>
        <v>5.0317849215809299E-2</v>
      </c>
      <c r="E75" s="732">
        <f>IF(Select2=1,Nappies!$K77,"")</f>
        <v>5.7245112001174598E-3</v>
      </c>
      <c r="F75" s="741">
        <f>IF(Select2=1,Garden!$K77,"")</f>
        <v>0</v>
      </c>
      <c r="G75" s="732">
        <f>IF(Select2=1,Wood!$K77,"")</f>
        <v>0</v>
      </c>
      <c r="H75" s="741">
        <f>IF(Select2=1,Textiles!$K77,"")</f>
        <v>1.1913376994565648E-2</v>
      </c>
      <c r="I75" s="742">
        <f>Sludge!K77</f>
        <v>0</v>
      </c>
      <c r="J75" s="742" t="str">
        <f>IF(Select2=2,MSW!$K77,"")</f>
        <v/>
      </c>
      <c r="K75" s="742">
        <f>Industry!$K77</f>
        <v>0</v>
      </c>
      <c r="L75" s="743">
        <f t="shared" si="3"/>
        <v>6.7991052526703968E-2</v>
      </c>
      <c r="M75" s="744">
        <f>Recovery_OX!C70</f>
        <v>0</v>
      </c>
      <c r="N75" s="699"/>
      <c r="O75" s="745">
        <f>(L75-M75)*(1-Recovery_OX!F70)</f>
        <v>6.7991052526703968E-2</v>
      </c>
      <c r="P75" s="691"/>
      <c r="Q75" s="701"/>
      <c r="S75" s="739">
        <f t="shared" si="2"/>
        <v>2058</v>
      </c>
      <c r="T75" s="740">
        <f>IF(Select2=1,Food!$W77,"")</f>
        <v>2.3627419410056082E-5</v>
      </c>
      <c r="U75" s="741">
        <f>IF(Select2=1,Paper!$W77,"")</f>
        <v>0.10396249837977126</v>
      </c>
      <c r="V75" s="732">
        <f>IF(Select2=1,Nappies!$W77,"")</f>
        <v>0</v>
      </c>
      <c r="W75" s="741">
        <f>IF(Select2=1,Garden!$W77,"")</f>
        <v>0</v>
      </c>
      <c r="X75" s="732">
        <f>IF(Select2=1,Wood!$W77,"")</f>
        <v>0.15555244985336508</v>
      </c>
      <c r="Y75" s="741">
        <f>IF(Select2=1,Textiles!$W77,"")</f>
        <v>1.3055755610482899E-2</v>
      </c>
      <c r="Z75" s="734">
        <f>Sludge!W77</f>
        <v>0</v>
      </c>
      <c r="AA75" s="734" t="str">
        <f>IF(Select2=2,MSW!$W77,"")</f>
        <v/>
      </c>
      <c r="AB75" s="742">
        <f>Industry!$W77</f>
        <v>0</v>
      </c>
      <c r="AC75" s="743">
        <f t="shared" si="4"/>
        <v>0.27259433126302929</v>
      </c>
      <c r="AD75" s="744">
        <f>Recovery_OX!R70</f>
        <v>0</v>
      </c>
      <c r="AE75" s="699"/>
      <c r="AF75" s="746">
        <f>(AC75-AD75)*(1-Recovery_OX!U70)</f>
        <v>0.27259433126302929</v>
      </c>
    </row>
    <row r="76" spans="2:32">
      <c r="B76" s="739">
        <f t="shared" si="1"/>
        <v>2059</v>
      </c>
      <c r="C76" s="740">
        <f>IF(Select2=1,Food!$K78,"")</f>
        <v>2.3672430324689415E-5</v>
      </c>
      <c r="D76" s="741">
        <f>IF(Select2=1,Paper!$K78,"")</f>
        <v>4.6916051639779965E-2</v>
      </c>
      <c r="E76" s="732">
        <f>IF(Select2=1,Nappies!$K78,"")</f>
        <v>4.8295686917510412E-3</v>
      </c>
      <c r="F76" s="741">
        <f>IF(Select2=1,Garden!$K78,"")</f>
        <v>0</v>
      </c>
      <c r="G76" s="732">
        <f>IF(Select2=1,Wood!$K78,"")</f>
        <v>0</v>
      </c>
      <c r="H76" s="741">
        <f>IF(Select2=1,Textiles!$K78,"")</f>
        <v>1.1107959083942709E-2</v>
      </c>
      <c r="I76" s="742">
        <f>Sludge!K78</f>
        <v>0</v>
      </c>
      <c r="J76" s="742" t="str">
        <f>IF(Select2=2,MSW!$K78,"")</f>
        <v/>
      </c>
      <c r="K76" s="742">
        <f>Industry!$K78</f>
        <v>0</v>
      </c>
      <c r="L76" s="743">
        <f t="shared" si="3"/>
        <v>6.2877251845798413E-2</v>
      </c>
      <c r="M76" s="744">
        <f>Recovery_OX!C71</f>
        <v>0</v>
      </c>
      <c r="N76" s="699"/>
      <c r="O76" s="745">
        <f>(L76-M76)*(1-Recovery_OX!F71)</f>
        <v>6.2877251845798413E-2</v>
      </c>
      <c r="P76" s="691"/>
      <c r="Q76" s="701"/>
      <c r="S76" s="739">
        <f t="shared" si="2"/>
        <v>2059</v>
      </c>
      <c r="T76" s="740">
        <f>IF(Select2=1,Food!$W78,"")</f>
        <v>1.5837932866652152E-5</v>
      </c>
      <c r="U76" s="741">
        <f>IF(Select2=1,Paper!$W78,"")</f>
        <v>9.6933990991280874E-2</v>
      </c>
      <c r="V76" s="732">
        <f>IF(Select2=1,Nappies!$W78,"")</f>
        <v>0</v>
      </c>
      <c r="W76" s="741">
        <f>IF(Select2=1,Garden!$W78,"")</f>
        <v>0</v>
      </c>
      <c r="X76" s="732">
        <f>IF(Select2=1,Wood!$W78,"")</f>
        <v>0.15020228809054281</v>
      </c>
      <c r="Y76" s="741">
        <f>IF(Select2=1,Textiles!$W78,"")</f>
        <v>1.2173105845416667E-2</v>
      </c>
      <c r="Z76" s="734">
        <f>Sludge!W78</f>
        <v>0</v>
      </c>
      <c r="AA76" s="734" t="str">
        <f>IF(Select2=2,MSW!$W78,"")</f>
        <v/>
      </c>
      <c r="AB76" s="742">
        <f>Industry!$W78</f>
        <v>0</v>
      </c>
      <c r="AC76" s="743">
        <f t="shared" si="4"/>
        <v>0.25932522286010701</v>
      </c>
      <c r="AD76" s="744">
        <f>Recovery_OX!R71</f>
        <v>0</v>
      </c>
      <c r="AE76" s="699"/>
      <c r="AF76" s="746">
        <f>(AC76-AD76)*(1-Recovery_OX!U71)</f>
        <v>0.25932522286010701</v>
      </c>
    </row>
    <row r="77" spans="2:32">
      <c r="B77" s="739">
        <f t="shared" si="1"/>
        <v>2060</v>
      </c>
      <c r="C77" s="740">
        <f>IF(Select2=1,Food!$K79,"")</f>
        <v>1.5868104585021271E-5</v>
      </c>
      <c r="D77" s="741">
        <f>IF(Select2=1,Paper!$K79,"")</f>
        <v>4.3744236603319171E-2</v>
      </c>
      <c r="E77" s="732">
        <f>IF(Select2=1,Nappies!$K79,"")</f>
        <v>4.0745371845657789E-3</v>
      </c>
      <c r="F77" s="741">
        <f>IF(Select2=1,Garden!$K79,"")</f>
        <v>0</v>
      </c>
      <c r="G77" s="732">
        <f>IF(Select2=1,Wood!$K79,"")</f>
        <v>0</v>
      </c>
      <c r="H77" s="741">
        <f>IF(Select2=1,Textiles!$K79,"")</f>
        <v>1.035699240163632E-2</v>
      </c>
      <c r="I77" s="742">
        <f>Sludge!K79</f>
        <v>0</v>
      </c>
      <c r="J77" s="742" t="str">
        <f>IF(Select2=2,MSW!$K79,"")</f>
        <v/>
      </c>
      <c r="K77" s="742">
        <f>Industry!$K79</f>
        <v>0</v>
      </c>
      <c r="L77" s="743">
        <f t="shared" si="3"/>
        <v>5.8191634294106287E-2</v>
      </c>
      <c r="M77" s="744">
        <f>Recovery_OX!C72</f>
        <v>0</v>
      </c>
      <c r="N77" s="699"/>
      <c r="O77" s="745">
        <f>(L77-M77)*(1-Recovery_OX!F72)</f>
        <v>5.8191634294106287E-2</v>
      </c>
      <c r="P77" s="691"/>
      <c r="Q77" s="701"/>
      <c r="S77" s="739">
        <f t="shared" si="2"/>
        <v>2060</v>
      </c>
      <c r="T77" s="740">
        <f>IF(Select2=1,Food!$W79,"")</f>
        <v>1.0616483888283634E-5</v>
      </c>
      <c r="U77" s="741">
        <f>IF(Select2=1,Paper!$W79,"")</f>
        <v>9.0380654139089148E-2</v>
      </c>
      <c r="V77" s="732">
        <f>IF(Select2=1,Nappies!$W79,"")</f>
        <v>0</v>
      </c>
      <c r="W77" s="741">
        <f>IF(Select2=1,Garden!$W79,"")</f>
        <v>0</v>
      </c>
      <c r="X77" s="732">
        <f>IF(Select2=1,Wood!$W79,"")</f>
        <v>0.1450361429145075</v>
      </c>
      <c r="Y77" s="741">
        <f>IF(Select2=1,Textiles!$W79,"")</f>
        <v>1.1350128659327472E-2</v>
      </c>
      <c r="Z77" s="734">
        <f>Sludge!W79</f>
        <v>0</v>
      </c>
      <c r="AA77" s="734" t="str">
        <f>IF(Select2=2,MSW!$W79,"")</f>
        <v/>
      </c>
      <c r="AB77" s="742">
        <f>Industry!$W79</f>
        <v>0</v>
      </c>
      <c r="AC77" s="743">
        <f t="shared" si="4"/>
        <v>0.24677754219681239</v>
      </c>
      <c r="AD77" s="744">
        <f>Recovery_OX!R72</f>
        <v>0</v>
      </c>
      <c r="AE77" s="699"/>
      <c r="AF77" s="746">
        <f>(AC77-AD77)*(1-Recovery_OX!U72)</f>
        <v>0.24677754219681239</v>
      </c>
    </row>
    <row r="78" spans="2:32">
      <c r="B78" s="739">
        <f t="shared" si="1"/>
        <v>2061</v>
      </c>
      <c r="C78" s="740">
        <f>IF(Select2=1,Food!$K80,"")</f>
        <v>1.0636708595929797E-5</v>
      </c>
      <c r="D78" s="741">
        <f>IF(Select2=1,Paper!$K80,"")</f>
        <v>4.0786855865438364E-2</v>
      </c>
      <c r="E78" s="732">
        <f>IF(Select2=1,Nappies!$K80,"")</f>
        <v>3.4375436665318336E-3</v>
      </c>
      <c r="F78" s="741">
        <f>IF(Select2=1,Garden!$K80,"")</f>
        <v>0</v>
      </c>
      <c r="G78" s="732">
        <f>IF(Select2=1,Wood!$K80,"")</f>
        <v>0</v>
      </c>
      <c r="H78" s="741">
        <f>IF(Select2=1,Textiles!$K80,"")</f>
        <v>9.6567957080985704E-3</v>
      </c>
      <c r="I78" s="742">
        <f>Sludge!K80</f>
        <v>0</v>
      </c>
      <c r="J78" s="742" t="str">
        <f>IF(Select2=2,MSW!$K80,"")</f>
        <v/>
      </c>
      <c r="K78" s="742">
        <f>Industry!$K80</f>
        <v>0</v>
      </c>
      <c r="L78" s="743">
        <f t="shared" si="3"/>
        <v>5.389183194866469E-2</v>
      </c>
      <c r="M78" s="744">
        <f>Recovery_OX!C73</f>
        <v>0</v>
      </c>
      <c r="N78" s="699"/>
      <c r="O78" s="745">
        <f>(L78-M78)*(1-Recovery_OX!F73)</f>
        <v>5.389183194866469E-2</v>
      </c>
      <c r="P78" s="691"/>
      <c r="Q78" s="701"/>
      <c r="S78" s="739">
        <f t="shared" si="2"/>
        <v>2061</v>
      </c>
      <c r="T78" s="740">
        <f>IF(Select2=1,Food!$W80,"")</f>
        <v>7.1164419687309098E-6</v>
      </c>
      <c r="U78" s="741">
        <f>IF(Select2=1,Paper!$W80,"")</f>
        <v>8.4270363358343675E-2</v>
      </c>
      <c r="V78" s="732">
        <f>IF(Select2=1,Nappies!$W80,"")</f>
        <v>0</v>
      </c>
      <c r="W78" s="741">
        <f>IF(Select2=1,Garden!$W80,"")</f>
        <v>0</v>
      </c>
      <c r="X78" s="732">
        <f>IF(Select2=1,Wood!$W80,"")</f>
        <v>0.14004768515135491</v>
      </c>
      <c r="Y78" s="741">
        <f>IF(Select2=1,Textiles!$W80,"")</f>
        <v>1.0582789817094321E-2</v>
      </c>
      <c r="Z78" s="734">
        <f>Sludge!W80</f>
        <v>0</v>
      </c>
      <c r="AA78" s="734" t="str">
        <f>IF(Select2=2,MSW!$W80,"")</f>
        <v/>
      </c>
      <c r="AB78" s="742">
        <f>Industry!$W80</f>
        <v>0</v>
      </c>
      <c r="AC78" s="743">
        <f t="shared" si="4"/>
        <v>0.23490795476876164</v>
      </c>
      <c r="AD78" s="744">
        <f>Recovery_OX!R73</f>
        <v>0</v>
      </c>
      <c r="AE78" s="699"/>
      <c r="AF78" s="746">
        <f>(AC78-AD78)*(1-Recovery_OX!U73)</f>
        <v>0.23490795476876164</v>
      </c>
    </row>
    <row r="79" spans="2:32">
      <c r="B79" s="739">
        <f t="shared" si="1"/>
        <v>2062</v>
      </c>
      <c r="C79" s="740">
        <f>IF(Select2=1,Food!$K81,"")</f>
        <v>7.1299989956913426E-6</v>
      </c>
      <c r="D79" s="741">
        <f>IF(Select2=1,Paper!$K81,"")</f>
        <v>3.8029412342329406E-2</v>
      </c>
      <c r="E79" s="732">
        <f>IF(Select2=1,Nappies!$K81,"")</f>
        <v>2.9001346469666404E-3</v>
      </c>
      <c r="F79" s="741">
        <f>IF(Select2=1,Garden!$K81,"")</f>
        <v>0</v>
      </c>
      <c r="G79" s="732">
        <f>IF(Select2=1,Wood!$K81,"")</f>
        <v>0</v>
      </c>
      <c r="H79" s="741">
        <f>IF(Select2=1,Textiles!$K81,"")</f>
        <v>9.0039366383253914E-3</v>
      </c>
      <c r="I79" s="742">
        <f>Sludge!K81</f>
        <v>0</v>
      </c>
      <c r="J79" s="742" t="str">
        <f>IF(Select2=2,MSW!$K81,"")</f>
        <v/>
      </c>
      <c r="K79" s="742">
        <f>Industry!$K81</f>
        <v>0</v>
      </c>
      <c r="L79" s="743">
        <f t="shared" si="3"/>
        <v>4.9940613626617128E-2</v>
      </c>
      <c r="M79" s="744">
        <f>Recovery_OX!C74</f>
        <v>0</v>
      </c>
      <c r="N79" s="699"/>
      <c r="O79" s="745">
        <f>(L79-M79)*(1-Recovery_OX!F74)</f>
        <v>4.9940613626617128E-2</v>
      </c>
      <c r="P79" s="691"/>
      <c r="Q79" s="701"/>
      <c r="S79" s="739">
        <f t="shared" si="2"/>
        <v>2062</v>
      </c>
      <c r="T79" s="740">
        <f>IF(Select2=1,Food!$W81,"")</f>
        <v>4.7702937080896588E-6</v>
      </c>
      <c r="U79" s="741">
        <f>IF(Select2=1,Paper!$W81,"")</f>
        <v>7.857316599654833E-2</v>
      </c>
      <c r="V79" s="732">
        <f>IF(Select2=1,Nappies!$W81,"")</f>
        <v>0</v>
      </c>
      <c r="W79" s="741">
        <f>IF(Select2=1,Garden!$W81,"")</f>
        <v>0</v>
      </c>
      <c r="X79" s="732">
        <f>IF(Select2=1,Wood!$W81,"")</f>
        <v>0.13523080331648268</v>
      </c>
      <c r="Y79" s="741">
        <f>IF(Select2=1,Textiles!$W81,"")</f>
        <v>9.8673278228223471E-3</v>
      </c>
      <c r="Z79" s="734">
        <f>Sludge!W81</f>
        <v>0</v>
      </c>
      <c r="AA79" s="734" t="str">
        <f>IF(Select2=2,MSW!$W81,"")</f>
        <v/>
      </c>
      <c r="AB79" s="742">
        <f>Industry!$W81</f>
        <v>0</v>
      </c>
      <c r="AC79" s="743">
        <f t="shared" si="4"/>
        <v>0.22367606742956145</v>
      </c>
      <c r="AD79" s="744">
        <f>Recovery_OX!R74</f>
        <v>0</v>
      </c>
      <c r="AE79" s="699"/>
      <c r="AF79" s="746">
        <f>(AC79-AD79)*(1-Recovery_OX!U74)</f>
        <v>0.22367606742956145</v>
      </c>
    </row>
    <row r="80" spans="2:32">
      <c r="B80" s="739">
        <f t="shared" si="1"/>
        <v>2063</v>
      </c>
      <c r="C80" s="740">
        <f>IF(Select2=1,Food!$K82,"")</f>
        <v>4.7793812550258826E-6</v>
      </c>
      <c r="D80" s="741">
        <f>IF(Select2=1,Paper!$K82,"")</f>
        <v>3.5458389042642931E-2</v>
      </c>
      <c r="E80" s="732">
        <f>IF(Select2=1,Nappies!$K82,"")</f>
        <v>2.4467415650379284E-3</v>
      </c>
      <c r="F80" s="741">
        <f>IF(Select2=1,Garden!$K82,"")</f>
        <v>0</v>
      </c>
      <c r="G80" s="732">
        <f>IF(Select2=1,Wood!$K82,"")</f>
        <v>0</v>
      </c>
      <c r="H80" s="741">
        <f>IF(Select2=1,Textiles!$K82,"")</f>
        <v>8.3952148763993331E-3</v>
      </c>
      <c r="I80" s="742">
        <f>Sludge!K82</f>
        <v>0</v>
      </c>
      <c r="J80" s="742" t="str">
        <f>IF(Select2=2,MSW!$K82,"")</f>
        <v/>
      </c>
      <c r="K80" s="742">
        <f>Industry!$K82</f>
        <v>0</v>
      </c>
      <c r="L80" s="743">
        <f t="shared" si="3"/>
        <v>4.6305124865335216E-2</v>
      </c>
      <c r="M80" s="744">
        <f>Recovery_OX!C75</f>
        <v>0</v>
      </c>
      <c r="N80" s="699"/>
      <c r="O80" s="745">
        <f>(L80-M80)*(1-Recovery_OX!F75)</f>
        <v>4.6305124865335216E-2</v>
      </c>
      <c r="P80" s="691"/>
      <c r="Q80" s="701"/>
      <c r="S80" s="739">
        <f t="shared" si="2"/>
        <v>2063</v>
      </c>
      <c r="T80" s="740">
        <f>IF(Select2=1,Food!$W82,"")</f>
        <v>3.1976234980101813E-6</v>
      </c>
      <c r="U80" s="741">
        <f>IF(Select2=1,Paper!$W82,"")</f>
        <v>7.3261134385625856E-2</v>
      </c>
      <c r="V80" s="732">
        <f>IF(Select2=1,Nappies!$W82,"")</f>
        <v>0</v>
      </c>
      <c r="W80" s="741">
        <f>IF(Select2=1,Garden!$W82,"")</f>
        <v>0</v>
      </c>
      <c r="X80" s="732">
        <f>IF(Select2=1,Wood!$W82,"")</f>
        <v>0.13057959612725736</v>
      </c>
      <c r="Y80" s="741">
        <f>IF(Select2=1,Textiles!$W82,"")</f>
        <v>9.2002354809855719E-3</v>
      </c>
      <c r="Z80" s="734">
        <f>Sludge!W82</f>
        <v>0</v>
      </c>
      <c r="AA80" s="734" t="str">
        <f>IF(Select2=2,MSW!$W82,"")</f>
        <v/>
      </c>
      <c r="AB80" s="742">
        <f>Industry!$W82</f>
        <v>0</v>
      </c>
      <c r="AC80" s="743">
        <f t="shared" si="4"/>
        <v>0.21304416361736683</v>
      </c>
      <c r="AD80" s="744">
        <f>Recovery_OX!R75</f>
        <v>0</v>
      </c>
      <c r="AE80" s="699"/>
      <c r="AF80" s="746">
        <f>(AC80-AD80)*(1-Recovery_OX!U75)</f>
        <v>0.21304416361736683</v>
      </c>
    </row>
    <row r="81" spans="2:32">
      <c r="B81" s="739">
        <f t="shared" si="1"/>
        <v>2064</v>
      </c>
      <c r="C81" s="740">
        <f>IF(Select2=1,Food!$K83,"")</f>
        <v>3.2037150628908217E-6</v>
      </c>
      <c r="D81" s="741">
        <f>IF(Select2=1,Paper!$K83,"")</f>
        <v>3.3061182807181067E-2</v>
      </c>
      <c r="E81" s="732">
        <f>IF(Select2=1,Nappies!$K83,"")</f>
        <v>2.0642297737264725E-3</v>
      </c>
      <c r="F81" s="741">
        <f>IF(Select2=1,Garden!$K83,"")</f>
        <v>0</v>
      </c>
      <c r="G81" s="732">
        <f>IF(Select2=1,Wood!$K83,"")</f>
        <v>0</v>
      </c>
      <c r="H81" s="741">
        <f>IF(Select2=1,Textiles!$K83,"")</f>
        <v>7.8276464675372179E-3</v>
      </c>
      <c r="I81" s="742">
        <f>Sludge!K83</f>
        <v>0</v>
      </c>
      <c r="J81" s="742" t="str">
        <f>IF(Select2=2,MSW!$K83,"")</f>
        <v/>
      </c>
      <c r="K81" s="742">
        <f>Industry!$K83</f>
        <v>0</v>
      </c>
      <c r="L81" s="743">
        <f t="shared" si="3"/>
        <v>4.2956262763507648E-2</v>
      </c>
      <c r="M81" s="744">
        <f>Recovery_OX!C76</f>
        <v>0</v>
      </c>
      <c r="N81" s="699"/>
      <c r="O81" s="745">
        <f>(L81-M81)*(1-Recovery_OX!F76)</f>
        <v>4.2956262763507648E-2</v>
      </c>
      <c r="P81" s="691"/>
      <c r="Q81" s="701"/>
      <c r="S81" s="739">
        <f t="shared" si="2"/>
        <v>2064</v>
      </c>
      <c r="T81" s="740">
        <f>IF(Select2=1,Food!$W83,"")</f>
        <v>2.1434311303908267E-6</v>
      </c>
      <c r="U81" s="741">
        <f>IF(Select2=1,Paper!$W83,"")</f>
        <v>6.8308228940456711E-2</v>
      </c>
      <c r="V81" s="732">
        <f>IF(Select2=1,Nappies!$W83,"")</f>
        <v>0</v>
      </c>
      <c r="W81" s="741">
        <f>IF(Select2=1,Garden!$W83,"")</f>
        <v>0</v>
      </c>
      <c r="X81" s="732">
        <f>IF(Select2=1,Wood!$W83,"")</f>
        <v>0.12608836527320524</v>
      </c>
      <c r="Y81" s="741">
        <f>IF(Select2=1,Textiles!$W83,"")</f>
        <v>8.5782427041503767E-3</v>
      </c>
      <c r="Z81" s="734">
        <f>Sludge!W83</f>
        <v>0</v>
      </c>
      <c r="AA81" s="734" t="str">
        <f>IF(Select2=2,MSW!$W83,"")</f>
        <v/>
      </c>
      <c r="AB81" s="742">
        <f>Industry!$W83</f>
        <v>0</v>
      </c>
      <c r="AC81" s="743">
        <f t="shared" ref="AC81:AC97" si="5">SUM(T81:AA81)</f>
        <v>0.20297698034894274</v>
      </c>
      <c r="AD81" s="744">
        <f>Recovery_OX!R76</f>
        <v>0</v>
      </c>
      <c r="AE81" s="699"/>
      <c r="AF81" s="746">
        <f>(AC81-AD81)*(1-Recovery_OX!U76)</f>
        <v>0.20297698034894274</v>
      </c>
    </row>
    <row r="82" spans="2:32">
      <c r="B82" s="739">
        <f t="shared" ref="B82:B97" si="6">B81+1</f>
        <v>2065</v>
      </c>
      <c r="C82" s="740">
        <f>IF(Select2=1,Food!$K84,"")</f>
        <v>2.1475144284420466E-6</v>
      </c>
      <c r="D82" s="741">
        <f>IF(Select2=1,Paper!$K84,"")</f>
        <v>3.0826042528196419E-2</v>
      </c>
      <c r="E82" s="732">
        <f>IF(Select2=1,Nappies!$K84,"")</f>
        <v>1.7415180334637392E-3</v>
      </c>
      <c r="F82" s="741">
        <f>IF(Select2=1,Garden!$K84,"")</f>
        <v>0</v>
      </c>
      <c r="G82" s="732">
        <f>IF(Select2=1,Wood!$K84,"")</f>
        <v>0</v>
      </c>
      <c r="H82" s="741">
        <f>IF(Select2=1,Textiles!$K84,"")</f>
        <v>7.29844919074033E-3</v>
      </c>
      <c r="I82" s="742">
        <f>Sludge!K84</f>
        <v>0</v>
      </c>
      <c r="J82" s="742" t="str">
        <f>IF(Select2=2,MSW!$K84,"")</f>
        <v/>
      </c>
      <c r="K82" s="742">
        <f>Industry!$K84</f>
        <v>0</v>
      </c>
      <c r="L82" s="743">
        <f t="shared" si="3"/>
        <v>3.9868157266828928E-2</v>
      </c>
      <c r="M82" s="744">
        <f>Recovery_OX!C77</f>
        <v>0</v>
      </c>
      <c r="N82" s="699"/>
      <c r="O82" s="745">
        <f>(L82-M82)*(1-Recovery_OX!F77)</f>
        <v>3.9868157266828928E-2</v>
      </c>
      <c r="P82" s="691"/>
      <c r="Q82" s="701"/>
      <c r="S82" s="739">
        <f t="shared" ref="S82:S97" si="7">S81+1</f>
        <v>2065</v>
      </c>
      <c r="T82" s="740">
        <f>IF(Select2=1,Food!$W84,"")</f>
        <v>1.4367848539978014E-6</v>
      </c>
      <c r="U82" s="741">
        <f>IF(Select2=1,Paper!$W84,"")</f>
        <v>6.3690170512802471E-2</v>
      </c>
      <c r="V82" s="732">
        <f>IF(Select2=1,Nappies!$W84,"")</f>
        <v>0</v>
      </c>
      <c r="W82" s="741">
        <f>IF(Select2=1,Garden!$W84,"")</f>
        <v>0</v>
      </c>
      <c r="X82" s="732">
        <f>IF(Select2=1,Wood!$W84,"")</f>
        <v>0.12175160843486944</v>
      </c>
      <c r="Y82" s="741">
        <f>IF(Select2=1,Textiles!$W84,"")</f>
        <v>7.9983004830031009E-3</v>
      </c>
      <c r="Z82" s="734">
        <f>Sludge!W84</f>
        <v>0</v>
      </c>
      <c r="AA82" s="734" t="str">
        <f>IF(Select2=2,MSW!$W84,"")</f>
        <v/>
      </c>
      <c r="AB82" s="742">
        <f>Industry!$W84</f>
        <v>0</v>
      </c>
      <c r="AC82" s="743">
        <f t="shared" si="5"/>
        <v>0.19344151621552902</v>
      </c>
      <c r="AD82" s="744">
        <f>Recovery_OX!R77</f>
        <v>0</v>
      </c>
      <c r="AE82" s="699"/>
      <c r="AF82" s="746">
        <f>(AC82-AD82)*(1-Recovery_OX!U77)</f>
        <v>0.19344151621552902</v>
      </c>
    </row>
    <row r="83" spans="2:32">
      <c r="B83" s="739">
        <f t="shared" si="6"/>
        <v>2066</v>
      </c>
      <c r="C83" s="740">
        <f>IF(Select2=1,Food!$K85,"")</f>
        <v>1.4395219705354724E-6</v>
      </c>
      <c r="D83" s="741">
        <f>IF(Select2=1,Paper!$K85,"")</f>
        <v>2.8742011545448275E-2</v>
      </c>
      <c r="E83" s="732">
        <f>IF(Select2=1,Nappies!$K85,"")</f>
        <v>1.4692574923014803E-3</v>
      </c>
      <c r="F83" s="741">
        <f>IF(Select2=1,Garden!$K85,"")</f>
        <v>0</v>
      </c>
      <c r="G83" s="732">
        <f>IF(Select2=1,Wood!$K85,"")</f>
        <v>0</v>
      </c>
      <c r="H83" s="741">
        <f>IF(Select2=1,Textiles!$K85,"")</f>
        <v>6.8050289203438526E-3</v>
      </c>
      <c r="I83" s="742">
        <f>Sludge!K85</f>
        <v>0</v>
      </c>
      <c r="J83" s="742" t="str">
        <f>IF(Select2=2,MSW!$K85,"")</f>
        <v/>
      </c>
      <c r="K83" s="742">
        <f>Industry!$K85</f>
        <v>0</v>
      </c>
      <c r="L83" s="743">
        <f t="shared" ref="L83:L97" si="8">SUM(C83:K83)</f>
        <v>3.7017737480064143E-2</v>
      </c>
      <c r="M83" s="744">
        <f>Recovery_OX!C78</f>
        <v>0</v>
      </c>
      <c r="N83" s="699"/>
      <c r="O83" s="745">
        <f>(L83-M83)*(1-Recovery_OX!F78)</f>
        <v>3.7017737480064143E-2</v>
      </c>
      <c r="P83" s="691"/>
      <c r="Q83" s="701"/>
      <c r="S83" s="739">
        <f t="shared" si="7"/>
        <v>2066</v>
      </c>
      <c r="T83" s="740">
        <f>IF(Select2=1,Food!$W85,"")</f>
        <v>9.6310568947511553E-7</v>
      </c>
      <c r="U83" s="741">
        <f>IF(Select2=1,Paper!$W85,"")</f>
        <v>5.9384321374893086E-2</v>
      </c>
      <c r="V83" s="732">
        <f>IF(Select2=1,Nappies!$W85,"")</f>
        <v>0</v>
      </c>
      <c r="W83" s="741">
        <f>IF(Select2=1,Garden!$W85,"")</f>
        <v>0</v>
      </c>
      <c r="X83" s="732">
        <f>IF(Select2=1,Wood!$W85,"")</f>
        <v>0.11756401254278034</v>
      </c>
      <c r="Y83" s="741">
        <f>IF(Select2=1,Textiles!$W85,"")</f>
        <v>7.4575659401028534E-3</v>
      </c>
      <c r="Z83" s="734">
        <f>Sludge!W85</f>
        <v>0</v>
      </c>
      <c r="AA83" s="734" t="str">
        <f>IF(Select2=2,MSW!$W85,"")</f>
        <v/>
      </c>
      <c r="AB83" s="742">
        <f>Industry!$W85</f>
        <v>0</v>
      </c>
      <c r="AC83" s="743">
        <f t="shared" si="5"/>
        <v>0.18440686296346576</v>
      </c>
      <c r="AD83" s="744">
        <f>Recovery_OX!R78</f>
        <v>0</v>
      </c>
      <c r="AE83" s="699"/>
      <c r="AF83" s="746">
        <f>(AC83-AD83)*(1-Recovery_OX!U78)</f>
        <v>0.18440686296346576</v>
      </c>
    </row>
    <row r="84" spans="2:32">
      <c r="B84" s="739">
        <f t="shared" si="6"/>
        <v>2067</v>
      </c>
      <c r="C84" s="740">
        <f>IF(Select2=1,Food!$K86,"")</f>
        <v>9.64940433558652E-7</v>
      </c>
      <c r="D84" s="741">
        <f>IF(Select2=1,Paper!$K86,"")</f>
        <v>2.6798873936641383E-2</v>
      </c>
      <c r="E84" s="732">
        <f>IF(Select2=1,Nappies!$K86,"")</f>
        <v>1.2395608527753909E-3</v>
      </c>
      <c r="F84" s="741">
        <f>IF(Select2=1,Garden!$K86,"")</f>
        <v>0</v>
      </c>
      <c r="G84" s="732">
        <f>IF(Select2=1,Wood!$K86,"")</f>
        <v>0</v>
      </c>
      <c r="H84" s="741">
        <f>IF(Select2=1,Textiles!$K86,"")</f>
        <v>6.3449669096098567E-3</v>
      </c>
      <c r="I84" s="742">
        <f>Sludge!K86</f>
        <v>0</v>
      </c>
      <c r="J84" s="742" t="str">
        <f>IF(Select2=2,MSW!$K86,"")</f>
        <v/>
      </c>
      <c r="K84" s="742">
        <f>Industry!$K86</f>
        <v>0</v>
      </c>
      <c r="L84" s="743">
        <f t="shared" si="8"/>
        <v>3.4384366639460193E-2</v>
      </c>
      <c r="M84" s="744">
        <f>Recovery_OX!C79</f>
        <v>0</v>
      </c>
      <c r="N84" s="699"/>
      <c r="O84" s="745">
        <f>(L84-M84)*(1-Recovery_OX!F79)</f>
        <v>3.4384366639460193E-2</v>
      </c>
      <c r="P84" s="691"/>
      <c r="Q84" s="701"/>
      <c r="S84" s="739">
        <f t="shared" si="7"/>
        <v>2067</v>
      </c>
      <c r="T84" s="740">
        <f>IF(Select2=1,Food!$W86,"")</f>
        <v>6.4558905010614572E-7</v>
      </c>
      <c r="U84" s="741">
        <f>IF(Select2=1,Paper!$W86,"")</f>
        <v>5.5369574249259021E-2</v>
      </c>
      <c r="V84" s="732">
        <f>IF(Select2=1,Nappies!$W86,"")</f>
        <v>0</v>
      </c>
      <c r="W84" s="741">
        <f>IF(Select2=1,Garden!$W86,"")</f>
        <v>0</v>
      </c>
      <c r="X84" s="732">
        <f>IF(Select2=1,Wood!$W86,"")</f>
        <v>0.11352044726828117</v>
      </c>
      <c r="Y84" s="741">
        <f>IF(Select2=1,Textiles!$W86,"")</f>
        <v>6.9533883940929939E-3</v>
      </c>
      <c r="Z84" s="734">
        <f>Sludge!W86</f>
        <v>0</v>
      </c>
      <c r="AA84" s="734" t="str">
        <f>IF(Select2=2,MSW!$W86,"")</f>
        <v/>
      </c>
      <c r="AB84" s="742">
        <f>Industry!$W86</f>
        <v>0</v>
      </c>
      <c r="AC84" s="743">
        <f t="shared" si="5"/>
        <v>0.17584405550068327</v>
      </c>
      <c r="AD84" s="744">
        <f>Recovery_OX!R79</f>
        <v>0</v>
      </c>
      <c r="AE84" s="699"/>
      <c r="AF84" s="746">
        <f>(AC84-AD84)*(1-Recovery_OX!U79)</f>
        <v>0.17584405550068327</v>
      </c>
    </row>
    <row r="85" spans="2:32">
      <c r="B85" s="739">
        <f t="shared" si="6"/>
        <v>2068</v>
      </c>
      <c r="C85" s="740">
        <f>IF(Select2=1,Food!$K87,"")</f>
        <v>6.468189158446855E-7</v>
      </c>
      <c r="D85" s="741">
        <f>IF(Select2=1,Paper!$K87,"")</f>
        <v>2.4987104438963018E-2</v>
      </c>
      <c r="E85" s="732">
        <f>IF(Select2=1,Nappies!$K87,"")</f>
        <v>1.0457738795168073E-3</v>
      </c>
      <c r="F85" s="741">
        <f>IF(Select2=1,Garden!$K87,"")</f>
        <v>0</v>
      </c>
      <c r="G85" s="732">
        <f>IF(Select2=1,Wood!$K87,"")</f>
        <v>0</v>
      </c>
      <c r="H85" s="741">
        <f>IF(Select2=1,Textiles!$K87,"")</f>
        <v>5.9160079340279739E-3</v>
      </c>
      <c r="I85" s="742">
        <f>Sludge!K87</f>
        <v>0</v>
      </c>
      <c r="J85" s="742" t="str">
        <f>IF(Select2=2,MSW!$K87,"")</f>
        <v/>
      </c>
      <c r="K85" s="742">
        <f>Industry!$K87</f>
        <v>0</v>
      </c>
      <c r="L85" s="743">
        <f t="shared" si="8"/>
        <v>3.1949533071423647E-2</v>
      </c>
      <c r="M85" s="744">
        <f>Recovery_OX!C80</f>
        <v>0</v>
      </c>
      <c r="N85" s="699"/>
      <c r="O85" s="745">
        <f>(L85-M85)*(1-Recovery_OX!F80)</f>
        <v>3.1949533071423647E-2</v>
      </c>
      <c r="P85" s="691"/>
      <c r="Q85" s="701"/>
      <c r="S85" s="739">
        <f t="shared" si="7"/>
        <v>2068</v>
      </c>
      <c r="T85" s="740">
        <f>IF(Select2=1,Food!$W87,"")</f>
        <v>4.3275128178725624E-7</v>
      </c>
      <c r="U85" s="741">
        <f>IF(Select2=1,Paper!$W87,"")</f>
        <v>5.1626248840832646E-2</v>
      </c>
      <c r="V85" s="732">
        <f>IF(Select2=1,Nappies!$W87,"")</f>
        <v>0</v>
      </c>
      <c r="W85" s="741">
        <f>IF(Select2=1,Garden!$W87,"")</f>
        <v>0</v>
      </c>
      <c r="X85" s="732">
        <f>IF(Select2=1,Wood!$W87,"")</f>
        <v>0.10961595873823378</v>
      </c>
      <c r="Y85" s="741">
        <f>IF(Select2=1,Textiles!$W87,"")</f>
        <v>6.4832963660580549E-3</v>
      </c>
      <c r="Z85" s="734">
        <f>Sludge!W87</f>
        <v>0</v>
      </c>
      <c r="AA85" s="734" t="str">
        <f>IF(Select2=2,MSW!$W87,"")</f>
        <v/>
      </c>
      <c r="AB85" s="742">
        <f>Industry!$W87</f>
        <v>0</v>
      </c>
      <c r="AC85" s="743">
        <f t="shared" si="5"/>
        <v>0.16772593669640626</v>
      </c>
      <c r="AD85" s="744">
        <f>Recovery_OX!R80</f>
        <v>0</v>
      </c>
      <c r="AE85" s="699"/>
      <c r="AF85" s="746">
        <f>(AC85-AD85)*(1-Recovery_OX!U80)</f>
        <v>0.16772593669640626</v>
      </c>
    </row>
    <row r="86" spans="2:32">
      <c r="B86" s="739">
        <f t="shared" si="6"/>
        <v>2069</v>
      </c>
      <c r="C86" s="740">
        <f>IF(Select2=1,Food!$K88,"")</f>
        <v>4.3357568544573199E-7</v>
      </c>
      <c r="D86" s="741">
        <f>IF(Select2=1,Paper!$K88,"")</f>
        <v>2.3297821756233603E-2</v>
      </c>
      <c r="E86" s="732">
        <f>IF(Select2=1,Nappies!$K88,"")</f>
        <v>8.8228262826383578E-4</v>
      </c>
      <c r="F86" s="741">
        <f>IF(Select2=1,Garden!$K88,"")</f>
        <v>0</v>
      </c>
      <c r="G86" s="732">
        <f>IF(Select2=1,Wood!$K88,"")</f>
        <v>0</v>
      </c>
      <c r="H86" s="741">
        <f>IF(Select2=1,Textiles!$K88,"")</f>
        <v>5.5160492362022404E-3</v>
      </c>
      <c r="I86" s="742">
        <f>Sludge!K88</f>
        <v>0</v>
      </c>
      <c r="J86" s="742" t="str">
        <f>IF(Select2=2,MSW!$K88,"")</f>
        <v/>
      </c>
      <c r="K86" s="742">
        <f>Industry!$K88</f>
        <v>0</v>
      </c>
      <c r="L86" s="743">
        <f t="shared" si="8"/>
        <v>2.9696587196385123E-2</v>
      </c>
      <c r="M86" s="744">
        <f>Recovery_OX!C81</f>
        <v>0</v>
      </c>
      <c r="N86" s="699"/>
      <c r="O86" s="745">
        <f>(L86-M86)*(1-Recovery_OX!F81)</f>
        <v>2.9696587196385123E-2</v>
      </c>
      <c r="P86" s="691"/>
      <c r="Q86" s="701"/>
      <c r="S86" s="739">
        <f t="shared" si="7"/>
        <v>2069</v>
      </c>
      <c r="T86" s="740">
        <f>IF(Select2=1,Food!$W88,"")</f>
        <v>2.900818591296155E-7</v>
      </c>
      <c r="U86" s="741">
        <f>IF(Select2=1,Paper!$W88,"")</f>
        <v>4.8135995364118986E-2</v>
      </c>
      <c r="V86" s="732">
        <f>IF(Select2=1,Nappies!$W88,"")</f>
        <v>0</v>
      </c>
      <c r="W86" s="741">
        <f>IF(Select2=1,Garden!$W88,"")</f>
        <v>0</v>
      </c>
      <c r="X86" s="732">
        <f>IF(Select2=1,Wood!$W88,"")</f>
        <v>0.10584576346590446</v>
      </c>
      <c r="Y86" s="741">
        <f>IF(Select2=1,Textiles!$W88,"")</f>
        <v>6.044985464331222E-3</v>
      </c>
      <c r="Z86" s="734">
        <f>Sludge!W88</f>
        <v>0</v>
      </c>
      <c r="AA86" s="734" t="str">
        <f>IF(Select2=2,MSW!$W88,"")</f>
        <v/>
      </c>
      <c r="AB86" s="742">
        <f>Industry!$W88</f>
        <v>0</v>
      </c>
      <c r="AC86" s="743">
        <f t="shared" si="5"/>
        <v>0.16002703437621379</v>
      </c>
      <c r="AD86" s="744">
        <f>Recovery_OX!R81</f>
        <v>0</v>
      </c>
      <c r="AE86" s="699"/>
      <c r="AF86" s="746">
        <f>(AC86-AD86)*(1-Recovery_OX!U81)</f>
        <v>0.16002703437621379</v>
      </c>
    </row>
    <row r="87" spans="2:32">
      <c r="B87" s="739">
        <f t="shared" si="6"/>
        <v>2070</v>
      </c>
      <c r="C87" s="740">
        <f>IF(Select2=1,Food!$K89,"")</f>
        <v>2.9063447342791694E-7</v>
      </c>
      <c r="D87" s="741">
        <f>IF(Select2=1,Paper!$K89,"")</f>
        <v>2.1722745022782559E-2</v>
      </c>
      <c r="E87" s="732">
        <f>IF(Select2=1,Nappies!$K89,"")</f>
        <v>7.4435081176038435E-4</v>
      </c>
      <c r="F87" s="741">
        <f>IF(Select2=1,Garden!$K89,"")</f>
        <v>0</v>
      </c>
      <c r="G87" s="732">
        <f>IF(Select2=1,Wood!$K89,"")</f>
        <v>0</v>
      </c>
      <c r="H87" s="741">
        <f>IF(Select2=1,Textiles!$K89,"")</f>
        <v>5.1431302181318946E-3</v>
      </c>
      <c r="I87" s="742">
        <f>Sludge!K89</f>
        <v>0</v>
      </c>
      <c r="J87" s="742" t="str">
        <f>IF(Select2=2,MSW!$K89,"")</f>
        <v/>
      </c>
      <c r="K87" s="742">
        <f>Industry!$K89</f>
        <v>0</v>
      </c>
      <c r="L87" s="743">
        <f t="shared" si="8"/>
        <v>2.7610516687148267E-2</v>
      </c>
      <c r="M87" s="744">
        <f>Recovery_OX!C82</f>
        <v>0</v>
      </c>
      <c r="N87" s="699"/>
      <c r="O87" s="745">
        <f>(L87-M87)*(1-Recovery_OX!F82)</f>
        <v>2.7610516687148267E-2</v>
      </c>
      <c r="P87" s="691"/>
      <c r="Q87" s="701"/>
      <c r="S87" s="739">
        <f t="shared" si="7"/>
        <v>2070</v>
      </c>
      <c r="T87" s="740">
        <f>IF(Select2=1,Food!$W89,"")</f>
        <v>1.944476851658677E-7</v>
      </c>
      <c r="U87" s="741">
        <f>IF(Select2=1,Paper!$W89,"")</f>
        <v>4.4881704592525919E-2</v>
      </c>
      <c r="V87" s="732">
        <f>IF(Select2=1,Nappies!$W89,"")</f>
        <v>0</v>
      </c>
      <c r="W87" s="741">
        <f>IF(Select2=1,Garden!$W89,"")</f>
        <v>0</v>
      </c>
      <c r="X87" s="732">
        <f>IF(Select2=1,Wood!$W89,"")</f>
        <v>0.10220524249059461</v>
      </c>
      <c r="Y87" s="741">
        <f>IF(Select2=1,Textiles!$W89,"")</f>
        <v>5.6363070883637201E-3</v>
      </c>
      <c r="Z87" s="734">
        <f>Sludge!W89</f>
        <v>0</v>
      </c>
      <c r="AA87" s="734" t="str">
        <f>IF(Select2=2,MSW!$W89,"")</f>
        <v/>
      </c>
      <c r="AB87" s="742">
        <f>Industry!$W89</f>
        <v>0</v>
      </c>
      <c r="AC87" s="743">
        <f t="shared" si="5"/>
        <v>0.15272344861916942</v>
      </c>
      <c r="AD87" s="744">
        <f>Recovery_OX!R82</f>
        <v>0</v>
      </c>
      <c r="AE87" s="699"/>
      <c r="AF87" s="746">
        <f>(AC87-AD87)*(1-Recovery_OX!U82)</f>
        <v>0.15272344861916942</v>
      </c>
    </row>
    <row r="88" spans="2:32">
      <c r="B88" s="739">
        <f t="shared" si="6"/>
        <v>2071</v>
      </c>
      <c r="C88" s="740">
        <f>IF(Select2=1,Food!$K90,"")</f>
        <v>1.9481811360774506E-7</v>
      </c>
      <c r="D88" s="741">
        <f>IF(Select2=1,Paper!$K90,"")</f>
        <v>2.0254153210635156E-2</v>
      </c>
      <c r="E88" s="732">
        <f>IF(Select2=1,Nappies!$K90,"")</f>
        <v>6.2798259108719397E-4</v>
      </c>
      <c r="F88" s="741">
        <f>IF(Select2=1,Garden!$K90,"")</f>
        <v>0</v>
      </c>
      <c r="G88" s="732">
        <f>IF(Select2=1,Wood!$K90,"")</f>
        <v>0</v>
      </c>
      <c r="H88" s="741">
        <f>IF(Select2=1,Textiles!$K90,"")</f>
        <v>4.7954228303577102E-3</v>
      </c>
      <c r="I88" s="742">
        <f>Sludge!K90</f>
        <v>0</v>
      </c>
      <c r="J88" s="742" t="str">
        <f>IF(Select2=2,MSW!$K90,"")</f>
        <v/>
      </c>
      <c r="K88" s="742">
        <f>Industry!$K90</f>
        <v>0</v>
      </c>
      <c r="L88" s="743">
        <f t="shared" si="8"/>
        <v>2.5677753450193668E-2</v>
      </c>
      <c r="M88" s="744">
        <f>Recovery_OX!C83</f>
        <v>0</v>
      </c>
      <c r="N88" s="699"/>
      <c r="O88" s="745">
        <f>(L88-M88)*(1-Recovery_OX!F83)</f>
        <v>2.5677753450193668E-2</v>
      </c>
      <c r="P88" s="691"/>
      <c r="Q88" s="701"/>
      <c r="S88" s="739">
        <f t="shared" si="7"/>
        <v>2071</v>
      </c>
      <c r="T88" s="740">
        <f>IF(Select2=1,Food!$W90,"")</f>
        <v>1.3034218127190796E-7</v>
      </c>
      <c r="U88" s="741">
        <f>IF(Select2=1,Paper!$W90,"")</f>
        <v>4.1847423988915583E-2</v>
      </c>
      <c r="V88" s="732">
        <f>IF(Select2=1,Nappies!$W90,"")</f>
        <v>0</v>
      </c>
      <c r="W88" s="741">
        <f>IF(Select2=1,Garden!$W90,"")</f>
        <v>0</v>
      </c>
      <c r="X88" s="732">
        <f>IF(Select2=1,Wood!$W90,"")</f>
        <v>9.8689935718836136E-2</v>
      </c>
      <c r="Y88" s="741">
        <f>IF(Select2=1,Textiles!$W90,"")</f>
        <v>5.2552578962824226E-3</v>
      </c>
      <c r="Z88" s="734">
        <f>Sludge!W90</f>
        <v>0</v>
      </c>
      <c r="AA88" s="734" t="str">
        <f>IF(Select2=2,MSW!$W90,"")</f>
        <v/>
      </c>
      <c r="AB88" s="742">
        <f>Industry!$W90</f>
        <v>0</v>
      </c>
      <c r="AC88" s="743">
        <f t="shared" si="5"/>
        <v>0.14579274794621541</v>
      </c>
      <c r="AD88" s="744">
        <f>Recovery_OX!R83</f>
        <v>0</v>
      </c>
      <c r="AE88" s="699"/>
      <c r="AF88" s="746">
        <f>(AC88-AD88)*(1-Recovery_OX!U83)</f>
        <v>0.14579274794621541</v>
      </c>
    </row>
    <row r="89" spans="2:32">
      <c r="B89" s="739">
        <f t="shared" si="6"/>
        <v>2072</v>
      </c>
      <c r="C89" s="740">
        <f>IF(Select2=1,Food!$K91,"")</f>
        <v>1.3059048688212009E-7</v>
      </c>
      <c r="D89" s="741">
        <f>IF(Select2=1,Paper!$K91,"")</f>
        <v>1.8884847281024436E-2</v>
      </c>
      <c r="E89" s="732">
        <f>IF(Select2=1,Nappies!$K91,"")</f>
        <v>5.298068175352994E-4</v>
      </c>
      <c r="F89" s="741">
        <f>IF(Select2=1,Garden!$K91,"")</f>
        <v>0</v>
      </c>
      <c r="G89" s="732">
        <f>IF(Select2=1,Wood!$K91,"")</f>
        <v>0</v>
      </c>
      <c r="H89" s="741">
        <f>IF(Select2=1,Textiles!$K91,"")</f>
        <v>4.4712226108614191E-3</v>
      </c>
      <c r="I89" s="742">
        <f>Sludge!K91</f>
        <v>0</v>
      </c>
      <c r="J89" s="742" t="str">
        <f>IF(Select2=2,MSW!$K91,"")</f>
        <v/>
      </c>
      <c r="K89" s="742">
        <f>Industry!$K91</f>
        <v>0</v>
      </c>
      <c r="L89" s="743">
        <f t="shared" si="8"/>
        <v>2.3886007299908037E-2</v>
      </c>
      <c r="M89" s="744">
        <f>Recovery_OX!C84</f>
        <v>0</v>
      </c>
      <c r="N89" s="699"/>
      <c r="O89" s="745">
        <f>(L89-M89)*(1-Recovery_OX!F84)</f>
        <v>2.3886007299908037E-2</v>
      </c>
      <c r="P89" s="691"/>
      <c r="Q89" s="701"/>
      <c r="S89" s="739">
        <f t="shared" si="7"/>
        <v>2072</v>
      </c>
      <c r="T89" s="740">
        <f>IF(Select2=1,Food!$W91,"")</f>
        <v>8.7370976950571E-8</v>
      </c>
      <c r="U89" s="741">
        <f>IF(Select2=1,Paper!$W91,"")</f>
        <v>3.901827950624881E-2</v>
      </c>
      <c r="V89" s="732">
        <f>IF(Select2=1,Nappies!$W91,"")</f>
        <v>0</v>
      </c>
      <c r="W89" s="741">
        <f>IF(Select2=1,Garden!$W91,"")</f>
        <v>0</v>
      </c>
      <c r="X89" s="732">
        <f>IF(Select2=1,Wood!$W91,"")</f>
        <v>9.5295536460219238E-2</v>
      </c>
      <c r="Y89" s="741">
        <f>IF(Select2=1,Textiles!$W91,"")</f>
        <v>4.899969984505665E-3</v>
      </c>
      <c r="Z89" s="734">
        <f>Sludge!W91</f>
        <v>0</v>
      </c>
      <c r="AA89" s="734" t="str">
        <f>IF(Select2=2,MSW!$W91,"")</f>
        <v/>
      </c>
      <c r="AB89" s="742">
        <f>Industry!$W91</f>
        <v>0</v>
      </c>
      <c r="AC89" s="743">
        <f t="shared" si="5"/>
        <v>0.13921387332195068</v>
      </c>
      <c r="AD89" s="744">
        <f>Recovery_OX!R84</f>
        <v>0</v>
      </c>
      <c r="AE89" s="699"/>
      <c r="AF89" s="746">
        <f>(AC89-AD89)*(1-Recovery_OX!U84)</f>
        <v>0.13921387332195068</v>
      </c>
    </row>
    <row r="90" spans="2:32">
      <c r="B90" s="739">
        <f t="shared" si="6"/>
        <v>2073</v>
      </c>
      <c r="C90" s="740">
        <f>IF(Select2=1,Food!$K92,"")</f>
        <v>8.7537421178639292E-8</v>
      </c>
      <c r="D90" s="741">
        <f>IF(Select2=1,Paper!$K92,"")</f>
        <v>1.760811489469484E-2</v>
      </c>
      <c r="E90" s="732">
        <f>IF(Select2=1,Nappies!$K92,"")</f>
        <v>4.4697937154743211E-4</v>
      </c>
      <c r="F90" s="741">
        <f>IF(Select2=1,Garden!$K92,"")</f>
        <v>0</v>
      </c>
      <c r="G90" s="732">
        <f>IF(Select2=1,Wood!$K92,"")</f>
        <v>0</v>
      </c>
      <c r="H90" s="741">
        <f>IF(Select2=1,Textiles!$K92,"")</f>
        <v>4.1689403297909258E-3</v>
      </c>
      <c r="I90" s="742">
        <f>Sludge!K92</f>
        <v>0</v>
      </c>
      <c r="J90" s="742" t="str">
        <f>IF(Select2=2,MSW!$K92,"")</f>
        <v/>
      </c>
      <c r="K90" s="742">
        <f>Industry!$K92</f>
        <v>0</v>
      </c>
      <c r="L90" s="743">
        <f t="shared" si="8"/>
        <v>2.2224122133454378E-2</v>
      </c>
      <c r="M90" s="744">
        <f>Recovery_OX!C85</f>
        <v>0</v>
      </c>
      <c r="N90" s="699"/>
      <c r="O90" s="745">
        <f>(L90-M90)*(1-Recovery_OX!F85)</f>
        <v>2.2224122133454378E-2</v>
      </c>
      <c r="P90" s="691"/>
      <c r="Q90" s="701"/>
      <c r="S90" s="739">
        <f t="shared" si="7"/>
        <v>2073</v>
      </c>
      <c r="T90" s="740">
        <f>IF(Select2=1,Food!$W92,"")</f>
        <v>5.8566517291685529E-8</v>
      </c>
      <c r="U90" s="741">
        <f>IF(Select2=1,Paper!$W92,"")</f>
        <v>3.6380402674989307E-2</v>
      </c>
      <c r="V90" s="732">
        <f>IF(Select2=1,Nappies!$W92,"")</f>
        <v>0</v>
      </c>
      <c r="W90" s="741">
        <f>IF(Select2=1,Garden!$W92,"")</f>
        <v>0</v>
      </c>
      <c r="X90" s="732">
        <f>IF(Select2=1,Wood!$W92,"")</f>
        <v>9.2017886151158107E-2</v>
      </c>
      <c r="Y90" s="741">
        <f>IF(Select2=1,Textiles!$W92,"")</f>
        <v>4.5687017312777273E-3</v>
      </c>
      <c r="Z90" s="734">
        <f>Sludge!W92</f>
        <v>0</v>
      </c>
      <c r="AA90" s="734" t="str">
        <f>IF(Select2=2,MSW!$W92,"")</f>
        <v/>
      </c>
      <c r="AB90" s="742">
        <f>Industry!$W92</f>
        <v>0</v>
      </c>
      <c r="AC90" s="743">
        <f t="shared" si="5"/>
        <v>0.13296704912394242</v>
      </c>
      <c r="AD90" s="744">
        <f>Recovery_OX!R85</f>
        <v>0</v>
      </c>
      <c r="AE90" s="699"/>
      <c r="AF90" s="746">
        <f>(AC90-AD90)*(1-Recovery_OX!U85)</f>
        <v>0.13296704912394242</v>
      </c>
    </row>
    <row r="91" spans="2:32">
      <c r="B91" s="739">
        <f t="shared" si="6"/>
        <v>2074</v>
      </c>
      <c r="C91" s="740">
        <f>IF(Select2=1,Food!$K93,"")</f>
        <v>5.8678088194306638E-8</v>
      </c>
      <c r="D91" s="741">
        <f>IF(Select2=1,Paper!$K93,"")</f>
        <v>1.6417697508007346E-2</v>
      </c>
      <c r="E91" s="732">
        <f>IF(Select2=1,Nappies!$K93,"")</f>
        <v>3.7710076951893111E-4</v>
      </c>
      <c r="F91" s="741">
        <f>IF(Select2=1,Garden!$K93,"")</f>
        <v>0</v>
      </c>
      <c r="G91" s="732">
        <f>IF(Select2=1,Wood!$K93,"")</f>
        <v>0</v>
      </c>
      <c r="H91" s="741">
        <f>IF(Select2=1,Textiles!$K93,"")</f>
        <v>3.8870941990537256E-3</v>
      </c>
      <c r="I91" s="742">
        <f>Sludge!K93</f>
        <v>0</v>
      </c>
      <c r="J91" s="742" t="str">
        <f>IF(Select2=2,MSW!$K93,"")</f>
        <v/>
      </c>
      <c r="K91" s="742">
        <f>Industry!$K93</f>
        <v>0</v>
      </c>
      <c r="L91" s="743">
        <f t="shared" si="8"/>
        <v>2.0681951154668195E-2</v>
      </c>
      <c r="M91" s="744">
        <f>Recovery_OX!C86</f>
        <v>0</v>
      </c>
      <c r="N91" s="699"/>
      <c r="O91" s="745">
        <f>(L91-M91)*(1-Recovery_OX!F86)</f>
        <v>2.0681951154668195E-2</v>
      </c>
      <c r="P91" s="691"/>
      <c r="Q91" s="701"/>
      <c r="S91" s="739">
        <f t="shared" si="7"/>
        <v>2074</v>
      </c>
      <c r="T91" s="740">
        <f>IF(Select2=1,Food!$W93,"")</f>
        <v>3.9258310567109714E-8</v>
      </c>
      <c r="U91" s="741">
        <f>IF(Select2=1,Paper!$W93,"")</f>
        <v>3.3920862619849862E-2</v>
      </c>
      <c r="V91" s="732">
        <f>IF(Select2=1,Nappies!$W93,"")</f>
        <v>0</v>
      </c>
      <c r="W91" s="741">
        <f>IF(Select2=1,Garden!$W93,"")</f>
        <v>0</v>
      </c>
      <c r="X91" s="732">
        <f>IF(Select2=1,Wood!$W93,"")</f>
        <v>8.8852969260130393E-2</v>
      </c>
      <c r="Y91" s="741">
        <f>IF(Select2=1,Textiles!$W93,"")</f>
        <v>4.2598292592369597E-3</v>
      </c>
      <c r="Z91" s="734">
        <f>Sludge!W93</f>
        <v>0</v>
      </c>
      <c r="AA91" s="734" t="str">
        <f>IF(Select2=2,MSW!$W93,"")</f>
        <v/>
      </c>
      <c r="AB91" s="742">
        <f>Industry!$W93</f>
        <v>0</v>
      </c>
      <c r="AC91" s="743">
        <f t="shared" si="5"/>
        <v>0.12703370039752779</v>
      </c>
      <c r="AD91" s="744">
        <f>Recovery_OX!R86</f>
        <v>0</v>
      </c>
      <c r="AE91" s="699"/>
      <c r="AF91" s="746">
        <f>(AC91-AD91)*(1-Recovery_OX!U86)</f>
        <v>0.12703370039752779</v>
      </c>
    </row>
    <row r="92" spans="2:32">
      <c r="B92" s="739">
        <f t="shared" si="6"/>
        <v>2075</v>
      </c>
      <c r="C92" s="740">
        <f>IF(Select2=1,Food!$K94,"")</f>
        <v>3.9333098779690927E-8</v>
      </c>
      <c r="D92" s="741">
        <f>IF(Select2=1,Paper!$K94,"")</f>
        <v>1.5307759693551339E-2</v>
      </c>
      <c r="E92" s="732">
        <f>IF(Select2=1,Nappies!$K94,"")</f>
        <v>3.181466515545442E-4</v>
      </c>
      <c r="F92" s="741">
        <f>IF(Select2=1,Garden!$K94,"")</f>
        <v>0</v>
      </c>
      <c r="G92" s="732">
        <f>IF(Select2=1,Wood!$K94,"")</f>
        <v>0</v>
      </c>
      <c r="H92" s="741">
        <f>IF(Select2=1,Textiles!$K94,"")</f>
        <v>3.6243026085899556E-3</v>
      </c>
      <c r="I92" s="742">
        <f>Sludge!K94</f>
        <v>0</v>
      </c>
      <c r="J92" s="742" t="str">
        <f>IF(Select2=2,MSW!$K94,"")</f>
        <v/>
      </c>
      <c r="K92" s="742">
        <f>Industry!$K94</f>
        <v>0</v>
      </c>
      <c r="L92" s="743">
        <f t="shared" si="8"/>
        <v>1.9250248286794617E-2</v>
      </c>
      <c r="M92" s="744">
        <f>Recovery_OX!C87</f>
        <v>0</v>
      </c>
      <c r="N92" s="699"/>
      <c r="O92" s="745">
        <f>(L92-M92)*(1-Recovery_OX!F87)</f>
        <v>1.9250248286794617E-2</v>
      </c>
      <c r="P92" s="691"/>
      <c r="Q92" s="701"/>
      <c r="S92" s="739">
        <f t="shared" si="7"/>
        <v>2075</v>
      </c>
      <c r="T92" s="740">
        <f>IF(Select2=1,Food!$W94,"")</f>
        <v>2.631563254662641E-8</v>
      </c>
      <c r="U92" s="741">
        <f>IF(Select2=1,Paper!$W94,"")</f>
        <v>3.1627602672626702E-2</v>
      </c>
      <c r="V92" s="732">
        <f>IF(Select2=1,Nappies!$W94,"")</f>
        <v>0</v>
      </c>
      <c r="W92" s="741">
        <f>IF(Select2=1,Garden!$W94,"")</f>
        <v>0</v>
      </c>
      <c r="X92" s="732">
        <f>IF(Select2=1,Wood!$W94,"")</f>
        <v>8.5796908368148961E-2</v>
      </c>
      <c r="Y92" s="741">
        <f>IF(Select2=1,Textiles!$W94,"")</f>
        <v>3.9718384751670742E-3</v>
      </c>
      <c r="Z92" s="734">
        <f>Sludge!W94</f>
        <v>0</v>
      </c>
      <c r="AA92" s="734" t="str">
        <f>IF(Select2=2,MSW!$W94,"")</f>
        <v/>
      </c>
      <c r="AB92" s="742">
        <f>Industry!$W94</f>
        <v>0</v>
      </c>
      <c r="AC92" s="743">
        <f t="shared" si="5"/>
        <v>0.12139637583157528</v>
      </c>
      <c r="AD92" s="744">
        <f>Recovery_OX!R87</f>
        <v>0</v>
      </c>
      <c r="AE92" s="699"/>
      <c r="AF92" s="746">
        <f>(AC92-AD92)*(1-Recovery_OX!U87)</f>
        <v>0.12139637583157528</v>
      </c>
    </row>
    <row r="93" spans="2:32">
      <c r="B93" s="739">
        <f t="shared" si="6"/>
        <v>2076</v>
      </c>
      <c r="C93" s="740">
        <f>IF(Select2=1,Food!$K95,"")</f>
        <v>2.6365764584726772E-8</v>
      </c>
      <c r="D93" s="741">
        <f>IF(Select2=1,Paper!$K95,"")</f>
        <v>1.4272860534872641E-2</v>
      </c>
      <c r="E93" s="732">
        <f>IF(Select2=1,Nappies!$K95,"")</f>
        <v>2.6840913643451814E-4</v>
      </c>
      <c r="F93" s="741">
        <f>IF(Select2=1,Garden!$K95,"")</f>
        <v>0</v>
      </c>
      <c r="G93" s="732">
        <f>IF(Select2=1,Wood!$K95,"")</f>
        <v>0</v>
      </c>
      <c r="H93" s="741">
        <f>IF(Select2=1,Textiles!$K95,"")</f>
        <v>3.3792773537182812E-3</v>
      </c>
      <c r="I93" s="742">
        <f>Sludge!K95</f>
        <v>0</v>
      </c>
      <c r="J93" s="742" t="str">
        <f>IF(Select2=2,MSW!$K95,"")</f>
        <v/>
      </c>
      <c r="K93" s="742">
        <f>Industry!$K95</f>
        <v>0</v>
      </c>
      <c r="L93" s="743">
        <f t="shared" si="8"/>
        <v>1.7920573390790027E-2</v>
      </c>
      <c r="M93" s="744">
        <f>Recovery_OX!C88</f>
        <v>0</v>
      </c>
      <c r="N93" s="699"/>
      <c r="O93" s="745">
        <f>(L93-M93)*(1-Recovery_OX!F88)</f>
        <v>1.7920573390790027E-2</v>
      </c>
      <c r="P93" s="691"/>
      <c r="Q93" s="701"/>
      <c r="S93" s="739">
        <f t="shared" si="7"/>
        <v>2076</v>
      </c>
      <c r="T93" s="740">
        <f>IF(Select2=1,Food!$W95,"")</f>
        <v>1.7639896020111584E-8</v>
      </c>
      <c r="U93" s="741">
        <f>IF(Select2=1,Paper!$W95,"")</f>
        <v>2.9489381270397994E-2</v>
      </c>
      <c r="V93" s="732">
        <f>IF(Select2=1,Nappies!$W95,"")</f>
        <v>0</v>
      </c>
      <c r="W93" s="741">
        <f>IF(Select2=1,Garden!$W95,"")</f>
        <v>0</v>
      </c>
      <c r="X93" s="732">
        <f>IF(Select2=1,Wood!$W95,"")</f>
        <v>8.2845959418438767E-2</v>
      </c>
      <c r="Y93" s="741">
        <f>IF(Select2=1,Textiles!$W95,"")</f>
        <v>3.7033176479104456E-3</v>
      </c>
      <c r="Z93" s="734">
        <f>Sludge!W95</f>
        <v>0</v>
      </c>
      <c r="AA93" s="734" t="str">
        <f>IF(Select2=2,MSW!$W95,"")</f>
        <v/>
      </c>
      <c r="AB93" s="742">
        <f>Industry!$W95</f>
        <v>0</v>
      </c>
      <c r="AC93" s="743">
        <f t="shared" si="5"/>
        <v>0.11603867597664323</v>
      </c>
      <c r="AD93" s="744">
        <f>Recovery_OX!R88</f>
        <v>0</v>
      </c>
      <c r="AE93" s="699"/>
      <c r="AF93" s="746">
        <f>(AC93-AD93)*(1-Recovery_OX!U88)</f>
        <v>0.11603867597664323</v>
      </c>
    </row>
    <row r="94" spans="2:32">
      <c r="B94" s="739">
        <f t="shared" si="6"/>
        <v>2077</v>
      </c>
      <c r="C94" s="740">
        <f>IF(Select2=1,Food!$K96,"")</f>
        <v>1.767350053019888E-8</v>
      </c>
      <c r="D94" s="741">
        <f>IF(Select2=1,Paper!$K96,"")</f>
        <v>1.3307926955094758E-2</v>
      </c>
      <c r="E94" s="732">
        <f>IF(Select2=1,Nappies!$K96,"")</f>
        <v>2.2644734486282147E-4</v>
      </c>
      <c r="F94" s="741">
        <f>IF(Select2=1,Garden!$K96,"")</f>
        <v>0</v>
      </c>
      <c r="G94" s="732">
        <f>IF(Select2=1,Wood!$K96,"")</f>
        <v>0</v>
      </c>
      <c r="H94" s="741">
        <f>IF(Select2=1,Textiles!$K96,"")</f>
        <v>3.1508173203550526E-3</v>
      </c>
      <c r="I94" s="742">
        <f>Sludge!K96</f>
        <v>0</v>
      </c>
      <c r="J94" s="742" t="str">
        <f>IF(Select2=2,MSW!$K96,"")</f>
        <v/>
      </c>
      <c r="K94" s="742">
        <f>Industry!$K96</f>
        <v>0</v>
      </c>
      <c r="L94" s="743">
        <f t="shared" si="8"/>
        <v>1.6685209293813161E-2</v>
      </c>
      <c r="M94" s="744">
        <f>Recovery_OX!C89</f>
        <v>0</v>
      </c>
      <c r="N94" s="699"/>
      <c r="O94" s="745">
        <f>(L94-M94)*(1-Recovery_OX!F89)</f>
        <v>1.6685209293813161E-2</v>
      </c>
      <c r="P94" s="691"/>
      <c r="Q94" s="701"/>
      <c r="S94" s="739">
        <f t="shared" si="7"/>
        <v>2077</v>
      </c>
      <c r="T94" s="740">
        <f>IF(Select2=1,Food!$W96,"")</f>
        <v>1.1824375912265086E-8</v>
      </c>
      <c r="U94" s="741">
        <f>IF(Select2=1,Paper!$W96,"")</f>
        <v>2.7495716849369307E-2</v>
      </c>
      <c r="V94" s="732">
        <f>IF(Select2=1,Nappies!$W96,"")</f>
        <v>0</v>
      </c>
      <c r="W94" s="741">
        <f>IF(Select2=1,Garden!$W96,"")</f>
        <v>0</v>
      </c>
      <c r="X94" s="732">
        <f>IF(Select2=1,Wood!$W96,"")</f>
        <v>7.9996507129499031E-2</v>
      </c>
      <c r="Y94" s="741">
        <f>IF(Select2=1,Textiles!$W96,"")</f>
        <v>3.4529504880603315E-3</v>
      </c>
      <c r="Z94" s="734">
        <f>Sludge!W96</f>
        <v>0</v>
      </c>
      <c r="AA94" s="734" t="str">
        <f>IF(Select2=2,MSW!$W96,"")</f>
        <v/>
      </c>
      <c r="AB94" s="742">
        <f>Industry!$W96</f>
        <v>0</v>
      </c>
      <c r="AC94" s="743">
        <f t="shared" si="5"/>
        <v>0.11094518629130459</v>
      </c>
      <c r="AD94" s="744">
        <f>Recovery_OX!R89</f>
        <v>0</v>
      </c>
      <c r="AE94" s="699"/>
      <c r="AF94" s="746">
        <f>(AC94-AD94)*(1-Recovery_OX!U89)</f>
        <v>0.11094518629130459</v>
      </c>
    </row>
    <row r="95" spans="2:32">
      <c r="B95" s="739">
        <f t="shared" si="6"/>
        <v>2078</v>
      </c>
      <c r="C95" s="740">
        <f>IF(Select2=1,Food!$K97,"")</f>
        <v>1.1846901689013809E-8</v>
      </c>
      <c r="D95" s="741">
        <f>IF(Select2=1,Paper!$K97,"")</f>
        <v>1.2408228848690136E-2</v>
      </c>
      <c r="E95" s="732">
        <f>IF(Select2=1,Nappies!$K97,"")</f>
        <v>1.9104565767243033E-4</v>
      </c>
      <c r="F95" s="741">
        <f>IF(Select2=1,Garden!$K97,"")</f>
        <v>0</v>
      </c>
      <c r="G95" s="732">
        <f>IF(Select2=1,Wood!$K97,"")</f>
        <v>0</v>
      </c>
      <c r="H95" s="741">
        <f>IF(Select2=1,Textiles!$K97,"")</f>
        <v>2.9378025971516716E-3</v>
      </c>
      <c r="I95" s="742">
        <f>Sludge!K97</f>
        <v>0</v>
      </c>
      <c r="J95" s="742" t="str">
        <f>IF(Select2=2,MSW!$K97,"")</f>
        <v/>
      </c>
      <c r="K95" s="742">
        <f>Industry!$K97</f>
        <v>0</v>
      </c>
      <c r="L95" s="743">
        <f t="shared" si="8"/>
        <v>1.5537088950415927E-2</v>
      </c>
      <c r="M95" s="744">
        <f>Recovery_OX!C90</f>
        <v>0</v>
      </c>
      <c r="N95" s="699"/>
      <c r="O95" s="745">
        <f>(L95-M95)*(1-Recovery_OX!F90)</f>
        <v>1.5537088950415927E-2</v>
      </c>
      <c r="P95" s="691"/>
      <c r="Q95" s="701"/>
      <c r="S95" s="739">
        <f t="shared" si="7"/>
        <v>2078</v>
      </c>
      <c r="T95" s="740">
        <f>IF(Select2=1,Food!$W97,"")</f>
        <v>7.9261162058522383E-9</v>
      </c>
      <c r="U95" s="741">
        <f>IF(Select2=1,Paper!$W97,"")</f>
        <v>2.5636836464235792E-2</v>
      </c>
      <c r="V95" s="732">
        <f>IF(Select2=1,Nappies!$W97,"")</f>
        <v>0</v>
      </c>
      <c r="W95" s="741">
        <f>IF(Select2=1,Garden!$W97,"")</f>
        <v>0</v>
      </c>
      <c r="X95" s="732">
        <f>IF(Select2=1,Wood!$W97,"")</f>
        <v>7.7245060565931292E-2</v>
      </c>
      <c r="Y95" s="741">
        <f>IF(Select2=1,Textiles!$W97,"")</f>
        <v>3.2195096955086808E-3</v>
      </c>
      <c r="Z95" s="734">
        <f>Sludge!W97</f>
        <v>0</v>
      </c>
      <c r="AA95" s="734" t="str">
        <f>IF(Select2=2,MSW!$W97,"")</f>
        <v/>
      </c>
      <c r="AB95" s="742">
        <f>Industry!$W97</f>
        <v>0</v>
      </c>
      <c r="AC95" s="743">
        <f t="shared" si="5"/>
        <v>0.10610141465179196</v>
      </c>
      <c r="AD95" s="744">
        <f>Recovery_OX!R90</f>
        <v>0</v>
      </c>
      <c r="AE95" s="699"/>
      <c r="AF95" s="746">
        <f>(AC95-AD95)*(1-Recovery_OX!U90)</f>
        <v>0.10610141465179196</v>
      </c>
    </row>
    <row r="96" spans="2:32">
      <c r="B96" s="739">
        <f t="shared" si="6"/>
        <v>2079</v>
      </c>
      <c r="C96" s="740">
        <f>IF(Select2=1,Food!$K98,"")</f>
        <v>7.941215685559429E-9</v>
      </c>
      <c r="D96" s="741">
        <f>IF(Select2=1,Paper!$K98,"")</f>
        <v>1.1569355894497384E-2</v>
      </c>
      <c r="E96" s="732">
        <f>IF(Select2=1,Nappies!$K98,"")</f>
        <v>1.6117849974174646E-4</v>
      </c>
      <c r="F96" s="741">
        <f>IF(Select2=1,Garden!$K98,"")</f>
        <v>0</v>
      </c>
      <c r="G96" s="732">
        <f>IF(Select2=1,Wood!$K98,"")</f>
        <v>0</v>
      </c>
      <c r="H96" s="741">
        <f>IF(Select2=1,Textiles!$K98,"")</f>
        <v>2.739188985687863E-3</v>
      </c>
      <c r="I96" s="742">
        <f>Sludge!K98</f>
        <v>0</v>
      </c>
      <c r="J96" s="742" t="str">
        <f>IF(Select2=2,MSW!$K98,"")</f>
        <v/>
      </c>
      <c r="K96" s="742">
        <f>Industry!$K98</f>
        <v>0</v>
      </c>
      <c r="L96" s="743">
        <f t="shared" si="8"/>
        <v>1.4469731321142678E-2</v>
      </c>
      <c r="M96" s="744">
        <f>Recovery_OX!C91</f>
        <v>0</v>
      </c>
      <c r="N96" s="699"/>
      <c r="O96" s="745">
        <f>(L96-M96)*(1-Recovery_OX!F91)</f>
        <v>1.4469731321142678E-2</v>
      </c>
      <c r="P96" s="689"/>
      <c r="S96" s="739">
        <f t="shared" si="7"/>
        <v>2079</v>
      </c>
      <c r="T96" s="740">
        <f>IF(Select2=1,Food!$W98,"")</f>
        <v>5.3130345799906999E-9</v>
      </c>
      <c r="U96" s="741">
        <f>IF(Select2=1,Paper!$W98,"")</f>
        <v>2.3903627881192914E-2</v>
      </c>
      <c r="V96" s="732">
        <f>IF(Select2=1,Nappies!$W98,"")</f>
        <v>0</v>
      </c>
      <c r="W96" s="741">
        <f>IF(Select2=1,Garden!$W98,"")</f>
        <v>0</v>
      </c>
      <c r="X96" s="732">
        <f>IF(Select2=1,Wood!$W98,"")</f>
        <v>7.4588248861607004E-2</v>
      </c>
      <c r="Y96" s="741">
        <f>IF(Select2=1,Textiles!$W98,"")</f>
        <v>3.0018509432195757E-3</v>
      </c>
      <c r="Z96" s="734">
        <f>Sludge!W98</f>
        <v>0</v>
      </c>
      <c r="AA96" s="734" t="str">
        <f>IF(Select2=2,MSW!$W98,"")</f>
        <v/>
      </c>
      <c r="AB96" s="742">
        <f>Industry!$W98</f>
        <v>0</v>
      </c>
      <c r="AC96" s="743">
        <f t="shared" si="5"/>
        <v>0.10149373299905406</v>
      </c>
      <c r="AD96" s="744">
        <f>Recovery_OX!R91</f>
        <v>0</v>
      </c>
      <c r="AE96" s="699"/>
      <c r="AF96" s="746">
        <f>(AC96-AD96)*(1-Recovery_OX!U91)</f>
        <v>0.10149373299905406</v>
      </c>
    </row>
    <row r="97" spans="2:32" ht="13.5" thickBot="1">
      <c r="B97" s="747">
        <f t="shared" si="6"/>
        <v>2080</v>
      </c>
      <c r="C97" s="748">
        <f>IF(Select2=1,Food!$K99,"")</f>
        <v>5.3231560639231372E-9</v>
      </c>
      <c r="D97" s="749">
        <f>IF(Select2=1,Paper!$K99,"")</f>
        <v>1.0787195936321815E-2</v>
      </c>
      <c r="E97" s="749">
        <f>IF(Select2=1,Nappies!$K99,"")</f>
        <v>1.3598062942390079E-4</v>
      </c>
      <c r="F97" s="749">
        <f>IF(Select2=1,Garden!$K99,"")</f>
        <v>0</v>
      </c>
      <c r="G97" s="749">
        <f>IF(Select2=1,Wood!$K99,"")</f>
        <v>0</v>
      </c>
      <c r="H97" s="749">
        <f>IF(Select2=1,Textiles!$K99,"")</f>
        <v>2.5540028818098063E-3</v>
      </c>
      <c r="I97" s="750">
        <f>Sludge!K99</f>
        <v>0</v>
      </c>
      <c r="J97" s="750" t="str">
        <f>IF(Select2=2,MSW!$K99,"")</f>
        <v/>
      </c>
      <c r="K97" s="742">
        <f>Industry!$K99</f>
        <v>0</v>
      </c>
      <c r="L97" s="743">
        <f t="shared" si="8"/>
        <v>1.3477184770711585E-2</v>
      </c>
      <c r="M97" s="751">
        <f>Recovery_OX!C92</f>
        <v>0</v>
      </c>
      <c r="N97" s="699"/>
      <c r="O97" s="752">
        <f>(L97-M97)*(1-Recovery_OX!F92)</f>
        <v>1.3477184770711585E-2</v>
      </c>
      <c r="S97" s="747">
        <f t="shared" si="7"/>
        <v>2080</v>
      </c>
      <c r="T97" s="748">
        <f>IF(Select2=1,Food!$W99,"")</f>
        <v>3.5614335842483095E-9</v>
      </c>
      <c r="U97" s="749">
        <f>IF(Select2=1,Paper!$W99,"")</f>
        <v>2.2287594909755792E-2</v>
      </c>
      <c r="V97" s="749">
        <f>IF(Select2=1,Nappies!$W99,"")</f>
        <v>0</v>
      </c>
      <c r="W97" s="749">
        <f>IF(Select2=1,Garden!$W99,"")</f>
        <v>0</v>
      </c>
      <c r="X97" s="749">
        <f>IF(Select2=1,Wood!$W99,"")</f>
        <v>7.2022817089934993E-2</v>
      </c>
      <c r="Y97" s="749">
        <f>IF(Select2=1,Textiles!$W99,"")</f>
        <v>2.7989072677367735E-3</v>
      </c>
      <c r="Z97" s="750">
        <f>Sludge!W99</f>
        <v>0</v>
      </c>
      <c r="AA97" s="750" t="str">
        <f>IF(Select2=2,MSW!$W99,"")</f>
        <v/>
      </c>
      <c r="AB97" s="742">
        <f>Industry!$W99</f>
        <v>0</v>
      </c>
      <c r="AC97" s="753">
        <f t="shared" si="5"/>
        <v>9.7109322828861144E-2</v>
      </c>
      <c r="AD97" s="751">
        <f>Recovery_OX!R92</f>
        <v>0</v>
      </c>
      <c r="AE97" s="699"/>
      <c r="AF97" s="754">
        <f>(AC97-AD97)*(1-Recovery_OX!U92)</f>
        <v>9.7109322828861144E-2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15" t="s">
        <v>284</v>
      </c>
      <c r="D8" s="816"/>
      <c r="E8" s="817"/>
      <c r="F8" s="815" t="s">
        <v>285</v>
      </c>
      <c r="G8" s="816"/>
      <c r="H8" s="818"/>
      <c r="I8" s="472"/>
      <c r="J8" s="815" t="s">
        <v>286</v>
      </c>
      <c r="K8" s="816"/>
      <c r="L8" s="818"/>
      <c r="M8" s="819" t="s">
        <v>287</v>
      </c>
      <c r="N8" s="820"/>
      <c r="O8" s="821"/>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0.66348432380736</v>
      </c>
      <c r="E12" s="501">
        <f>Stored_C!G18+Stored_C!M18</f>
        <v>0.54737456714107202</v>
      </c>
      <c r="F12" s="502">
        <f>F11+HWP!C12</f>
        <v>0</v>
      </c>
      <c r="G12" s="500">
        <f>G11+HWP!D12</f>
        <v>0.66348432380736</v>
      </c>
      <c r="H12" s="501">
        <f>H11+HWP!E12</f>
        <v>0.54737456714107202</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0.67676874388992014</v>
      </c>
      <c r="E13" s="510">
        <f>Stored_C!G19+Stored_C!M19</f>
        <v>0.55833421370918401</v>
      </c>
      <c r="F13" s="511">
        <f>F12+HWP!C13</f>
        <v>0</v>
      </c>
      <c r="G13" s="509">
        <f>G12+HWP!D13</f>
        <v>1.3402530676972801</v>
      </c>
      <c r="H13" s="510">
        <f>H12+HWP!E13</f>
        <v>1.1057087808502559</v>
      </c>
      <c r="I13" s="493"/>
      <c r="J13" s="512">
        <f>Garden!J20</f>
        <v>0</v>
      </c>
      <c r="K13" s="513">
        <f>Paper!J20</f>
        <v>2.171013009149185E-2</v>
      </c>
      <c r="L13" s="514">
        <f>Wood!J20</f>
        <v>0</v>
      </c>
      <c r="M13" s="515">
        <f>J13*(1-Recovery_OX!E13)*(1-Recovery_OX!F13)</f>
        <v>0</v>
      </c>
      <c r="N13" s="513">
        <f>K13*(1-Recovery_OX!E13)*(1-Recovery_OX!F13)</f>
        <v>2.171013009149185E-2</v>
      </c>
      <c r="O13" s="514">
        <f>L13*(1-Recovery_OX!E13)*(1-Recovery_OX!F13)</f>
        <v>0</v>
      </c>
    </row>
    <row r="14" spans="2:15">
      <c r="B14" s="507">
        <f t="shared" ref="B14:B77" si="0">B13+1</f>
        <v>1952</v>
      </c>
      <c r="C14" s="508">
        <f>Stored_C!E20</f>
        <v>0</v>
      </c>
      <c r="D14" s="509">
        <f>Stored_C!F20+Stored_C!L20</f>
        <v>0.69220467765504023</v>
      </c>
      <c r="E14" s="510">
        <f>Stored_C!G20+Stored_C!M20</f>
        <v>0.57106885906540805</v>
      </c>
      <c r="F14" s="511">
        <f>F13+HWP!C14</f>
        <v>0</v>
      </c>
      <c r="G14" s="509">
        <f>G13+HWP!D14</f>
        <v>2.0324577453523203</v>
      </c>
      <c r="H14" s="510">
        <f>H13+HWP!E14</f>
        <v>1.676777639915664</v>
      </c>
      <c r="I14" s="493"/>
      <c r="J14" s="512">
        <f>Garden!J21</f>
        <v>0</v>
      </c>
      <c r="K14" s="513">
        <f>Paper!J21</f>
        <v>4.2387205924081559E-2</v>
      </c>
      <c r="L14" s="514">
        <f>Wood!J21</f>
        <v>0</v>
      </c>
      <c r="M14" s="515">
        <f>J14*(1-Recovery_OX!E14)*(1-Recovery_OX!F14)</f>
        <v>0</v>
      </c>
      <c r="N14" s="513">
        <f>K14*(1-Recovery_OX!E14)*(1-Recovery_OX!F14)</f>
        <v>4.2387205924081559E-2</v>
      </c>
      <c r="O14" s="514">
        <f>L14*(1-Recovery_OX!E14)*(1-Recovery_OX!F14)</f>
        <v>0</v>
      </c>
    </row>
    <row r="15" spans="2:15">
      <c r="B15" s="507">
        <f t="shared" si="0"/>
        <v>1953</v>
      </c>
      <c r="C15" s="508">
        <f>Stored_C!E21</f>
        <v>0</v>
      </c>
      <c r="D15" s="509">
        <f>Stored_C!F21+Stored_C!L21</f>
        <v>0.71437761020736001</v>
      </c>
      <c r="E15" s="510">
        <f>Stored_C!G21+Stored_C!M21</f>
        <v>0.58936152842107192</v>
      </c>
      <c r="F15" s="511">
        <f>F14+HWP!C15</f>
        <v>0</v>
      </c>
      <c r="G15" s="509">
        <f>G14+HWP!D15</f>
        <v>2.7468353555596803</v>
      </c>
      <c r="H15" s="510">
        <f>H14+HWP!E15</f>
        <v>2.266139168336736</v>
      </c>
      <c r="I15" s="493"/>
      <c r="J15" s="512">
        <f>Garden!J22</f>
        <v>0</v>
      </c>
      <c r="K15" s="513">
        <f>Paper!J22</f>
        <v>6.2171468870848415E-2</v>
      </c>
      <c r="L15" s="514">
        <f>Wood!J22</f>
        <v>0</v>
      </c>
      <c r="M15" s="515">
        <f>J15*(1-Recovery_OX!E15)*(1-Recovery_OX!F15)</f>
        <v>0</v>
      </c>
      <c r="N15" s="513">
        <f>K15*(1-Recovery_OX!E15)*(1-Recovery_OX!F15)</f>
        <v>6.2171468870848415E-2</v>
      </c>
      <c r="O15" s="514">
        <f>L15*(1-Recovery_OX!E15)*(1-Recovery_OX!F15)</f>
        <v>0</v>
      </c>
    </row>
    <row r="16" spans="2:15">
      <c r="B16" s="507">
        <f t="shared" si="0"/>
        <v>1954</v>
      </c>
      <c r="C16" s="508">
        <f>Stored_C!E22</f>
        <v>0</v>
      </c>
      <c r="D16" s="509">
        <f>Stored_C!F22+Stored_C!L22</f>
        <v>0.7226808498835201</v>
      </c>
      <c r="E16" s="510">
        <f>Stored_C!G22+Stored_C!M22</f>
        <v>0.59621170115390398</v>
      </c>
      <c r="F16" s="511">
        <f>F15+HWP!C16</f>
        <v>0</v>
      </c>
      <c r="G16" s="509">
        <f>G15+HWP!D16</f>
        <v>3.4695162054432003</v>
      </c>
      <c r="H16" s="510">
        <f>H15+HWP!E16</f>
        <v>2.8623508694906401</v>
      </c>
      <c r="I16" s="493"/>
      <c r="J16" s="512">
        <f>Garden!J23</f>
        <v>0</v>
      </c>
      <c r="K16" s="513">
        <f>Paper!J23</f>
        <v>8.1343722573139238E-2</v>
      </c>
      <c r="L16" s="514">
        <f>Wood!J23</f>
        <v>0</v>
      </c>
      <c r="M16" s="515">
        <f>J16*(1-Recovery_OX!E16)*(1-Recovery_OX!F16)</f>
        <v>0</v>
      </c>
      <c r="N16" s="513">
        <f>K16*(1-Recovery_OX!E16)*(1-Recovery_OX!F16)</f>
        <v>8.1343722573139238E-2</v>
      </c>
      <c r="O16" s="514">
        <f>L16*(1-Recovery_OX!E16)*(1-Recovery_OX!F16)</f>
        <v>0</v>
      </c>
    </row>
    <row r="17" spans="2:15">
      <c r="B17" s="507">
        <f t="shared" si="0"/>
        <v>1955</v>
      </c>
      <c r="C17" s="508">
        <f>Stored_C!E23</f>
        <v>0</v>
      </c>
      <c r="D17" s="509">
        <f>Stored_C!F23+Stored_C!L23</f>
        <v>0.74276970235775996</v>
      </c>
      <c r="E17" s="510">
        <f>Stored_C!G23+Stored_C!M23</f>
        <v>0.61278500444515205</v>
      </c>
      <c r="F17" s="511">
        <f>F16+HWP!C17</f>
        <v>0</v>
      </c>
      <c r="G17" s="509">
        <f>G16+HWP!D17</f>
        <v>4.2122859078009602</v>
      </c>
      <c r="H17" s="510">
        <f>H16+HWP!E17</f>
        <v>3.475135873935792</v>
      </c>
      <c r="I17" s="493"/>
      <c r="J17" s="512">
        <f>Garden!J24</f>
        <v>0</v>
      </c>
      <c r="K17" s="513">
        <f>Paper!J24</f>
        <v>9.9491506992208864E-2</v>
      </c>
      <c r="L17" s="514">
        <f>Wood!J24</f>
        <v>0</v>
      </c>
      <c r="M17" s="515">
        <f>J17*(1-Recovery_OX!E17)*(1-Recovery_OX!F17)</f>
        <v>0</v>
      </c>
      <c r="N17" s="513">
        <f>K17*(1-Recovery_OX!E17)*(1-Recovery_OX!F17)</f>
        <v>9.9491506992208864E-2</v>
      </c>
      <c r="O17" s="514">
        <f>L17*(1-Recovery_OX!E17)*(1-Recovery_OX!F17)</f>
        <v>0</v>
      </c>
    </row>
    <row r="18" spans="2:15">
      <c r="B18" s="507">
        <f t="shared" si="0"/>
        <v>1956</v>
      </c>
      <c r="C18" s="508">
        <f>Stored_C!E24</f>
        <v>0</v>
      </c>
      <c r="D18" s="509">
        <f>Stored_C!F24+Stored_C!L24</f>
        <v>0.75133631479104013</v>
      </c>
      <c r="E18" s="510">
        <f>Stored_C!G24+Stored_C!M24</f>
        <v>0.61985245970260816</v>
      </c>
      <c r="F18" s="511">
        <f>F17+HWP!C18</f>
        <v>0</v>
      </c>
      <c r="G18" s="509">
        <f>G17+HWP!D18</f>
        <v>4.9636222225920008</v>
      </c>
      <c r="H18" s="510">
        <f>H17+HWP!E18</f>
        <v>4.0949883336384003</v>
      </c>
      <c r="I18" s="493"/>
      <c r="J18" s="512">
        <f>Garden!J25</f>
        <v>0</v>
      </c>
      <c r="K18" s="513">
        <f>Paper!J25</f>
        <v>0.11706972422941088</v>
      </c>
      <c r="L18" s="514">
        <f>Wood!J25</f>
        <v>0</v>
      </c>
      <c r="M18" s="515">
        <f>J18*(1-Recovery_OX!E18)*(1-Recovery_OX!F18)</f>
        <v>0</v>
      </c>
      <c r="N18" s="513">
        <f>K18*(1-Recovery_OX!E18)*(1-Recovery_OX!F18)</f>
        <v>0.11706972422941088</v>
      </c>
      <c r="O18" s="514">
        <f>L18*(1-Recovery_OX!E18)*(1-Recovery_OX!F18)</f>
        <v>0</v>
      </c>
    </row>
    <row r="19" spans="2:15">
      <c r="B19" s="507">
        <f t="shared" si="0"/>
        <v>1957</v>
      </c>
      <c r="C19" s="508">
        <f>Stored_C!E25</f>
        <v>0</v>
      </c>
      <c r="D19" s="509">
        <f>Stored_C!F25+Stored_C!L25</f>
        <v>0.75967772443200021</v>
      </c>
      <c r="E19" s="510">
        <f>Stored_C!G25+Stored_C!M25</f>
        <v>0.62673412265640016</v>
      </c>
      <c r="F19" s="511">
        <f>F18+HWP!C19</f>
        <v>0</v>
      </c>
      <c r="G19" s="509">
        <f>G18+HWP!D19</f>
        <v>5.7232999470240014</v>
      </c>
      <c r="H19" s="510">
        <f>H18+HWP!E19</f>
        <v>4.7217224562948008</v>
      </c>
      <c r="I19" s="493"/>
      <c r="J19" s="512">
        <f>Garden!J26</f>
        <v>0</v>
      </c>
      <c r="K19" s="513">
        <f>Paper!J26</f>
        <v>0.13373985682273501</v>
      </c>
      <c r="L19" s="514">
        <f>Wood!J26</f>
        <v>0</v>
      </c>
      <c r="M19" s="515">
        <f>J19*(1-Recovery_OX!E19)*(1-Recovery_OX!F19)</f>
        <v>0</v>
      </c>
      <c r="N19" s="513">
        <f>K19*(1-Recovery_OX!E19)*(1-Recovery_OX!F19)</f>
        <v>0.13373985682273501</v>
      </c>
      <c r="O19" s="514">
        <f>L19*(1-Recovery_OX!E19)*(1-Recovery_OX!F19)</f>
        <v>0</v>
      </c>
    </row>
    <row r="20" spans="2:15">
      <c r="B20" s="507">
        <f t="shared" si="0"/>
        <v>1958</v>
      </c>
      <c r="C20" s="508">
        <f>Stored_C!E26</f>
        <v>0</v>
      </c>
      <c r="D20" s="509">
        <f>Stored_C!F26+Stored_C!L26</f>
        <v>0.76771122969023997</v>
      </c>
      <c r="E20" s="510">
        <f>Stored_C!G26+Stored_C!M26</f>
        <v>0.63336176449444803</v>
      </c>
      <c r="F20" s="511">
        <f>F19+HWP!C20</f>
        <v>0</v>
      </c>
      <c r="G20" s="509">
        <f>G19+HWP!D20</f>
        <v>6.4910111767142418</v>
      </c>
      <c r="H20" s="510">
        <f>H19+HWP!E20</f>
        <v>5.3550842207892488</v>
      </c>
      <c r="I20" s="493"/>
      <c r="J20" s="512">
        <f>Garden!J27</f>
        <v>0</v>
      </c>
      <c r="K20" s="513">
        <f>Paper!J27</f>
        <v>0.14955592795749686</v>
      </c>
      <c r="L20" s="514">
        <f>Wood!J27</f>
        <v>0</v>
      </c>
      <c r="M20" s="515">
        <f>J20*(1-Recovery_OX!E20)*(1-Recovery_OX!F20)</f>
        <v>0</v>
      </c>
      <c r="N20" s="513">
        <f>K20*(1-Recovery_OX!E20)*(1-Recovery_OX!F20)</f>
        <v>0.14955592795749686</v>
      </c>
      <c r="O20" s="514">
        <f>L20*(1-Recovery_OX!E20)*(1-Recovery_OX!F20)</f>
        <v>0</v>
      </c>
    </row>
    <row r="21" spans="2:15">
      <c r="B21" s="507">
        <f t="shared" si="0"/>
        <v>1959</v>
      </c>
      <c r="C21" s="508">
        <f>Stored_C!E27</f>
        <v>0</v>
      </c>
      <c r="D21" s="509">
        <f>Stored_C!F27+Stored_C!L27</f>
        <v>0.77533377166080009</v>
      </c>
      <c r="E21" s="510">
        <f>Stored_C!G27+Stored_C!M27</f>
        <v>0.63965036162016009</v>
      </c>
      <c r="F21" s="511">
        <f>F20+HWP!C21</f>
        <v>0</v>
      </c>
      <c r="G21" s="509">
        <f>G20+HWP!D21</f>
        <v>7.2663449483750417</v>
      </c>
      <c r="H21" s="510">
        <f>H20+HWP!E21</f>
        <v>5.9947345824094089</v>
      </c>
      <c r="I21" s="493"/>
      <c r="J21" s="512">
        <f>Garden!J28</f>
        <v>0</v>
      </c>
      <c r="K21" s="513">
        <f>Paper!J28</f>
        <v>0.16456560240672682</v>
      </c>
      <c r="L21" s="514">
        <f>Wood!J28</f>
        <v>0</v>
      </c>
      <c r="M21" s="515">
        <f>J21*(1-Recovery_OX!E21)*(1-Recovery_OX!F21)</f>
        <v>0</v>
      </c>
      <c r="N21" s="513">
        <f>K21*(1-Recovery_OX!E21)*(1-Recovery_OX!F21)</f>
        <v>0.16456560240672682</v>
      </c>
      <c r="O21" s="514">
        <f>L21*(1-Recovery_OX!E21)*(1-Recovery_OX!F21)</f>
        <v>0</v>
      </c>
    </row>
    <row r="22" spans="2:15">
      <c r="B22" s="507">
        <f t="shared" si="0"/>
        <v>1960</v>
      </c>
      <c r="C22" s="508">
        <f>Stored_C!E28</f>
        <v>0</v>
      </c>
      <c r="D22" s="509">
        <f>Stored_C!F28+Stored_C!L28</f>
        <v>0.92562164640000033</v>
      </c>
      <c r="E22" s="510">
        <f>Stored_C!G28+Stored_C!M28</f>
        <v>0.76363785828000019</v>
      </c>
      <c r="F22" s="511">
        <f>F21+HWP!C22</f>
        <v>0</v>
      </c>
      <c r="G22" s="509">
        <f>G21+HWP!D22</f>
        <v>8.1919665947750424</v>
      </c>
      <c r="H22" s="510">
        <f>H21+HWP!E22</f>
        <v>6.758372440689409</v>
      </c>
      <c r="I22" s="493"/>
      <c r="J22" s="512">
        <f>Garden!J29</f>
        <v>0</v>
      </c>
      <c r="K22" s="513">
        <f>Paper!J29</f>
        <v>0.17880995027948335</v>
      </c>
      <c r="L22" s="514">
        <f>Wood!J29</f>
        <v>0</v>
      </c>
      <c r="M22" s="515">
        <f>J22*(1-Recovery_OX!E22)*(1-Recovery_OX!F22)</f>
        <v>0</v>
      </c>
      <c r="N22" s="513">
        <f>K22*(1-Recovery_OX!E22)*(1-Recovery_OX!F22)</f>
        <v>0.17880995027948335</v>
      </c>
      <c r="O22" s="514">
        <f>L22*(1-Recovery_OX!E22)*(1-Recovery_OX!F22)</f>
        <v>0</v>
      </c>
    </row>
    <row r="23" spans="2:15">
      <c r="B23" s="507">
        <f t="shared" si="0"/>
        <v>1961</v>
      </c>
      <c r="C23" s="508">
        <f>Stored_C!E29</f>
        <v>0</v>
      </c>
      <c r="D23" s="509">
        <f>Stored_C!F29+Stored_C!L29</f>
        <v>0.96276992847552023</v>
      </c>
      <c r="E23" s="510">
        <f>Stored_C!G29+Stored_C!M29</f>
        <v>0.7942851909923041</v>
      </c>
      <c r="F23" s="511">
        <f>F22+HWP!C23</f>
        <v>0</v>
      </c>
      <c r="G23" s="509">
        <f>G22+HWP!D23</f>
        <v>9.1547365232505626</v>
      </c>
      <c r="H23" s="510">
        <f>H22+HWP!E23</f>
        <v>7.5526576316817131</v>
      </c>
      <c r="I23" s="493"/>
      <c r="J23" s="512">
        <f>Garden!J30</f>
        <v>0</v>
      </c>
      <c r="K23" s="513">
        <f>Paper!J30</f>
        <v>0.19700892054140817</v>
      </c>
      <c r="L23" s="514">
        <f>Wood!J30</f>
        <v>0</v>
      </c>
      <c r="M23" s="515">
        <f>J23*(1-Recovery_OX!E23)*(1-Recovery_OX!F23)</f>
        <v>0</v>
      </c>
      <c r="N23" s="513">
        <f>K23*(1-Recovery_OX!E23)*(1-Recovery_OX!F23)</f>
        <v>0.19700892054140817</v>
      </c>
      <c r="O23" s="514">
        <f>L23*(1-Recovery_OX!E23)*(1-Recovery_OX!F23)</f>
        <v>0</v>
      </c>
    </row>
    <row r="24" spans="2:15">
      <c r="B24" s="507">
        <f t="shared" si="0"/>
        <v>1962</v>
      </c>
      <c r="C24" s="508">
        <f>Stored_C!E30</f>
        <v>0</v>
      </c>
      <c r="D24" s="509">
        <f>Stored_C!F30+Stored_C!L30</f>
        <v>0.97321704784128016</v>
      </c>
      <c r="E24" s="510">
        <f>Stored_C!G30+Stored_C!M30</f>
        <v>0.80290406446905616</v>
      </c>
      <c r="F24" s="511">
        <f>F23+HWP!C24</f>
        <v>0</v>
      </c>
      <c r="G24" s="509">
        <f>G23+HWP!D24</f>
        <v>10.127953571091842</v>
      </c>
      <c r="H24" s="510">
        <f>H23+HWP!E24</f>
        <v>8.3555616961507688</v>
      </c>
      <c r="I24" s="493"/>
      <c r="J24" s="512">
        <f>Garden!J31</f>
        <v>0</v>
      </c>
      <c r="K24" s="513">
        <f>Paper!J31</f>
        <v>0.2151930714111992</v>
      </c>
      <c r="L24" s="514">
        <f>Wood!J31</f>
        <v>0</v>
      </c>
      <c r="M24" s="515">
        <f>J24*(1-Recovery_OX!E24)*(1-Recovery_OX!F24)</f>
        <v>0</v>
      </c>
      <c r="N24" s="513">
        <f>K24*(1-Recovery_OX!E24)*(1-Recovery_OX!F24)</f>
        <v>0.2151930714111992</v>
      </c>
      <c r="O24" s="514">
        <f>L24*(1-Recovery_OX!E24)*(1-Recovery_OX!F24)</f>
        <v>0</v>
      </c>
    </row>
    <row r="25" spans="2:15">
      <c r="B25" s="507">
        <f t="shared" si="0"/>
        <v>1963</v>
      </c>
      <c r="C25" s="508">
        <f>Stored_C!E31</f>
        <v>0</v>
      </c>
      <c r="D25" s="509">
        <f>Stored_C!F31+Stored_C!L31</f>
        <v>0.99371050194240018</v>
      </c>
      <c r="E25" s="510">
        <f>Stored_C!G31+Stored_C!M31</f>
        <v>0.81981116410248012</v>
      </c>
      <c r="F25" s="511">
        <f>F24+HWP!C25</f>
        <v>0</v>
      </c>
      <c r="G25" s="509">
        <f>G24+HWP!D25</f>
        <v>11.121664073034243</v>
      </c>
      <c r="H25" s="510">
        <f>H24+HWP!E25</f>
        <v>9.1753728602532494</v>
      </c>
      <c r="I25" s="493"/>
      <c r="J25" s="512">
        <f>Garden!J32</f>
        <v>0</v>
      </c>
      <c r="K25" s="513">
        <f>Paper!J32</f>
        <v>0.23248970558174964</v>
      </c>
      <c r="L25" s="514">
        <f>Wood!J32</f>
        <v>0</v>
      </c>
      <c r="M25" s="515">
        <f>J25*(1-Recovery_OX!E25)*(1-Recovery_OX!F25)</f>
        <v>0</v>
      </c>
      <c r="N25" s="513">
        <f>K25*(1-Recovery_OX!E25)*(1-Recovery_OX!F25)</f>
        <v>0.23248970558174964</v>
      </c>
      <c r="O25" s="514">
        <f>L25*(1-Recovery_OX!E25)*(1-Recovery_OX!F25)</f>
        <v>0</v>
      </c>
    </row>
    <row r="26" spans="2:15">
      <c r="B26" s="507">
        <f t="shared" si="0"/>
        <v>1964</v>
      </c>
      <c r="C26" s="508">
        <f>Stored_C!E32</f>
        <v>0</v>
      </c>
      <c r="D26" s="509">
        <f>Stored_C!F32+Stored_C!L32</f>
        <v>1.0140563655129602</v>
      </c>
      <c r="E26" s="510">
        <f>Stored_C!G32+Stored_C!M32</f>
        <v>0.8365965015481921</v>
      </c>
      <c r="F26" s="511">
        <f>F25+HWP!C26</f>
        <v>0</v>
      </c>
      <c r="G26" s="509">
        <f>G25+HWP!D26</f>
        <v>12.135720438547203</v>
      </c>
      <c r="H26" s="510">
        <f>H25+HWP!E26</f>
        <v>10.011969361801441</v>
      </c>
      <c r="I26" s="493"/>
      <c r="J26" s="512">
        <f>Garden!J33</f>
        <v>0</v>
      </c>
      <c r="K26" s="513">
        <f>Paper!J33</f>
        <v>0.24928755471552033</v>
      </c>
      <c r="L26" s="514">
        <f>Wood!J33</f>
        <v>0</v>
      </c>
      <c r="M26" s="515">
        <f>J26*(1-Recovery_OX!E26)*(1-Recovery_OX!F26)</f>
        <v>0</v>
      </c>
      <c r="N26" s="513">
        <f>K26*(1-Recovery_OX!E26)*(1-Recovery_OX!F26)</f>
        <v>0.24928755471552033</v>
      </c>
      <c r="O26" s="514">
        <f>L26*(1-Recovery_OX!E26)*(1-Recovery_OX!F26)</f>
        <v>0</v>
      </c>
    </row>
    <row r="27" spans="2:15">
      <c r="B27" s="507">
        <f t="shared" si="0"/>
        <v>1965</v>
      </c>
      <c r="C27" s="508">
        <f>Stored_C!E33</f>
        <v>0</v>
      </c>
      <c r="D27" s="509">
        <f>Stored_C!F33+Stored_C!L33</f>
        <v>1.0338932962195202</v>
      </c>
      <c r="E27" s="510">
        <f>Stored_C!G33+Stored_C!M33</f>
        <v>0.85296196938110413</v>
      </c>
      <c r="F27" s="511">
        <f>F26+HWP!C27</f>
        <v>0</v>
      </c>
      <c r="G27" s="509">
        <f>G26+HWP!D27</f>
        <v>13.169613734766724</v>
      </c>
      <c r="H27" s="510">
        <f>H26+HWP!E27</f>
        <v>10.864931331182545</v>
      </c>
      <c r="I27" s="493"/>
      <c r="J27" s="512">
        <f>Garden!J34</f>
        <v>0</v>
      </c>
      <c r="K27" s="513">
        <f>Paper!J34</f>
        <v>0.26561551039605324</v>
      </c>
      <c r="L27" s="514">
        <f>Wood!J34</f>
        <v>0</v>
      </c>
      <c r="M27" s="515">
        <f>J27*(1-Recovery_OX!E27)*(1-Recovery_OX!F27)</f>
        <v>0</v>
      </c>
      <c r="N27" s="513">
        <f>K27*(1-Recovery_OX!E27)*(1-Recovery_OX!F27)</f>
        <v>0.26561551039605324</v>
      </c>
      <c r="O27" s="514">
        <f>L27*(1-Recovery_OX!E27)*(1-Recovery_OX!F27)</f>
        <v>0</v>
      </c>
    </row>
    <row r="28" spans="2:15">
      <c r="B28" s="507">
        <f t="shared" si="0"/>
        <v>1966</v>
      </c>
      <c r="C28" s="508">
        <f>Stored_C!E34</f>
        <v>0</v>
      </c>
      <c r="D28" s="509">
        <f>Stored_C!F34+Stored_C!L34</f>
        <v>1.0538765451244803</v>
      </c>
      <c r="E28" s="510">
        <f>Stored_C!G34+Stored_C!M34</f>
        <v>0.86944814972769624</v>
      </c>
      <c r="F28" s="511">
        <f>F27+HWP!C28</f>
        <v>0</v>
      </c>
      <c r="G28" s="509">
        <f>G27+HWP!D28</f>
        <v>14.223490279891204</v>
      </c>
      <c r="H28" s="510">
        <f>H27+HWP!E28</f>
        <v>11.734379480910242</v>
      </c>
      <c r="I28" s="493"/>
      <c r="J28" s="512">
        <f>Garden!J35</f>
        <v>0</v>
      </c>
      <c r="K28" s="513">
        <f>Paper!J35</f>
        <v>0.281488687333453</v>
      </c>
      <c r="L28" s="514">
        <f>Wood!J35</f>
        <v>0</v>
      </c>
      <c r="M28" s="515">
        <f>J28*(1-Recovery_OX!E28)*(1-Recovery_OX!F28)</f>
        <v>0</v>
      </c>
      <c r="N28" s="513">
        <f>K28*(1-Recovery_OX!E28)*(1-Recovery_OX!F28)</f>
        <v>0.281488687333453</v>
      </c>
      <c r="O28" s="514">
        <f>L28*(1-Recovery_OX!E28)*(1-Recovery_OX!F28)</f>
        <v>0</v>
      </c>
    </row>
    <row r="29" spans="2:15">
      <c r="B29" s="507">
        <f t="shared" si="0"/>
        <v>1967</v>
      </c>
      <c r="C29" s="508">
        <f>Stored_C!E35</f>
        <v>0</v>
      </c>
      <c r="D29" s="509">
        <f>Stored_C!F35+Stored_C!L35</f>
        <v>1.07881807245696</v>
      </c>
      <c r="E29" s="510">
        <f>Stored_C!G35+Stored_C!M35</f>
        <v>0.89002490977699211</v>
      </c>
      <c r="F29" s="511">
        <f>F28+HWP!C29</f>
        <v>0</v>
      </c>
      <c r="G29" s="509">
        <f>G28+HWP!D29</f>
        <v>15.302308352348163</v>
      </c>
      <c r="H29" s="510">
        <f>H28+HWP!E29</f>
        <v>12.624404390687234</v>
      </c>
      <c r="I29" s="493"/>
      <c r="J29" s="512">
        <f>Garden!J36</f>
        <v>0</v>
      </c>
      <c r="K29" s="513">
        <f>Paper!J36</f>
        <v>0.29694261911633535</v>
      </c>
      <c r="L29" s="514">
        <f>Wood!J36</f>
        <v>0</v>
      </c>
      <c r="M29" s="515">
        <f>J29*(1-Recovery_OX!E29)*(1-Recovery_OX!F29)</f>
        <v>0</v>
      </c>
      <c r="N29" s="513">
        <f>K29*(1-Recovery_OX!E29)*(1-Recovery_OX!F29)</f>
        <v>0.29694261911633535</v>
      </c>
      <c r="O29" s="514">
        <f>L29*(1-Recovery_OX!E29)*(1-Recovery_OX!F29)</f>
        <v>0</v>
      </c>
    </row>
    <row r="30" spans="2:15">
      <c r="B30" s="507">
        <f t="shared" si="0"/>
        <v>1968</v>
      </c>
      <c r="C30" s="508">
        <f>Stored_C!E36</f>
        <v>0</v>
      </c>
      <c r="D30" s="509">
        <f>Stored_C!F36+Stored_C!L36</f>
        <v>1.1057228083123201</v>
      </c>
      <c r="E30" s="510">
        <f>Stored_C!G36+Stored_C!M36</f>
        <v>0.91222131685766417</v>
      </c>
      <c r="F30" s="511">
        <f>F29+HWP!C30</f>
        <v>0</v>
      </c>
      <c r="G30" s="509">
        <f>G29+HWP!D30</f>
        <v>16.408031160660482</v>
      </c>
      <c r="H30" s="510">
        <f>H29+HWP!E30</f>
        <v>13.536625707544898</v>
      </c>
      <c r="I30" s="493"/>
      <c r="J30" s="512">
        <f>Garden!J37</f>
        <v>0</v>
      </c>
      <c r="K30" s="513">
        <f>Paper!J37</f>
        <v>0.31216789107605453</v>
      </c>
      <c r="L30" s="514">
        <f>Wood!J37</f>
        <v>0</v>
      </c>
      <c r="M30" s="515">
        <f>J30*(1-Recovery_OX!E30)*(1-Recovery_OX!F30)</f>
        <v>0</v>
      </c>
      <c r="N30" s="513">
        <f>K30*(1-Recovery_OX!E30)*(1-Recovery_OX!F30)</f>
        <v>0.31216789107605453</v>
      </c>
      <c r="O30" s="514">
        <f>L30*(1-Recovery_OX!E30)*(1-Recovery_OX!F30)</f>
        <v>0</v>
      </c>
    </row>
    <row r="31" spans="2:15">
      <c r="B31" s="507">
        <f t="shared" si="0"/>
        <v>1969</v>
      </c>
      <c r="C31" s="508">
        <f>Stored_C!E37</f>
        <v>0</v>
      </c>
      <c r="D31" s="509">
        <f>Stored_C!F37+Stored_C!L37</f>
        <v>1.1326275441676801</v>
      </c>
      <c r="E31" s="510">
        <f>Stored_C!G37+Stored_C!M37</f>
        <v>0.93441772393833622</v>
      </c>
      <c r="F31" s="511">
        <f>F30+HWP!C31</f>
        <v>0</v>
      </c>
      <c r="G31" s="509">
        <f>G30+HWP!D31</f>
        <v>17.540658704828161</v>
      </c>
      <c r="H31" s="510">
        <f>H30+HWP!E31</f>
        <v>14.471043431483235</v>
      </c>
      <c r="I31" s="493"/>
      <c r="J31" s="512">
        <f>Garden!J38</f>
        <v>0</v>
      </c>
      <c r="K31" s="513">
        <f>Paper!J38</f>
        <v>0.32724420094381229</v>
      </c>
      <c r="L31" s="514">
        <f>Wood!J38</f>
        <v>0</v>
      </c>
      <c r="M31" s="515">
        <f>J31*(1-Recovery_OX!E31)*(1-Recovery_OX!F31)</f>
        <v>0</v>
      </c>
      <c r="N31" s="513">
        <f>K31*(1-Recovery_OX!E31)*(1-Recovery_OX!F31)</f>
        <v>0.32724420094381229</v>
      </c>
      <c r="O31" s="514">
        <f>L31*(1-Recovery_OX!E31)*(1-Recovery_OX!F31)</f>
        <v>0</v>
      </c>
    </row>
    <row r="32" spans="2:15">
      <c r="B32" s="507">
        <f t="shared" si="0"/>
        <v>1970</v>
      </c>
      <c r="C32" s="508">
        <f>Stored_C!E38</f>
        <v>0</v>
      </c>
      <c r="D32" s="509">
        <f>Stored_C!F38+Stored_C!L38</f>
        <v>1.1595322800230401</v>
      </c>
      <c r="E32" s="510">
        <f>Stored_C!G38+Stored_C!M38</f>
        <v>0.95661413101900805</v>
      </c>
      <c r="F32" s="511">
        <f>F31+HWP!C32</f>
        <v>0</v>
      </c>
      <c r="G32" s="509">
        <f>G31+HWP!D32</f>
        <v>18.700190984851201</v>
      </c>
      <c r="H32" s="510">
        <f>H31+HWP!E32</f>
        <v>15.427657562502242</v>
      </c>
      <c r="I32" s="493"/>
      <c r="J32" s="512">
        <f>Garden!J39</f>
        <v>0</v>
      </c>
      <c r="K32" s="513">
        <f>Paper!J39</f>
        <v>0.34218161947762499</v>
      </c>
      <c r="L32" s="514">
        <f>Wood!J39</f>
        <v>0</v>
      </c>
      <c r="M32" s="515">
        <f>J32*(1-Recovery_OX!E32)*(1-Recovery_OX!F32)</f>
        <v>0</v>
      </c>
      <c r="N32" s="513">
        <f>K32*(1-Recovery_OX!E32)*(1-Recovery_OX!F32)</f>
        <v>0.34218161947762499</v>
      </c>
      <c r="O32" s="514">
        <f>L32*(1-Recovery_OX!E32)*(1-Recovery_OX!F32)</f>
        <v>0</v>
      </c>
    </row>
    <row r="33" spans="2:15">
      <c r="B33" s="507">
        <f t="shared" si="0"/>
        <v>1971</v>
      </c>
      <c r="C33" s="508">
        <f>Stored_C!E39</f>
        <v>0</v>
      </c>
      <c r="D33" s="509">
        <f>Stored_C!F39+Stored_C!L39</f>
        <v>1.1864370158784001</v>
      </c>
      <c r="E33" s="510">
        <f>Stored_C!G39+Stored_C!M39</f>
        <v>0.97881053809968011</v>
      </c>
      <c r="F33" s="511">
        <f>F32+HWP!C33</f>
        <v>0</v>
      </c>
      <c r="G33" s="509">
        <f>G32+HWP!D33</f>
        <v>19.886628000729601</v>
      </c>
      <c r="H33" s="510">
        <f>H32+HWP!E33</f>
        <v>16.406468100601924</v>
      </c>
      <c r="I33" s="493"/>
      <c r="J33" s="512">
        <f>Garden!J40</f>
        <v>0</v>
      </c>
      <c r="K33" s="513">
        <f>Paper!J40</f>
        <v>0.3569895365900288</v>
      </c>
      <c r="L33" s="514">
        <f>Wood!J40</f>
        <v>0</v>
      </c>
      <c r="M33" s="515">
        <f>J33*(1-Recovery_OX!E33)*(1-Recovery_OX!F33)</f>
        <v>0</v>
      </c>
      <c r="N33" s="513">
        <f>K33*(1-Recovery_OX!E33)*(1-Recovery_OX!F33)</f>
        <v>0.3569895365900288</v>
      </c>
      <c r="O33" s="514">
        <f>L33*(1-Recovery_OX!E33)*(1-Recovery_OX!F33)</f>
        <v>0</v>
      </c>
    </row>
    <row r="34" spans="2:15">
      <c r="B34" s="507">
        <f t="shared" si="0"/>
        <v>1972</v>
      </c>
      <c r="C34" s="508">
        <f>Stored_C!E40</f>
        <v>0</v>
      </c>
      <c r="D34" s="509">
        <f>Stored_C!F40+Stored_C!L40</f>
        <v>1.2133417517337604</v>
      </c>
      <c r="E34" s="510">
        <f>Stored_C!G40+Stored_C!M40</f>
        <v>1.0010069451803523</v>
      </c>
      <c r="F34" s="511">
        <f>F33+HWP!C34</f>
        <v>0</v>
      </c>
      <c r="G34" s="509">
        <f>G33+HWP!D34</f>
        <v>21.099969752463362</v>
      </c>
      <c r="H34" s="510">
        <f>H33+HWP!E34</f>
        <v>17.407475045782277</v>
      </c>
      <c r="I34" s="493"/>
      <c r="J34" s="512">
        <f>Garden!J41</f>
        <v>0</v>
      </c>
      <c r="K34" s="513">
        <f>Paper!J41</f>
        <v>0.37167670737744191</v>
      </c>
      <c r="L34" s="514">
        <f>Wood!J41</f>
        <v>0</v>
      </c>
      <c r="M34" s="515">
        <f>J34*(1-Recovery_OX!E34)*(1-Recovery_OX!F34)</f>
        <v>0</v>
      </c>
      <c r="N34" s="513">
        <f>K34*(1-Recovery_OX!E34)*(1-Recovery_OX!F34)</f>
        <v>0.37167670737744191</v>
      </c>
      <c r="O34" s="514">
        <f>L34*(1-Recovery_OX!E34)*(1-Recovery_OX!F34)</f>
        <v>0</v>
      </c>
    </row>
    <row r="35" spans="2:15">
      <c r="B35" s="507">
        <f t="shared" si="0"/>
        <v>1973</v>
      </c>
      <c r="C35" s="508">
        <f>Stored_C!E41</f>
        <v>0</v>
      </c>
      <c r="D35" s="509">
        <f>Stored_C!F41+Stored_C!L41</f>
        <v>1.2402464875891202</v>
      </c>
      <c r="E35" s="510">
        <f>Stored_C!G41+Stored_C!M41</f>
        <v>1.0232033522610242</v>
      </c>
      <c r="F35" s="511">
        <f>F34+HWP!C35</f>
        <v>0</v>
      </c>
      <c r="G35" s="509">
        <f>G34+HWP!D35</f>
        <v>22.340216240052484</v>
      </c>
      <c r="H35" s="510">
        <f>H34+HWP!E35</f>
        <v>18.430678398043302</v>
      </c>
      <c r="I35" s="493"/>
      <c r="J35" s="512">
        <f>Garden!J42</f>
        <v>0</v>
      </c>
      <c r="K35" s="513">
        <f>Paper!J42</f>
        <v>0.38625129503765732</v>
      </c>
      <c r="L35" s="514">
        <f>Wood!J42</f>
        <v>0</v>
      </c>
      <c r="M35" s="515">
        <f>J35*(1-Recovery_OX!E35)*(1-Recovery_OX!F35)</f>
        <v>0</v>
      </c>
      <c r="N35" s="513">
        <f>K35*(1-Recovery_OX!E35)*(1-Recovery_OX!F35)</f>
        <v>0.38625129503765732</v>
      </c>
      <c r="O35" s="514">
        <f>L35*(1-Recovery_OX!E35)*(1-Recovery_OX!F35)</f>
        <v>0</v>
      </c>
    </row>
    <row r="36" spans="2:15">
      <c r="B36" s="507">
        <f t="shared" si="0"/>
        <v>1974</v>
      </c>
      <c r="C36" s="508">
        <f>Stored_C!E42</f>
        <v>0</v>
      </c>
      <c r="D36" s="509">
        <f>Stored_C!F42+Stored_C!L42</f>
        <v>1.2671512234444804</v>
      </c>
      <c r="E36" s="510">
        <f>Stored_C!G42+Stored_C!M42</f>
        <v>1.0453997593416962</v>
      </c>
      <c r="F36" s="511">
        <f>F35+HWP!C36</f>
        <v>0</v>
      </c>
      <c r="G36" s="509">
        <f>G35+HWP!D36</f>
        <v>23.607367463496963</v>
      </c>
      <c r="H36" s="510">
        <f>H35+HWP!E36</f>
        <v>19.476078157384997</v>
      </c>
      <c r="I36" s="493"/>
      <c r="J36" s="512">
        <f>Garden!J43</f>
        <v>0</v>
      </c>
      <c r="K36" s="513">
        <f>Paper!J43</f>
        <v>0.40072091088584788</v>
      </c>
      <c r="L36" s="514">
        <f>Wood!J43</f>
        <v>0</v>
      </c>
      <c r="M36" s="515">
        <f>J36*(1-Recovery_OX!E36)*(1-Recovery_OX!F36)</f>
        <v>0</v>
      </c>
      <c r="N36" s="513">
        <f>K36*(1-Recovery_OX!E36)*(1-Recovery_OX!F36)</f>
        <v>0.40072091088584788</v>
      </c>
      <c r="O36" s="514">
        <f>L36*(1-Recovery_OX!E36)*(1-Recovery_OX!F36)</f>
        <v>0</v>
      </c>
    </row>
    <row r="37" spans="2:15">
      <c r="B37" s="507">
        <f t="shared" si="0"/>
        <v>1975</v>
      </c>
      <c r="C37" s="508">
        <f>Stored_C!E43</f>
        <v>0</v>
      </c>
      <c r="D37" s="509">
        <f>Stored_C!F43+Stored_C!L43</f>
        <v>1.2940559592998402</v>
      </c>
      <c r="E37" s="510">
        <f>Stored_C!G43+Stored_C!M43</f>
        <v>1.0675961664223681</v>
      </c>
      <c r="F37" s="511">
        <f>F36+HWP!C37</f>
        <v>0</v>
      </c>
      <c r="G37" s="509">
        <f>G36+HWP!D37</f>
        <v>24.901423422796803</v>
      </c>
      <c r="H37" s="510">
        <f>H36+HWP!E37</f>
        <v>20.543674323807366</v>
      </c>
      <c r="I37" s="493"/>
      <c r="J37" s="512">
        <f>Garden!J44</f>
        <v>0</v>
      </c>
      <c r="K37" s="513">
        <f>Paper!J44</f>
        <v>0.41509265166524212</v>
      </c>
      <c r="L37" s="514">
        <f>Wood!J44</f>
        <v>0</v>
      </c>
      <c r="M37" s="515">
        <f>J37*(1-Recovery_OX!E37)*(1-Recovery_OX!F37)</f>
        <v>0</v>
      </c>
      <c r="N37" s="513">
        <f>K37*(1-Recovery_OX!E37)*(1-Recovery_OX!F37)</f>
        <v>0.41509265166524212</v>
      </c>
      <c r="O37" s="514">
        <f>L37*(1-Recovery_OX!E37)*(1-Recovery_OX!F37)</f>
        <v>0</v>
      </c>
    </row>
    <row r="38" spans="2:15">
      <c r="B38" s="507">
        <f t="shared" si="0"/>
        <v>1976</v>
      </c>
      <c r="C38" s="508">
        <f>Stored_C!E44</f>
        <v>0</v>
      </c>
      <c r="D38" s="509">
        <f>Stored_C!F44+Stored_C!L44</f>
        <v>1.3209606951552004</v>
      </c>
      <c r="E38" s="510">
        <f>Stored_C!G44+Stored_C!M44</f>
        <v>1.0897925735030403</v>
      </c>
      <c r="F38" s="511">
        <f>F37+HWP!C38</f>
        <v>0</v>
      </c>
      <c r="G38" s="509">
        <f>G37+HWP!D38</f>
        <v>26.222384117952004</v>
      </c>
      <c r="H38" s="510">
        <f>H37+HWP!E38</f>
        <v>21.633466897310406</v>
      </c>
      <c r="I38" s="493"/>
      <c r="J38" s="512">
        <f>Garden!J45</f>
        <v>0</v>
      </c>
      <c r="K38" s="513">
        <f>Paper!J45</f>
        <v>0.42937313433536795</v>
      </c>
      <c r="L38" s="514">
        <f>Wood!J45</f>
        <v>0</v>
      </c>
      <c r="M38" s="515">
        <f>J38*(1-Recovery_OX!E38)*(1-Recovery_OX!F38)</f>
        <v>0</v>
      </c>
      <c r="N38" s="513">
        <f>K38*(1-Recovery_OX!E38)*(1-Recovery_OX!F38)</f>
        <v>0.42937313433536795</v>
      </c>
      <c r="O38" s="514">
        <f>L38*(1-Recovery_OX!E38)*(1-Recovery_OX!F38)</f>
        <v>0</v>
      </c>
    </row>
    <row r="39" spans="2:15">
      <c r="B39" s="507">
        <f t="shared" si="0"/>
        <v>1977</v>
      </c>
      <c r="C39" s="508">
        <f>Stored_C!E45</f>
        <v>0</v>
      </c>
      <c r="D39" s="509">
        <f>Stored_C!F45+Stored_C!L45</f>
        <v>1.3478654310105602</v>
      </c>
      <c r="E39" s="510">
        <f>Stored_C!G45+Stored_C!M45</f>
        <v>1.111988980583712</v>
      </c>
      <c r="F39" s="511">
        <f>F38+HWP!C39</f>
        <v>0</v>
      </c>
      <c r="G39" s="509">
        <f>G38+HWP!D39</f>
        <v>27.570249548962565</v>
      </c>
      <c r="H39" s="510">
        <f>H38+HWP!E39</f>
        <v>22.745455877894116</v>
      </c>
      <c r="I39" s="493"/>
      <c r="J39" s="512">
        <f>Garden!J46</f>
        <v>0</v>
      </c>
      <c r="K39" s="513">
        <f>Paper!J46</f>
        <v>0.44356852850839551</v>
      </c>
      <c r="L39" s="514">
        <f>Wood!J46</f>
        <v>0</v>
      </c>
      <c r="M39" s="515">
        <f>J39*(1-Recovery_OX!E39)*(1-Recovery_OX!F39)</f>
        <v>0</v>
      </c>
      <c r="N39" s="513">
        <f>K39*(1-Recovery_OX!E39)*(1-Recovery_OX!F39)</f>
        <v>0.44356852850839551</v>
      </c>
      <c r="O39" s="514">
        <f>L39*(1-Recovery_OX!E39)*(1-Recovery_OX!F39)</f>
        <v>0</v>
      </c>
    </row>
    <row r="40" spans="2:15">
      <c r="B40" s="507">
        <f t="shared" si="0"/>
        <v>1978</v>
      </c>
      <c r="C40" s="508">
        <f>Stored_C!E46</f>
        <v>0</v>
      </c>
      <c r="D40" s="509">
        <f>Stored_C!F46+Stored_C!L46</f>
        <v>1.3747701668659205</v>
      </c>
      <c r="E40" s="510">
        <f>Stored_C!G46+Stored_C!M46</f>
        <v>1.1341853876643844</v>
      </c>
      <c r="F40" s="511">
        <f>F39+HWP!C40</f>
        <v>0</v>
      </c>
      <c r="G40" s="509">
        <f>G39+HWP!D40</f>
        <v>28.945019715828487</v>
      </c>
      <c r="H40" s="510">
        <f>H39+HWP!E40</f>
        <v>23.879641265558501</v>
      </c>
      <c r="I40" s="493"/>
      <c r="J40" s="512">
        <f>Garden!J47</f>
        <v>0</v>
      </c>
      <c r="K40" s="513">
        <f>Paper!J47</f>
        <v>0.45768458669258361</v>
      </c>
      <c r="L40" s="514">
        <f>Wood!J47</f>
        <v>0</v>
      </c>
      <c r="M40" s="515">
        <f>J40*(1-Recovery_OX!E40)*(1-Recovery_OX!F40)</f>
        <v>0</v>
      </c>
      <c r="N40" s="513">
        <f>K40*(1-Recovery_OX!E40)*(1-Recovery_OX!F40)</f>
        <v>0.45768458669258361</v>
      </c>
      <c r="O40" s="514">
        <f>L40*(1-Recovery_OX!E40)*(1-Recovery_OX!F40)</f>
        <v>0</v>
      </c>
    </row>
    <row r="41" spans="2:15">
      <c r="B41" s="507">
        <f t="shared" si="0"/>
        <v>1979</v>
      </c>
      <c r="C41" s="508">
        <f>Stored_C!E47</f>
        <v>0</v>
      </c>
      <c r="D41" s="509">
        <f>Stored_C!F47+Stored_C!L47</f>
        <v>1.4016749027212805</v>
      </c>
      <c r="E41" s="510">
        <f>Stored_C!G47+Stored_C!M47</f>
        <v>1.1563817947450563</v>
      </c>
      <c r="F41" s="511">
        <f>F40+HWP!C41</f>
        <v>0</v>
      </c>
      <c r="G41" s="509">
        <f>G40+HWP!D41</f>
        <v>30.346694618549765</v>
      </c>
      <c r="H41" s="510">
        <f>H40+HWP!E41</f>
        <v>25.036023060303556</v>
      </c>
      <c r="I41" s="493"/>
      <c r="J41" s="512">
        <f>Garden!J48</f>
        <v>0</v>
      </c>
      <c r="K41" s="513">
        <f>Paper!J48</f>
        <v>0.47172667249108152</v>
      </c>
      <c r="L41" s="514">
        <f>Wood!J48</f>
        <v>0</v>
      </c>
      <c r="M41" s="515">
        <f>J41*(1-Recovery_OX!E41)*(1-Recovery_OX!F41)</f>
        <v>0</v>
      </c>
      <c r="N41" s="513">
        <f>K41*(1-Recovery_OX!E41)*(1-Recovery_OX!F41)</f>
        <v>0.47172667249108152</v>
      </c>
      <c r="O41" s="514">
        <f>L41*(1-Recovery_OX!E41)*(1-Recovery_OX!F41)</f>
        <v>0</v>
      </c>
    </row>
    <row r="42" spans="2:15">
      <c r="B42" s="507">
        <f t="shared" si="0"/>
        <v>1980</v>
      </c>
      <c r="C42" s="508">
        <f>Stored_C!E48</f>
        <v>0</v>
      </c>
      <c r="D42" s="509">
        <f>Stored_C!F48+Stored_C!L48</f>
        <v>1.4285796385766405</v>
      </c>
      <c r="E42" s="510">
        <f>Stored_C!G48+Stored_C!M48</f>
        <v>1.1785782018257283</v>
      </c>
      <c r="F42" s="511">
        <f>F41+HWP!C42</f>
        <v>0</v>
      </c>
      <c r="G42" s="509">
        <f>G41+HWP!D42</f>
        <v>31.775274257126405</v>
      </c>
      <c r="H42" s="510">
        <f>H41+HWP!E42</f>
        <v>26.214601262129285</v>
      </c>
      <c r="I42" s="493"/>
      <c r="J42" s="512">
        <f>Garden!J49</f>
        <v>0</v>
      </c>
      <c r="K42" s="513">
        <f>Paper!J49</f>
        <v>0.48569978689431831</v>
      </c>
      <c r="L42" s="514">
        <f>Wood!J49</f>
        <v>0</v>
      </c>
      <c r="M42" s="515">
        <f>J42*(1-Recovery_OX!E42)*(1-Recovery_OX!F42)</f>
        <v>0</v>
      </c>
      <c r="N42" s="513">
        <f>K42*(1-Recovery_OX!E42)*(1-Recovery_OX!F42)</f>
        <v>0.48569978689431831</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31.775274257126405</v>
      </c>
      <c r="H43" s="510">
        <f>H42+HWP!E43</f>
        <v>26.214601262129285</v>
      </c>
      <c r="I43" s="493"/>
      <c r="J43" s="512">
        <f>Garden!J50</f>
        <v>0</v>
      </c>
      <c r="K43" s="513">
        <f>Paper!J50</f>
        <v>0.49960859279486342</v>
      </c>
      <c r="L43" s="514">
        <f>Wood!J50</f>
        <v>0</v>
      </c>
      <c r="M43" s="515">
        <f>J43*(1-Recovery_OX!E43)*(1-Recovery_OX!F43)</f>
        <v>0</v>
      </c>
      <c r="N43" s="513">
        <f>K43*(1-Recovery_OX!E43)*(1-Recovery_OX!F43)</f>
        <v>0.49960859279486342</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31.775274257126405</v>
      </c>
      <c r="H44" s="510">
        <f>H43+HWP!E44</f>
        <v>26.214601262129285</v>
      </c>
      <c r="I44" s="493"/>
      <c r="J44" s="512">
        <f>Garden!J51</f>
        <v>0</v>
      </c>
      <c r="K44" s="513">
        <f>Paper!J51</f>
        <v>0.46583196429383816</v>
      </c>
      <c r="L44" s="514">
        <f>Wood!J51</f>
        <v>0</v>
      </c>
      <c r="M44" s="515">
        <f>J44*(1-Recovery_OX!E44)*(1-Recovery_OX!F44)</f>
        <v>0</v>
      </c>
      <c r="N44" s="513">
        <f>K44*(1-Recovery_OX!E44)*(1-Recovery_OX!F44)</f>
        <v>0.46583196429383816</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31.775274257126405</v>
      </c>
      <c r="H45" s="510">
        <f>H44+HWP!E45</f>
        <v>26.214601262129285</v>
      </c>
      <c r="I45" s="493"/>
      <c r="J45" s="512">
        <f>Garden!J52</f>
        <v>0</v>
      </c>
      <c r="K45" s="513">
        <f>Paper!J52</f>
        <v>0.43433884462222305</v>
      </c>
      <c r="L45" s="514">
        <f>Wood!J52</f>
        <v>0</v>
      </c>
      <c r="M45" s="515">
        <f>J45*(1-Recovery_OX!E45)*(1-Recovery_OX!F45)</f>
        <v>0</v>
      </c>
      <c r="N45" s="513">
        <f>K45*(1-Recovery_OX!E45)*(1-Recovery_OX!F45)</f>
        <v>0.43433884462222305</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31.775274257126405</v>
      </c>
      <c r="H46" s="510">
        <f>H45+HWP!E46</f>
        <v>26.214601262129285</v>
      </c>
      <c r="I46" s="493"/>
      <c r="J46" s="512">
        <f>Garden!J53</f>
        <v>0</v>
      </c>
      <c r="K46" s="513">
        <f>Paper!J53</f>
        <v>0.40497485447085069</v>
      </c>
      <c r="L46" s="514">
        <f>Wood!J53</f>
        <v>0</v>
      </c>
      <c r="M46" s="515">
        <f>J46*(1-Recovery_OX!E46)*(1-Recovery_OX!F46)</f>
        <v>0</v>
      </c>
      <c r="N46" s="513">
        <f>K46*(1-Recovery_OX!E46)*(1-Recovery_OX!F46)</f>
        <v>0.40497485447085069</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31.775274257126405</v>
      </c>
      <c r="H47" s="510">
        <f>H46+HWP!E47</f>
        <v>26.214601262129285</v>
      </c>
      <c r="I47" s="493"/>
      <c r="J47" s="512">
        <f>Garden!J54</f>
        <v>0</v>
      </c>
      <c r="K47" s="513">
        <f>Paper!J54</f>
        <v>0.37759605152593195</v>
      </c>
      <c r="L47" s="514">
        <f>Wood!J54</f>
        <v>0</v>
      </c>
      <c r="M47" s="515">
        <f>J47*(1-Recovery_OX!E47)*(1-Recovery_OX!F47)</f>
        <v>0</v>
      </c>
      <c r="N47" s="513">
        <f>K47*(1-Recovery_OX!E47)*(1-Recovery_OX!F47)</f>
        <v>0.37759605152593195</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31.775274257126405</v>
      </c>
      <c r="H48" s="510">
        <f>H47+HWP!E48</f>
        <v>26.214601262129285</v>
      </c>
      <c r="I48" s="493"/>
      <c r="J48" s="512">
        <f>Garden!J55</f>
        <v>0</v>
      </c>
      <c r="K48" s="513">
        <f>Paper!J55</f>
        <v>0.35206822486366701</v>
      </c>
      <c r="L48" s="514">
        <f>Wood!J55</f>
        <v>0</v>
      </c>
      <c r="M48" s="515">
        <f>J48*(1-Recovery_OX!E48)*(1-Recovery_OX!F48)</f>
        <v>0</v>
      </c>
      <c r="N48" s="513">
        <f>K48*(1-Recovery_OX!E48)*(1-Recovery_OX!F48)</f>
        <v>0.35206822486366701</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31.775274257126405</v>
      </c>
      <c r="H49" s="510">
        <f>H48+HWP!E49</f>
        <v>26.214601262129285</v>
      </c>
      <c r="I49" s="493"/>
      <c r="J49" s="512">
        <f>Garden!J56</f>
        <v>0</v>
      </c>
      <c r="K49" s="513">
        <f>Paper!J56</f>
        <v>0.32826623704814079</v>
      </c>
      <c r="L49" s="514">
        <f>Wood!J56</f>
        <v>0</v>
      </c>
      <c r="M49" s="515">
        <f>J49*(1-Recovery_OX!E49)*(1-Recovery_OX!F49)</f>
        <v>0</v>
      </c>
      <c r="N49" s="513">
        <f>K49*(1-Recovery_OX!E49)*(1-Recovery_OX!F49)</f>
        <v>0.32826623704814079</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31.775274257126405</v>
      </c>
      <c r="H50" s="510">
        <f>H49+HWP!E50</f>
        <v>26.214601262129285</v>
      </c>
      <c r="I50" s="493"/>
      <c r="J50" s="512">
        <f>Garden!J57</f>
        <v>0</v>
      </c>
      <c r="K50" s="513">
        <f>Paper!J57</f>
        <v>0.30607341070746752</v>
      </c>
      <c r="L50" s="514">
        <f>Wood!J57</f>
        <v>0</v>
      </c>
      <c r="M50" s="515">
        <f>J50*(1-Recovery_OX!E50)*(1-Recovery_OX!F50)</f>
        <v>0</v>
      </c>
      <c r="N50" s="513">
        <f>K50*(1-Recovery_OX!E50)*(1-Recovery_OX!F50)</f>
        <v>0.30607341070746752</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31.775274257126405</v>
      </c>
      <c r="H51" s="510">
        <f>H50+HWP!E51</f>
        <v>26.214601262129285</v>
      </c>
      <c r="I51" s="493"/>
      <c r="J51" s="512">
        <f>Garden!J58</f>
        <v>0</v>
      </c>
      <c r="K51" s="513">
        <f>Paper!J58</f>
        <v>0.28538095658117785</v>
      </c>
      <c r="L51" s="514">
        <f>Wood!J58</f>
        <v>0</v>
      </c>
      <c r="M51" s="515">
        <f>J51*(1-Recovery_OX!E51)*(1-Recovery_OX!F51)</f>
        <v>0</v>
      </c>
      <c r="N51" s="513">
        <f>K51*(1-Recovery_OX!E51)*(1-Recovery_OX!F51)</f>
        <v>0.28538095658117785</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31.775274257126405</v>
      </c>
      <c r="H52" s="510">
        <f>H51+HWP!E52</f>
        <v>26.214601262129285</v>
      </c>
      <c r="I52" s="493"/>
      <c r="J52" s="512">
        <f>Garden!J59</f>
        <v>0</v>
      </c>
      <c r="K52" s="513">
        <f>Paper!J59</f>
        <v>0.26608744023513797</v>
      </c>
      <c r="L52" s="514">
        <f>Wood!J59</f>
        <v>0</v>
      </c>
      <c r="M52" s="515">
        <f>J52*(1-Recovery_OX!E52)*(1-Recovery_OX!F52)</f>
        <v>0</v>
      </c>
      <c r="N52" s="513">
        <f>K52*(1-Recovery_OX!E52)*(1-Recovery_OX!F52)</f>
        <v>0.26608744023513797</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31.775274257126405</v>
      </c>
      <c r="H53" s="510">
        <f>H52+HWP!E53</f>
        <v>26.214601262129285</v>
      </c>
      <c r="I53" s="493"/>
      <c r="J53" s="512">
        <f>Garden!J60</f>
        <v>0</v>
      </c>
      <c r="K53" s="513">
        <f>Paper!J60</f>
        <v>0.24809828482983601</v>
      </c>
      <c r="L53" s="514">
        <f>Wood!J60</f>
        <v>0</v>
      </c>
      <c r="M53" s="515">
        <f>J53*(1-Recovery_OX!E53)*(1-Recovery_OX!F53)</f>
        <v>0</v>
      </c>
      <c r="N53" s="513">
        <f>K53*(1-Recovery_OX!E53)*(1-Recovery_OX!F53)</f>
        <v>0.24809828482983601</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31.775274257126405</v>
      </c>
      <c r="H54" s="510">
        <f>H53+HWP!E54</f>
        <v>26.214601262129285</v>
      </c>
      <c r="I54" s="493"/>
      <c r="J54" s="512">
        <f>Garden!J61</f>
        <v>0</v>
      </c>
      <c r="K54" s="513">
        <f>Paper!J61</f>
        <v>0.23132530750460478</v>
      </c>
      <c r="L54" s="514">
        <f>Wood!J61</f>
        <v>0</v>
      </c>
      <c r="M54" s="515">
        <f>J54*(1-Recovery_OX!E54)*(1-Recovery_OX!F54)</f>
        <v>0</v>
      </c>
      <c r="N54" s="513">
        <f>K54*(1-Recovery_OX!E54)*(1-Recovery_OX!F54)</f>
        <v>0.23132530750460478</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31.775274257126405</v>
      </c>
      <c r="H55" s="510">
        <f>H54+HWP!E55</f>
        <v>26.214601262129285</v>
      </c>
      <c r="I55" s="493"/>
      <c r="J55" s="512">
        <f>Garden!J62</f>
        <v>0</v>
      </c>
      <c r="K55" s="513">
        <f>Paper!J62</f>
        <v>0.21568628710513657</v>
      </c>
      <c r="L55" s="514">
        <f>Wood!J62</f>
        <v>0</v>
      </c>
      <c r="M55" s="515">
        <f>J55*(1-Recovery_OX!E55)*(1-Recovery_OX!F55)</f>
        <v>0</v>
      </c>
      <c r="N55" s="513">
        <f>K55*(1-Recovery_OX!E55)*(1-Recovery_OX!F55)</f>
        <v>0.21568628710513657</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31.775274257126405</v>
      </c>
      <c r="H56" s="510">
        <f>H55+HWP!E56</f>
        <v>26.214601262129285</v>
      </c>
      <c r="I56" s="493"/>
      <c r="J56" s="512">
        <f>Garden!J63</f>
        <v>0</v>
      </c>
      <c r="K56" s="513">
        <f>Paper!J63</f>
        <v>0.20110456113528938</v>
      </c>
      <c r="L56" s="514">
        <f>Wood!J63</f>
        <v>0</v>
      </c>
      <c r="M56" s="515">
        <f>J56*(1-Recovery_OX!E56)*(1-Recovery_OX!F56)</f>
        <v>0</v>
      </c>
      <c r="N56" s="513">
        <f>K56*(1-Recovery_OX!E56)*(1-Recovery_OX!F56)</f>
        <v>0.20110456113528938</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31.775274257126405</v>
      </c>
      <c r="H57" s="510">
        <f>H56+HWP!E57</f>
        <v>26.214601262129285</v>
      </c>
      <c r="I57" s="493"/>
      <c r="J57" s="512">
        <f>Garden!J64</f>
        <v>0</v>
      </c>
      <c r="K57" s="513">
        <f>Paper!J64</f>
        <v>0.18750864995744176</v>
      </c>
      <c r="L57" s="514">
        <f>Wood!J64</f>
        <v>0</v>
      </c>
      <c r="M57" s="515">
        <f>J57*(1-Recovery_OX!E57)*(1-Recovery_OX!F57)</f>
        <v>0</v>
      </c>
      <c r="N57" s="513">
        <f>K57*(1-Recovery_OX!E57)*(1-Recovery_OX!F57)</f>
        <v>0.18750864995744176</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31.775274257126405</v>
      </c>
      <c r="H58" s="510">
        <f>H57+HWP!E58</f>
        <v>26.214601262129285</v>
      </c>
      <c r="I58" s="493"/>
      <c r="J58" s="512">
        <f>Garden!J65</f>
        <v>0</v>
      </c>
      <c r="K58" s="513">
        <f>Paper!J65</f>
        <v>0.17483190639922647</v>
      </c>
      <c r="L58" s="514">
        <f>Wood!J65</f>
        <v>0</v>
      </c>
      <c r="M58" s="515">
        <f>J58*(1-Recovery_OX!E58)*(1-Recovery_OX!F58)</f>
        <v>0</v>
      </c>
      <c r="N58" s="513">
        <f>K58*(1-Recovery_OX!E58)*(1-Recovery_OX!F58)</f>
        <v>0.17483190639922647</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31.775274257126405</v>
      </c>
      <c r="H59" s="510">
        <f>H58+HWP!E59</f>
        <v>26.214601262129285</v>
      </c>
      <c r="I59" s="493"/>
      <c r="J59" s="512">
        <f>Garden!J66</f>
        <v>0</v>
      </c>
      <c r="K59" s="513">
        <f>Paper!J66</f>
        <v>0.16301218904901396</v>
      </c>
      <c r="L59" s="514">
        <f>Wood!J66</f>
        <v>0</v>
      </c>
      <c r="M59" s="515">
        <f>J59*(1-Recovery_OX!E59)*(1-Recovery_OX!F59)</f>
        <v>0</v>
      </c>
      <c r="N59" s="513">
        <f>K59*(1-Recovery_OX!E59)*(1-Recovery_OX!F59)</f>
        <v>0.16301218904901396</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31.775274257126405</v>
      </c>
      <c r="H60" s="510">
        <f>H59+HWP!E60</f>
        <v>26.214601262129285</v>
      </c>
      <c r="I60" s="493"/>
      <c r="J60" s="512">
        <f>Garden!J67</f>
        <v>0</v>
      </c>
      <c r="K60" s="513">
        <f>Paper!J67</f>
        <v>0.1519915576386407</v>
      </c>
      <c r="L60" s="514">
        <f>Wood!J67</f>
        <v>0</v>
      </c>
      <c r="M60" s="515">
        <f>J60*(1-Recovery_OX!E60)*(1-Recovery_OX!F60)</f>
        <v>0</v>
      </c>
      <c r="N60" s="513">
        <f>K60*(1-Recovery_OX!E60)*(1-Recovery_OX!F60)</f>
        <v>0.1519915576386407</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31.775274257126405</v>
      </c>
      <c r="H61" s="510">
        <f>H60+HWP!E61</f>
        <v>26.214601262129285</v>
      </c>
      <c r="I61" s="493"/>
      <c r="J61" s="512">
        <f>Garden!J68</f>
        <v>0</v>
      </c>
      <c r="K61" s="513">
        <f>Paper!J68</f>
        <v>0.14171598902014731</v>
      </c>
      <c r="L61" s="514">
        <f>Wood!J68</f>
        <v>0</v>
      </c>
      <c r="M61" s="515">
        <f>J61*(1-Recovery_OX!E61)*(1-Recovery_OX!F61)</f>
        <v>0</v>
      </c>
      <c r="N61" s="513">
        <f>K61*(1-Recovery_OX!E61)*(1-Recovery_OX!F61)</f>
        <v>0.14171598902014731</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31.775274257126405</v>
      </c>
      <c r="H62" s="510">
        <f>H61+HWP!E62</f>
        <v>26.214601262129285</v>
      </c>
      <c r="I62" s="493"/>
      <c r="J62" s="512">
        <f>Garden!J69</f>
        <v>0</v>
      </c>
      <c r="K62" s="513">
        <f>Paper!J69</f>
        <v>0.13213511234424458</v>
      </c>
      <c r="L62" s="514">
        <f>Wood!J69</f>
        <v>0</v>
      </c>
      <c r="M62" s="515">
        <f>J62*(1-Recovery_OX!E62)*(1-Recovery_OX!F62)</f>
        <v>0</v>
      </c>
      <c r="N62" s="513">
        <f>K62*(1-Recovery_OX!E62)*(1-Recovery_OX!F62)</f>
        <v>0.13213511234424458</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31.775274257126405</v>
      </c>
      <c r="H63" s="510">
        <f>H62+HWP!E63</f>
        <v>26.214601262129285</v>
      </c>
      <c r="I63" s="493"/>
      <c r="J63" s="512">
        <f>Garden!J70</f>
        <v>0</v>
      </c>
      <c r="K63" s="513">
        <f>Paper!J70</f>
        <v>0.12320196214235182</v>
      </c>
      <c r="L63" s="514">
        <f>Wood!J70</f>
        <v>0</v>
      </c>
      <c r="M63" s="515">
        <f>J63*(1-Recovery_OX!E63)*(1-Recovery_OX!F63)</f>
        <v>0</v>
      </c>
      <c r="N63" s="513">
        <f>K63*(1-Recovery_OX!E63)*(1-Recovery_OX!F63)</f>
        <v>0.12320196214235182</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31.775274257126405</v>
      </c>
      <c r="H64" s="510">
        <f>H63+HWP!E64</f>
        <v>26.214601262129285</v>
      </c>
      <c r="I64" s="493"/>
      <c r="J64" s="512">
        <f>Garden!J71</f>
        <v>0</v>
      </c>
      <c r="K64" s="513">
        <f>Paper!J71</f>
        <v>0.11487274810181544</v>
      </c>
      <c r="L64" s="514">
        <f>Wood!J71</f>
        <v>0</v>
      </c>
      <c r="M64" s="515">
        <f>J64*(1-Recovery_OX!E64)*(1-Recovery_OX!F64)</f>
        <v>0</v>
      </c>
      <c r="N64" s="513">
        <f>K64*(1-Recovery_OX!E64)*(1-Recovery_OX!F64)</f>
        <v>0.11487274810181544</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31.775274257126405</v>
      </c>
      <c r="H65" s="510">
        <f>H64+HWP!E65</f>
        <v>26.214601262129285</v>
      </c>
      <c r="I65" s="493"/>
      <c r="J65" s="512">
        <f>Garden!J72</f>
        <v>0</v>
      </c>
      <c r="K65" s="513">
        <f>Paper!J72</f>
        <v>0.10710664040574547</v>
      </c>
      <c r="L65" s="514">
        <f>Wood!J72</f>
        <v>0</v>
      </c>
      <c r="M65" s="515">
        <f>J65*(1-Recovery_OX!E65)*(1-Recovery_OX!F65)</f>
        <v>0</v>
      </c>
      <c r="N65" s="513">
        <f>K65*(1-Recovery_OX!E65)*(1-Recovery_OX!F65)</f>
        <v>0.10710664040574547</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31.775274257126405</v>
      </c>
      <c r="H66" s="510">
        <f>H65+HWP!E66</f>
        <v>26.214601262129285</v>
      </c>
      <c r="I66" s="493"/>
      <c r="J66" s="512">
        <f>Garden!J73</f>
        <v>0</v>
      </c>
      <c r="K66" s="513">
        <f>Paper!J73</f>
        <v>9.9865569585205802E-2</v>
      </c>
      <c r="L66" s="514">
        <f>Wood!J73</f>
        <v>0</v>
      </c>
      <c r="M66" s="515">
        <f>J66*(1-Recovery_OX!E66)*(1-Recovery_OX!F66)</f>
        <v>0</v>
      </c>
      <c r="N66" s="513">
        <f>K66*(1-Recovery_OX!E66)*(1-Recovery_OX!F66)</f>
        <v>9.9865569585205802E-2</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31.775274257126405</v>
      </c>
      <c r="H67" s="510">
        <f>H66+HWP!E67</f>
        <v>26.214601262129285</v>
      </c>
      <c r="I67" s="493"/>
      <c r="J67" s="512">
        <f>Garden!J74</f>
        <v>0</v>
      </c>
      <c r="K67" s="513">
        <f>Paper!J74</f>
        <v>9.3114039902633325E-2</v>
      </c>
      <c r="L67" s="514">
        <f>Wood!J74</f>
        <v>0</v>
      </c>
      <c r="M67" s="515">
        <f>J67*(1-Recovery_OX!E67)*(1-Recovery_OX!F67)</f>
        <v>0</v>
      </c>
      <c r="N67" s="513">
        <f>K67*(1-Recovery_OX!E67)*(1-Recovery_OX!F67)</f>
        <v>9.3114039902633325E-2</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31.775274257126405</v>
      </c>
      <c r="H68" s="510">
        <f>H67+HWP!E68</f>
        <v>26.214601262129285</v>
      </c>
      <c r="I68" s="493"/>
      <c r="J68" s="512">
        <f>Garden!J75</f>
        <v>0</v>
      </c>
      <c r="K68" s="513">
        <f>Paper!J75</f>
        <v>8.6818955351691179E-2</v>
      </c>
      <c r="L68" s="514">
        <f>Wood!J75</f>
        <v>0</v>
      </c>
      <c r="M68" s="515">
        <f>J68*(1-Recovery_OX!E68)*(1-Recovery_OX!F68)</f>
        <v>0</v>
      </c>
      <c r="N68" s="513">
        <f>K68*(1-Recovery_OX!E68)*(1-Recovery_OX!F68)</f>
        <v>8.6818955351691179E-2</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31.775274257126405</v>
      </c>
      <c r="H69" s="510">
        <f>H68+HWP!E69</f>
        <v>26.214601262129285</v>
      </c>
      <c r="I69" s="493"/>
      <c r="J69" s="512">
        <f>Garden!J76</f>
        <v>0</v>
      </c>
      <c r="K69" s="513">
        <f>Paper!J76</f>
        <v>8.0949457420607301E-2</v>
      </c>
      <c r="L69" s="514">
        <f>Wood!J76</f>
        <v>0</v>
      </c>
      <c r="M69" s="515">
        <f>J69*(1-Recovery_OX!E69)*(1-Recovery_OX!F69)</f>
        <v>0</v>
      </c>
      <c r="N69" s="513">
        <f>K69*(1-Recovery_OX!E69)*(1-Recovery_OX!F69)</f>
        <v>8.0949457420607301E-2</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31.775274257126405</v>
      </c>
      <c r="H70" s="510">
        <f>H69+HWP!E70</f>
        <v>26.214601262129285</v>
      </c>
      <c r="I70" s="493"/>
      <c r="J70" s="512">
        <f>Garden!J77</f>
        <v>0</v>
      </c>
      <c r="K70" s="513">
        <f>Paper!J77</f>
        <v>7.5476773823713955E-2</v>
      </c>
      <c r="L70" s="514">
        <f>Wood!J77</f>
        <v>0</v>
      </c>
      <c r="M70" s="515">
        <f>J70*(1-Recovery_OX!E70)*(1-Recovery_OX!F70)</f>
        <v>0</v>
      </c>
      <c r="N70" s="513">
        <f>K70*(1-Recovery_OX!E70)*(1-Recovery_OX!F70)</f>
        <v>7.5476773823713955E-2</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31.775274257126405</v>
      </c>
      <c r="H71" s="510">
        <f>H70+HWP!E71</f>
        <v>26.214601262129285</v>
      </c>
      <c r="I71" s="493"/>
      <c r="J71" s="512">
        <f>Garden!J78</f>
        <v>0</v>
      </c>
      <c r="K71" s="513">
        <f>Paper!J78</f>
        <v>7.0374077459669948E-2</v>
      </c>
      <c r="L71" s="514">
        <f>Wood!J78</f>
        <v>0</v>
      </c>
      <c r="M71" s="515">
        <f>J71*(1-Recovery_OX!E71)*(1-Recovery_OX!F71)</f>
        <v>0</v>
      </c>
      <c r="N71" s="513">
        <f>K71*(1-Recovery_OX!E71)*(1-Recovery_OX!F71)</f>
        <v>7.0374077459669948E-2</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31.775274257126405</v>
      </c>
      <c r="H72" s="510">
        <f>H71+HWP!E72</f>
        <v>26.214601262129285</v>
      </c>
      <c r="I72" s="493"/>
      <c r="J72" s="512">
        <f>Garden!J79</f>
        <v>0</v>
      </c>
      <c r="K72" s="513">
        <f>Paper!J79</f>
        <v>6.561635490497876E-2</v>
      </c>
      <c r="L72" s="514">
        <f>Wood!J79</f>
        <v>0</v>
      </c>
      <c r="M72" s="515">
        <f>J72*(1-Recovery_OX!E72)*(1-Recovery_OX!F72)</f>
        <v>0</v>
      </c>
      <c r="N72" s="513">
        <f>K72*(1-Recovery_OX!E72)*(1-Recovery_OX!F72)</f>
        <v>6.561635490497876E-2</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31.775274257126405</v>
      </c>
      <c r="H73" s="510">
        <f>H72+HWP!E73</f>
        <v>26.214601262129285</v>
      </c>
      <c r="I73" s="493"/>
      <c r="J73" s="512">
        <f>Garden!J80</f>
        <v>0</v>
      </c>
      <c r="K73" s="513">
        <f>Paper!J80</f>
        <v>6.1180283798157549E-2</v>
      </c>
      <c r="L73" s="514">
        <f>Wood!J80</f>
        <v>0</v>
      </c>
      <c r="M73" s="515">
        <f>J73*(1-Recovery_OX!E73)*(1-Recovery_OX!F73)</f>
        <v>0</v>
      </c>
      <c r="N73" s="513">
        <f>K73*(1-Recovery_OX!E73)*(1-Recovery_OX!F73)</f>
        <v>6.1180283798157549E-2</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31.775274257126405</v>
      </c>
      <c r="H74" s="510">
        <f>H73+HWP!E74</f>
        <v>26.214601262129285</v>
      </c>
      <c r="I74" s="493"/>
      <c r="J74" s="512">
        <f>Garden!J81</f>
        <v>0</v>
      </c>
      <c r="K74" s="513">
        <f>Paper!J81</f>
        <v>5.7044118513494113E-2</v>
      </c>
      <c r="L74" s="514">
        <f>Wood!J81</f>
        <v>0</v>
      </c>
      <c r="M74" s="515">
        <f>J74*(1-Recovery_OX!E74)*(1-Recovery_OX!F74)</f>
        <v>0</v>
      </c>
      <c r="N74" s="513">
        <f>K74*(1-Recovery_OX!E74)*(1-Recovery_OX!F74)</f>
        <v>5.7044118513494113E-2</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31.775274257126405</v>
      </c>
      <c r="H75" s="510">
        <f>H74+HWP!E75</f>
        <v>26.214601262129285</v>
      </c>
      <c r="I75" s="493"/>
      <c r="J75" s="512">
        <f>Garden!J82</f>
        <v>0</v>
      </c>
      <c r="K75" s="513">
        <f>Paper!J82</f>
        <v>5.31875835639644E-2</v>
      </c>
      <c r="L75" s="514">
        <f>Wood!J82</f>
        <v>0</v>
      </c>
      <c r="M75" s="515">
        <f>J75*(1-Recovery_OX!E75)*(1-Recovery_OX!F75)</f>
        <v>0</v>
      </c>
      <c r="N75" s="513">
        <f>K75*(1-Recovery_OX!E75)*(1-Recovery_OX!F75)</f>
        <v>5.31875835639644E-2</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31.775274257126405</v>
      </c>
      <c r="H76" s="510">
        <f>H75+HWP!E76</f>
        <v>26.214601262129285</v>
      </c>
      <c r="I76" s="493"/>
      <c r="J76" s="512">
        <f>Garden!J83</f>
        <v>0</v>
      </c>
      <c r="K76" s="513">
        <f>Paper!J83</f>
        <v>4.95917742107716E-2</v>
      </c>
      <c r="L76" s="514">
        <f>Wood!J83</f>
        <v>0</v>
      </c>
      <c r="M76" s="515">
        <f>J76*(1-Recovery_OX!E76)*(1-Recovery_OX!F76)</f>
        <v>0</v>
      </c>
      <c r="N76" s="513">
        <f>K76*(1-Recovery_OX!E76)*(1-Recovery_OX!F76)</f>
        <v>4.95917742107716E-2</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31.775274257126405</v>
      </c>
      <c r="H77" s="510">
        <f>H76+HWP!E77</f>
        <v>26.214601262129285</v>
      </c>
      <c r="I77" s="493"/>
      <c r="J77" s="512">
        <f>Garden!J84</f>
        <v>0</v>
      </c>
      <c r="K77" s="513">
        <f>Paper!J84</f>
        <v>4.623906379229463E-2</v>
      </c>
      <c r="L77" s="514">
        <f>Wood!J84</f>
        <v>0</v>
      </c>
      <c r="M77" s="515">
        <f>J77*(1-Recovery_OX!E77)*(1-Recovery_OX!F77)</f>
        <v>0</v>
      </c>
      <c r="N77" s="513">
        <f>K77*(1-Recovery_OX!E77)*(1-Recovery_OX!F77)</f>
        <v>4.623906379229463E-2</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31.775274257126405</v>
      </c>
      <c r="H78" s="510">
        <f>H77+HWP!E78</f>
        <v>26.214601262129285</v>
      </c>
      <c r="I78" s="493"/>
      <c r="J78" s="512">
        <f>Garden!J85</f>
        <v>0</v>
      </c>
      <c r="K78" s="513">
        <f>Paper!J85</f>
        <v>4.3113017318172416E-2</v>
      </c>
      <c r="L78" s="514">
        <f>Wood!J85</f>
        <v>0</v>
      </c>
      <c r="M78" s="515">
        <f>J78*(1-Recovery_OX!E78)*(1-Recovery_OX!F78)</f>
        <v>0</v>
      </c>
      <c r="N78" s="513">
        <f>K78*(1-Recovery_OX!E78)*(1-Recovery_OX!F78)</f>
        <v>4.3113017318172416E-2</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31.775274257126405</v>
      </c>
      <c r="H79" s="510">
        <f>H78+HWP!E79</f>
        <v>26.214601262129285</v>
      </c>
      <c r="I79" s="493"/>
      <c r="J79" s="512">
        <f>Garden!J86</f>
        <v>0</v>
      </c>
      <c r="K79" s="513">
        <f>Paper!J86</f>
        <v>4.0198310904962078E-2</v>
      </c>
      <c r="L79" s="514">
        <f>Wood!J86</f>
        <v>0</v>
      </c>
      <c r="M79" s="515">
        <f>J79*(1-Recovery_OX!E79)*(1-Recovery_OX!F79)</f>
        <v>0</v>
      </c>
      <c r="N79" s="513">
        <f>K79*(1-Recovery_OX!E79)*(1-Recovery_OX!F79)</f>
        <v>4.0198310904962078E-2</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31.775274257126405</v>
      </c>
      <c r="H80" s="510">
        <f>H79+HWP!E80</f>
        <v>26.214601262129285</v>
      </c>
      <c r="I80" s="493"/>
      <c r="J80" s="512">
        <f>Garden!J87</f>
        <v>0</v>
      </c>
      <c r="K80" s="513">
        <f>Paper!J87</f>
        <v>3.7480656658444529E-2</v>
      </c>
      <c r="L80" s="514">
        <f>Wood!J87</f>
        <v>0</v>
      </c>
      <c r="M80" s="515">
        <f>J80*(1-Recovery_OX!E80)*(1-Recovery_OX!F80)</f>
        <v>0</v>
      </c>
      <c r="N80" s="513">
        <f>K80*(1-Recovery_OX!E80)*(1-Recovery_OX!F80)</f>
        <v>3.7480656658444529E-2</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31.775274257126405</v>
      </c>
      <c r="H81" s="510">
        <f>H80+HWP!E81</f>
        <v>26.214601262129285</v>
      </c>
      <c r="I81" s="493"/>
      <c r="J81" s="512">
        <f>Garden!J88</f>
        <v>0</v>
      </c>
      <c r="K81" s="513">
        <f>Paper!J88</f>
        <v>3.4946732634350407E-2</v>
      </c>
      <c r="L81" s="514">
        <f>Wood!J88</f>
        <v>0</v>
      </c>
      <c r="M81" s="515">
        <f>J81*(1-Recovery_OX!E81)*(1-Recovery_OX!F81)</f>
        <v>0</v>
      </c>
      <c r="N81" s="513">
        <f>K81*(1-Recovery_OX!E81)*(1-Recovery_OX!F81)</f>
        <v>3.4946732634350407E-2</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31.775274257126405</v>
      </c>
      <c r="H82" s="510">
        <f>H81+HWP!E82</f>
        <v>26.214601262129285</v>
      </c>
      <c r="I82" s="493"/>
      <c r="J82" s="512">
        <f>Garden!J89</f>
        <v>0</v>
      </c>
      <c r="K82" s="513">
        <f>Paper!J89</f>
        <v>3.258411753417384E-2</v>
      </c>
      <c r="L82" s="514">
        <f>Wood!J89</f>
        <v>0</v>
      </c>
      <c r="M82" s="515">
        <f>J82*(1-Recovery_OX!E82)*(1-Recovery_OX!F82)</f>
        <v>0</v>
      </c>
      <c r="N82" s="513">
        <f>K82*(1-Recovery_OX!E82)*(1-Recovery_OX!F82)</f>
        <v>3.258411753417384E-2</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31.775274257126405</v>
      </c>
      <c r="H83" s="510">
        <f>H82+HWP!E83</f>
        <v>26.214601262129285</v>
      </c>
      <c r="I83" s="493"/>
      <c r="J83" s="512">
        <f>Garden!J90</f>
        <v>0</v>
      </c>
      <c r="K83" s="513">
        <f>Paper!J90</f>
        <v>3.0381229815952735E-2</v>
      </c>
      <c r="L83" s="514">
        <f>Wood!J90</f>
        <v>0</v>
      </c>
      <c r="M83" s="515">
        <f>J83*(1-Recovery_OX!E83)*(1-Recovery_OX!F83)</f>
        <v>0</v>
      </c>
      <c r="N83" s="513">
        <f>K83*(1-Recovery_OX!E83)*(1-Recovery_OX!F83)</f>
        <v>3.0381229815952735E-2</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31.775274257126405</v>
      </c>
      <c r="H84" s="510">
        <f>H83+HWP!E84</f>
        <v>26.214601262129285</v>
      </c>
      <c r="I84" s="493"/>
      <c r="J84" s="512">
        <f>Garden!J91</f>
        <v>0</v>
      </c>
      <c r="K84" s="513">
        <f>Paper!J91</f>
        <v>2.8327270921536658E-2</v>
      </c>
      <c r="L84" s="514">
        <f>Wood!J91</f>
        <v>0</v>
      </c>
      <c r="M84" s="515">
        <f>J84*(1-Recovery_OX!E84)*(1-Recovery_OX!F84)</f>
        <v>0</v>
      </c>
      <c r="N84" s="513">
        <f>K84*(1-Recovery_OX!E84)*(1-Recovery_OX!F84)</f>
        <v>2.8327270921536658E-2</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31.775274257126405</v>
      </c>
      <c r="H85" s="510">
        <f>H84+HWP!E85</f>
        <v>26.214601262129285</v>
      </c>
      <c r="I85" s="493"/>
      <c r="J85" s="512">
        <f>Garden!J92</f>
        <v>0</v>
      </c>
      <c r="K85" s="513">
        <f>Paper!J92</f>
        <v>2.641217234204226E-2</v>
      </c>
      <c r="L85" s="514">
        <f>Wood!J92</f>
        <v>0</v>
      </c>
      <c r="M85" s="515">
        <f>J85*(1-Recovery_OX!E85)*(1-Recovery_OX!F85)</f>
        <v>0</v>
      </c>
      <c r="N85" s="513">
        <f>K85*(1-Recovery_OX!E85)*(1-Recovery_OX!F85)</f>
        <v>2.641217234204226E-2</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31.775274257126405</v>
      </c>
      <c r="H86" s="510">
        <f>H85+HWP!E86</f>
        <v>26.214601262129285</v>
      </c>
      <c r="I86" s="493"/>
      <c r="J86" s="512">
        <f>Garden!J93</f>
        <v>0</v>
      </c>
      <c r="K86" s="513">
        <f>Paper!J93</f>
        <v>2.462654626201102E-2</v>
      </c>
      <c r="L86" s="514">
        <f>Wood!J93</f>
        <v>0</v>
      </c>
      <c r="M86" s="515">
        <f>J86*(1-Recovery_OX!E86)*(1-Recovery_OX!F86)</f>
        <v>0</v>
      </c>
      <c r="N86" s="513">
        <f>K86*(1-Recovery_OX!E86)*(1-Recovery_OX!F86)</f>
        <v>2.462654626201102E-2</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31.775274257126405</v>
      </c>
      <c r="H87" s="510">
        <f>H86+HWP!E87</f>
        <v>26.214601262129285</v>
      </c>
      <c r="I87" s="493"/>
      <c r="J87" s="512">
        <f>Garden!J94</f>
        <v>0</v>
      </c>
      <c r="K87" s="513">
        <f>Paper!J94</f>
        <v>2.2961639540327008E-2</v>
      </c>
      <c r="L87" s="514">
        <f>Wood!J94</f>
        <v>0</v>
      </c>
      <c r="M87" s="515">
        <f>J87*(1-Recovery_OX!E87)*(1-Recovery_OX!F87)</f>
        <v>0</v>
      </c>
      <c r="N87" s="513">
        <f>K87*(1-Recovery_OX!E87)*(1-Recovery_OX!F87)</f>
        <v>2.2961639540327008E-2</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31.775274257126405</v>
      </c>
      <c r="H88" s="510">
        <f>H87+HWP!E88</f>
        <v>26.214601262129285</v>
      </c>
      <c r="I88" s="493"/>
      <c r="J88" s="512">
        <f>Garden!J95</f>
        <v>0</v>
      </c>
      <c r="K88" s="513">
        <f>Paper!J95</f>
        <v>2.1409290802308963E-2</v>
      </c>
      <c r="L88" s="514">
        <f>Wood!J95</f>
        <v>0</v>
      </c>
      <c r="M88" s="515">
        <f>J88*(1-Recovery_OX!E88)*(1-Recovery_OX!F88)</f>
        <v>0</v>
      </c>
      <c r="N88" s="513">
        <f>K88*(1-Recovery_OX!E88)*(1-Recovery_OX!F88)</f>
        <v>2.1409290802308963E-2</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31.775274257126405</v>
      </c>
      <c r="H89" s="510">
        <f>H88+HWP!E89</f>
        <v>26.214601262129285</v>
      </c>
      <c r="I89" s="493"/>
      <c r="J89" s="512">
        <f>Garden!J96</f>
        <v>0</v>
      </c>
      <c r="K89" s="513">
        <f>Paper!J96</f>
        <v>1.9961890432642137E-2</v>
      </c>
      <c r="L89" s="514">
        <f>Wood!J96</f>
        <v>0</v>
      </c>
      <c r="M89" s="515">
        <f>J89*(1-Recovery_OX!E89)*(1-Recovery_OX!F89)</f>
        <v>0</v>
      </c>
      <c r="N89" s="513">
        <f>K89*(1-Recovery_OX!E89)*(1-Recovery_OX!F89)</f>
        <v>1.9961890432642137E-2</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31.775274257126405</v>
      </c>
      <c r="H90" s="510">
        <f>H89+HWP!E90</f>
        <v>26.214601262129285</v>
      </c>
      <c r="I90" s="493"/>
      <c r="J90" s="512">
        <f>Garden!J97</f>
        <v>0</v>
      </c>
      <c r="K90" s="513">
        <f>Paper!J97</f>
        <v>1.8612343273035205E-2</v>
      </c>
      <c r="L90" s="514">
        <f>Wood!J97</f>
        <v>0</v>
      </c>
      <c r="M90" s="515">
        <f>J90*(1-Recovery_OX!E90)*(1-Recovery_OX!F90)</f>
        <v>0</v>
      </c>
      <c r="N90" s="513">
        <f>K90*(1-Recovery_OX!E90)*(1-Recovery_OX!F90)</f>
        <v>1.8612343273035205E-2</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31.775274257126405</v>
      </c>
      <c r="H91" s="510">
        <f>H90+HWP!E91</f>
        <v>26.214601262129285</v>
      </c>
      <c r="I91" s="493"/>
      <c r="J91" s="512">
        <f>Garden!J98</f>
        <v>0</v>
      </c>
      <c r="K91" s="513">
        <f>Paper!J98</f>
        <v>1.7354033841746077E-2</v>
      </c>
      <c r="L91" s="514">
        <f>Wood!J98</f>
        <v>0</v>
      </c>
      <c r="M91" s="515">
        <f>J91*(1-Recovery_OX!E91)*(1-Recovery_OX!F91)</f>
        <v>0</v>
      </c>
      <c r="N91" s="513">
        <f>K91*(1-Recovery_OX!E91)*(1-Recovery_OX!F91)</f>
        <v>1.7354033841746077E-2</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31.775274257126405</v>
      </c>
      <c r="H92" s="519">
        <f>H91+HWP!E92</f>
        <v>26.214601262129285</v>
      </c>
      <c r="I92" s="493"/>
      <c r="J92" s="521">
        <f>Garden!J99</f>
        <v>0</v>
      </c>
      <c r="K92" s="522">
        <f>Paper!J99</f>
        <v>1.6180793904482724E-2</v>
      </c>
      <c r="L92" s="523">
        <f>Wood!J99</f>
        <v>0</v>
      </c>
      <c r="M92" s="524">
        <f>J92*(1-Recovery_OX!E92)*(1-Recovery_OX!F92)</f>
        <v>0</v>
      </c>
      <c r="N92" s="522">
        <f>K92*(1-Recovery_OX!E92)*(1-Recovery_OX!F92)</f>
        <v>1.6180793904482724E-2</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2017-09-14T06:40:33Z</dcterms:modified>
</cp:coreProperties>
</file>