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2_Kaltim\"/>
    </mc:Choice>
  </mc:AlternateContent>
  <bookViews>
    <workbookView xWindow="360" yWindow="45" windowWidth="21015" windowHeight="9975" tabRatio="84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52511"/>
</workbook>
</file>

<file path=xl/calcChain.xml><?xml version="1.0" encoding="utf-8"?>
<calcChain xmlns="http://schemas.openxmlformats.org/spreadsheetml/2006/main">
  <c r="F53" i="5" l="1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2" i="1"/>
  <c r="B12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0" i="1"/>
  <c r="C9" i="1"/>
  <c r="C8" i="1"/>
  <c r="C7" i="1"/>
  <c r="C6" i="1"/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5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5" i="4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5" i="4"/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5" i="4"/>
  <c r="H6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5" i="4"/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5" i="4"/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5" i="4"/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5" i="4"/>
  <c r="O6" i="4" l="1"/>
  <c r="Q6" i="4" s="1"/>
  <c r="R6" i="4" s="1"/>
  <c r="I30" i="1" s="1"/>
  <c r="O7" i="4"/>
  <c r="Q7" i="4" s="1"/>
  <c r="R7" i="4" s="1"/>
  <c r="I31" i="1" s="1"/>
  <c r="O8" i="4"/>
  <c r="Q8" i="4" s="1"/>
  <c r="R8" i="4" s="1"/>
  <c r="I32" i="1" s="1"/>
  <c r="O9" i="4"/>
  <c r="Q9" i="4" s="1"/>
  <c r="R9" i="4" s="1"/>
  <c r="I33" i="1" s="1"/>
  <c r="O10" i="4"/>
  <c r="Q10" i="4" s="1"/>
  <c r="R10" i="4" s="1"/>
  <c r="I34" i="1" s="1"/>
  <c r="O11" i="4"/>
  <c r="Q11" i="4" s="1"/>
  <c r="R11" i="4" s="1"/>
  <c r="I35" i="1" s="1"/>
  <c r="O12" i="4"/>
  <c r="Q12" i="4" s="1"/>
  <c r="R12" i="4" s="1"/>
  <c r="I36" i="1" s="1"/>
  <c r="O13" i="4"/>
  <c r="Q13" i="4" s="1"/>
  <c r="R13" i="4" s="1"/>
  <c r="I37" i="1" s="1"/>
  <c r="O14" i="4"/>
  <c r="Q14" i="4" s="1"/>
  <c r="R14" i="4" s="1"/>
  <c r="I38" i="1" s="1"/>
  <c r="O15" i="4"/>
  <c r="Q15" i="4" s="1"/>
  <c r="R15" i="4" s="1"/>
  <c r="I39" i="1" s="1"/>
  <c r="O16" i="4"/>
  <c r="Q16" i="4" s="1"/>
  <c r="R16" i="4" s="1"/>
  <c r="I40" i="1" s="1"/>
  <c r="O17" i="4"/>
  <c r="Q17" i="4" s="1"/>
  <c r="R17" i="4" s="1"/>
  <c r="I41" i="1" s="1"/>
  <c r="O18" i="4"/>
  <c r="Q18" i="4" s="1"/>
  <c r="R18" i="4" s="1"/>
  <c r="I42" i="1" s="1"/>
  <c r="O19" i="4"/>
  <c r="Q19" i="4" s="1"/>
  <c r="R19" i="4" s="1"/>
  <c r="I43" i="1" s="1"/>
  <c r="O20" i="4"/>
  <c r="Q20" i="4" s="1"/>
  <c r="R20" i="4" s="1"/>
  <c r="I44" i="1" s="1"/>
  <c r="O21" i="4"/>
  <c r="Q21" i="4" s="1"/>
  <c r="R21" i="4" s="1"/>
  <c r="I45" i="1" s="1"/>
  <c r="O22" i="4"/>
  <c r="Q22" i="4" s="1"/>
  <c r="R22" i="4" s="1"/>
  <c r="I46" i="1" s="1"/>
  <c r="O23" i="4"/>
  <c r="Q23" i="4" s="1"/>
  <c r="R23" i="4" s="1"/>
  <c r="I47" i="1" s="1"/>
  <c r="O24" i="4"/>
  <c r="Q24" i="4" s="1"/>
  <c r="R24" i="4" s="1"/>
  <c r="I48" i="1" s="1"/>
  <c r="O5" i="4"/>
  <c r="Q5" i="4" l="1"/>
  <c r="R5" i="4" s="1"/>
  <c r="I29" i="1" s="1"/>
  <c r="B29" i="1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5" i="4" l="1"/>
  <c r="E5" i="4" s="1"/>
  <c r="D16" i="6" l="1"/>
  <c r="D17" i="6"/>
  <c r="D18" i="6"/>
  <c r="D19" i="6"/>
  <c r="D20" i="6"/>
  <c r="D21" i="6"/>
  <c r="D22" i="6"/>
  <c r="D23" i="6"/>
  <c r="D24" i="6"/>
  <c r="D25" i="6"/>
  <c r="J81" i="3"/>
  <c r="I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D7" i="4"/>
  <c r="E7" i="4" s="1"/>
  <c r="I41" i="2" s="1"/>
  <c r="D8" i="4"/>
  <c r="E8" i="4" s="1"/>
  <c r="C32" i="1" s="1"/>
  <c r="D9" i="4"/>
  <c r="E9" i="4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G31" i="4"/>
  <c r="G32" i="4" s="1"/>
  <c r="E31" i="4"/>
  <c r="E32" i="4" s="1"/>
  <c r="I39" i="2" l="1"/>
  <c r="F61" i="3"/>
  <c r="F40" i="3"/>
  <c r="F27" i="5"/>
  <c r="F29" i="5"/>
  <c r="F65" i="5"/>
  <c r="F69" i="5"/>
  <c r="I49" i="2"/>
  <c r="C39" i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40" i="2"/>
  <c r="F32" i="1"/>
  <c r="E32" i="1"/>
  <c r="I42" i="2"/>
  <c r="B30" i="1"/>
  <c r="F30" i="1"/>
  <c r="E30" i="1"/>
  <c r="C37" i="1"/>
  <c r="I47" i="2"/>
  <c r="F33" i="1"/>
  <c r="B33" i="1"/>
  <c r="D33" i="1"/>
  <c r="G33" i="1"/>
  <c r="H33" i="1"/>
  <c r="I43" i="2"/>
  <c r="F31" i="5"/>
  <c r="F33" i="5"/>
  <c r="F63" i="5"/>
  <c r="C38" i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39" i="1" l="1"/>
  <c r="J31" i="1"/>
  <c r="J29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s="1"/>
  <c r="J62" i="3" s="1"/>
  <c r="H11" i="3" l="1"/>
  <c r="I11" i="3" s="1"/>
  <c r="I63" i="3" s="1"/>
  <c r="J63" i="3" s="1"/>
  <c r="H12" i="3" l="1"/>
  <c r="I12" i="3" s="1"/>
  <c r="I64" i="3" s="1"/>
  <c r="J64" i="3" s="1"/>
  <c r="H13" i="3" l="1"/>
  <c r="I13" i="3" s="1"/>
  <c r="I65" i="3" s="1"/>
  <c r="J65" i="3" s="1"/>
  <c r="H14" i="3" l="1"/>
  <c r="I14" i="3" s="1"/>
  <c r="I66" i="3" s="1"/>
  <c r="J66" i="3" s="1"/>
  <c r="H15" i="3" l="1"/>
  <c r="I15" i="3" s="1"/>
  <c r="I67" i="3" s="1"/>
  <c r="J67" i="3" s="1"/>
  <c r="H16" i="3" l="1"/>
  <c r="I16" i="3" s="1"/>
  <c r="I68" i="3" s="1"/>
  <c r="J68" i="3" s="1"/>
  <c r="H17" i="3" l="1"/>
  <c r="I17" i="3" s="1"/>
  <c r="I69" i="3" s="1"/>
  <c r="J69" i="3" s="1"/>
  <c r="H18" i="3" l="1"/>
  <c r="I18" i="3" s="1"/>
  <c r="I70" i="3" s="1"/>
  <c r="J70" i="3" s="1"/>
  <c r="H19" i="3" l="1"/>
  <c r="I19" i="3" s="1"/>
  <c r="I71" i="3" s="1"/>
  <c r="J71" i="3" s="1"/>
  <c r="H20" i="3" l="1"/>
  <c r="I20" i="3" s="1"/>
  <c r="I72" i="3" s="1"/>
  <c r="J72" i="3" s="1"/>
  <c r="H21" i="3" l="1"/>
  <c r="I21" i="3" s="1"/>
  <c r="I73" i="3" s="1"/>
  <c r="J73" i="3" s="1"/>
  <c r="H22" i="3" l="1"/>
  <c r="I22" i="3" s="1"/>
  <c r="I74" i="3" s="1"/>
  <c r="J74" i="3" s="1"/>
  <c r="H23" i="3" l="1"/>
  <c r="I23" i="3" s="1"/>
  <c r="I75" i="3" s="1"/>
  <c r="J75" i="3" s="1"/>
  <c r="H24" i="3" l="1"/>
  <c r="I24" i="3" s="1"/>
  <c r="I76" i="3" s="1"/>
  <c r="J76" i="3" s="1"/>
  <c r="H25" i="3" l="1"/>
  <c r="I25" i="3" s="1"/>
  <c r="I77" i="3" s="1"/>
  <c r="J77" i="3" s="1"/>
  <c r="H26" i="3" l="1"/>
  <c r="I26" i="3" s="1"/>
  <c r="I78" i="3" s="1"/>
  <c r="J78" i="3" s="1"/>
  <c r="H27" i="3" l="1"/>
  <c r="I27" i="3" s="1"/>
  <c r="I79" i="3" s="1"/>
  <c r="J79" i="3" s="1"/>
  <c r="H28" i="3" l="1"/>
  <c r="I28" i="3" s="1"/>
  <c r="I80" i="3" s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<sst xmlns="http://schemas.openxmlformats.org/spreadsheetml/2006/main" count="316" uniqueCount="164">
  <si>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</si>
  <si>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</si>
  <si>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</si>
  <si>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</si>
  <si>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</si>
  <si>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</si>
  <si>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</si>
  <si>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</si>
  <si>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</si>
  <si>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</si>
  <si>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</si>
  <si>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</si>
  <si>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</si>
  <si>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</si>
  <si>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</si>
  <si>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</si>
  <si>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</si>
  <si>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</si>
  <si>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</si>
  <si>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</si>
  <si>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</si>
  <si>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</si>
  <si>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</si>
  <si>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</si>
  <si>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</si>
  <si>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</si>
  <si>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</si>
  <si>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</si>
  <si>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</si>
  <si>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</si>
  <si>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</si>
  <si>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</si>
  <si>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</si>
  <si>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</si>
  <si>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</si>
  <si>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</si>
  <si>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</si>
  <si>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</si>
  <si>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</si>
  <si>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</si>
  <si>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</si>
  <si>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</si>
  <si>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</si>
  <si>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</si>
  <si>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</si>
  <si>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</si>
  <si>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</si>
  <si>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</si>
  <si>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</si>
  <si>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</si>
  <si>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</si>
  <si>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</si>
  <si>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</si>
  <si>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</si>
  <si>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</si>
  <si>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</si>
  <si>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</si>
  <si>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</si>
  <si>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</si>
  <si>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</si>
  <si>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</si>
  <si>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</si>
  <si>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</si>
  <si>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</si>
  <si>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</si>
  <si>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</si>
  <si>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</si>
  <si>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</si>
  <si>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</si>
  <si>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</si>
  <si>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</si>
  <si>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</si>
  <si>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</si>
  <si>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</si>
  <si>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</si>
  <si>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</si>
  <si>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</si>
  <si>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</si>
  <si>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</si>
  <si>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</si>
  <si>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</si>
  <si>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</si>
  <si>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</si>
  <si>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</si>
  <si>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</si>
  <si>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</si>
  <si>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</si>
  <si>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</si>
  <si>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</si>
  <si>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</si>
  <si>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</si>
  <si>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</si>
  <si>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</si>
  <si>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</si>
  <si>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</si>
  <si>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</si>
  <si>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</si>
  <si>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</si>
  <si>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</si>
  <si>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</si>
  <si>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</si>
  <si>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</si>
  <si>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</si>
  <si>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</si>
  <si>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</si>
  <si>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</si>
  <si>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</si>
  <si>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</si>
  <si>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</si>
  <si>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</si>
  <si>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</si>
  <si>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</si>
  <si>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</si>
  <si>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</si>
  <si>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</si>
  <si>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</si>
  <si>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</si>
  <si>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</si>
  <si>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</si>
  <si>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</si>
  <si>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</si>
  <si>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</si>
  <si>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</si>
  <si>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</si>
  <si>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</si>
  <si>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</si>
  <si>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</si>
  <si>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</si>
  <si>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</si>
  <si>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</si>
  <si>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</si>
  <si>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</si>
  <si>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</si>
  <si>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</si>
  <si>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</si>
  <si>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</si>
  <si>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</si>
  <si>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</si>
  <si>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</si>
  <si>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</si>
  <si>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</si>
  <si>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</si>
  <si>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</si>
  <si>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</si>
  <si>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</si>
  <si>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</si>
  <si>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</si>
  <si>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</si>
  <si>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</si>
  <si>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</si>
  <si>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</si>
  <si>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</si>
  <si>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</si>
  <si>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Berau</t>
  </si>
  <si>
    <t>Kutim</t>
  </si>
  <si>
    <t>Kukar</t>
  </si>
  <si>
    <t>Kubar</t>
  </si>
  <si>
    <t>Paser</t>
  </si>
  <si>
    <t>PPU</t>
  </si>
  <si>
    <t>Mahulu</t>
  </si>
  <si>
    <t>SMD</t>
  </si>
  <si>
    <t>BPP</t>
  </si>
  <si>
    <t>Bontang</t>
  </si>
  <si>
    <t>KALTIM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</si>
</sst>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4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8" fontId="0" fillId="0" borderId="0" xfId="1" applyNumberFormat="1" applyFont="1" applyAlignment="1">
      <alignment vertical="center"/>
    </xf>
    <xf numFmtId="171" fontId="6" fillId="8" borderId="1" xfId="2" applyNumberFormat="1" applyFont="1" applyFill="1" applyBorder="1" applyAlignment="1">
      <alignment horizontal="center" vertical="center" wrapText="1"/>
    </xf>
    <xf numFmtId="10" fontId="6" fillId="8" borderId="1" xfId="2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1.590646015935</c:v>
                </c:pt>
                <c:pt idx="1">
                  <c:v>1.6247581117200001</c:v>
                </c:pt>
                <c:pt idx="2">
                  <c:v>1.6632864575099997</c:v>
                </c:pt>
                <c:pt idx="3">
                  <c:v>1.7015110500600001</c:v>
                </c:pt>
                <c:pt idx="4">
                  <c:v>1.7395251754499998</c:v>
                </c:pt>
                <c:pt idx="5">
                  <c:v>1.7772414018750002</c:v>
                </c:pt>
                <c:pt idx="6">
                  <c:v>1.8785216873297084</c:v>
                </c:pt>
                <c:pt idx="7">
                  <c:v>1.9814025172516307</c:v>
                </c:pt>
                <c:pt idx="8">
                  <c:v>2.0886217252385686</c:v>
                </c:pt>
                <c:pt idx="9">
                  <c:v>2.2003430338861252</c:v>
                </c:pt>
                <c:pt idx="10">
                  <c:v>2.3167359741302667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GRK'!$S$9:$S$29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0</c:v>
                </c:pt>
                <c:pt idx="1">
                  <c:v>45.747794992283097</c:v>
                </c:pt>
                <c:pt idx="2">
                  <c:v>79.094452515604317</c:v>
                </c:pt>
                <c:pt idx="3">
                  <c:v>104.08223748274501</c:v>
                </c:pt>
                <c:pt idx="4">
                  <c:v>123.31420951495056</c:v>
                </c:pt>
                <c:pt idx="5">
                  <c:v>138.5578549140987</c:v>
                </c:pt>
                <c:pt idx="6">
                  <c:v>124.9956606830206</c:v>
                </c:pt>
                <c:pt idx="7">
                  <c:v>135.81392691852497</c:v>
                </c:pt>
                <c:pt idx="8">
                  <c:v>146.39647170280463</c:v>
                </c:pt>
                <c:pt idx="9">
                  <c:v>156.89551713525489</c:v>
                </c:pt>
                <c:pt idx="10">
                  <c:v>167.42255456455334</c:v>
                </c:pt>
                <c:pt idx="11">
                  <c:v>178.0611055941082</c:v>
                </c:pt>
                <c:pt idx="12">
                  <c:v>188.87539973668879</c:v>
                </c:pt>
                <c:pt idx="13">
                  <c:v>199.91629659757191</c:v>
                </c:pt>
                <c:pt idx="14">
                  <c:v>211.22534555606433</c:v>
                </c:pt>
                <c:pt idx="15">
                  <c:v>222.83758394067266</c:v>
                </c:pt>
                <c:pt idx="16">
                  <c:v>234.78347860038855</c:v>
                </c:pt>
                <c:pt idx="17">
                  <c:v>247.09028401201459</c:v>
                </c:pt>
                <c:pt idx="18">
                  <c:v>259.78300147236104</c:v>
                </c:pt>
                <c:pt idx="19">
                  <c:v>272.85309379405356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GRK'!$F$61:$F$71</c:f>
              <c:numCache>
                <c:formatCode>0.000000</c:formatCode>
                <c:ptCount val="11"/>
                <c:pt idx="0">
                  <c:v>8.0541821121300003</c:v>
                </c:pt>
                <c:pt idx="1">
                  <c:v>8.2283622313200002</c:v>
                </c:pt>
                <c:pt idx="2">
                  <c:v>8.4241849992299986</c:v>
                </c:pt>
                <c:pt idx="3">
                  <c:v>8.6185676669400006</c:v>
                </c:pt>
                <c:pt idx="4">
                  <c:v>8.8119679805849991</c:v>
                </c:pt>
                <c:pt idx="5">
                  <c:v>9.003794470439999</c:v>
                </c:pt>
                <c:pt idx="6">
                  <c:v>9.2527705395336746</c:v>
                </c:pt>
                <c:pt idx="7">
                  <c:v>9.4891488949545764</c:v>
                </c:pt>
                <c:pt idx="8">
                  <c:v>9.7255272503754764</c:v>
                </c:pt>
                <c:pt idx="9">
                  <c:v>9.9619056057963746</c:v>
                </c:pt>
                <c:pt idx="10">
                  <c:v>10.198283961217275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454576"/>
        <c:axId val="484456536"/>
        <c:axId val="0"/>
      </c:bar3DChart>
      <c:catAx>
        <c:axId val="4844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4456536"/>
        <c:crosses val="autoZero"/>
        <c:auto val="1"/>
        <c:lblAlgn val="ctr"/>
        <c:lblOffset val="100"/>
        <c:noMultiLvlLbl val="0"/>
      </c:catAx>
      <c:valAx>
        <c:axId val="4844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4454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34.405940628651429</c:v>
                </c:pt>
                <c:pt idx="1">
                  <c:v>33.885023311542874</c:v>
                </c:pt>
                <c:pt idx="2">
                  <c:v>34.202344022125715</c:v>
                </c:pt>
                <c:pt idx="3">
                  <c:v>35.769814559977149</c:v>
                </c:pt>
                <c:pt idx="4">
                  <c:v>36.573927354318094</c:v>
                </c:pt>
                <c:pt idx="5">
                  <c:v>37.371496561310487</c:v>
                </c:pt>
                <c:pt idx="6">
                  <c:v>38.406680211583307</c:v>
                </c:pt>
                <c:pt idx="7">
                  <c:v>39.389485545850327</c:v>
                </c:pt>
                <c:pt idx="8">
                  <c:v>40.372290880117333</c:v>
                </c:pt>
                <c:pt idx="9">
                  <c:v>41.355096214384346</c:v>
                </c:pt>
                <c:pt idx="10">
                  <c:v>42.337901548651338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68.580741763094409</c:v>
                </c:pt>
                <c:pt idx="1">
                  <c:v>70.066718825241608</c:v>
                </c:pt>
                <c:pt idx="2">
                  <c:v>71.737335097142406</c:v>
                </c:pt>
                <c:pt idx="3">
                  <c:v>73.395665490067202</c:v>
                </c:pt>
                <c:pt idx="4">
                  <c:v>75.0456151584048</c:v>
                </c:pt>
                <c:pt idx="5">
                  <c:v>76.6821381161472</c:v>
                </c:pt>
                <c:pt idx="6">
                  <c:v>78.806219379940572</c:v>
                </c:pt>
                <c:pt idx="7">
                  <c:v>80.822826187749584</c:v>
                </c:pt>
                <c:pt idx="8">
                  <c:v>82.839432995558582</c:v>
                </c:pt>
                <c:pt idx="9">
                  <c:v>84.856039803367565</c:v>
                </c:pt>
                <c:pt idx="10">
                  <c:v>86.872646611176535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457712"/>
        <c:axId val="489255456"/>
        <c:axId val="0"/>
      </c:bar3DChart>
      <c:catAx>
        <c:axId val="4844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5456"/>
        <c:crosses val="autoZero"/>
        <c:auto val="1"/>
        <c:lblAlgn val="ctr"/>
        <c:lblOffset val="100"/>
        <c:noMultiLvlLbl val="0"/>
      </c:catAx>
      <c:valAx>
        <c:axId val="4892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102986.68239174582</c:v>
                </c:pt>
                <c:pt idx="1">
                  <c:v>103951.74213678448</c:v>
                </c:pt>
                <c:pt idx="2">
                  <c:v>105939.67911926813</c:v>
                </c:pt>
                <c:pt idx="3">
                  <c:v>109165.48005004435</c:v>
                </c:pt>
                <c:pt idx="4">
                  <c:v>111619.54251272288</c:v>
                </c:pt>
                <c:pt idx="5">
                  <c:v>114053.6346774577</c:v>
                </c:pt>
                <c:pt idx="6">
                  <c:v>117212.89959152388</c:v>
                </c:pt>
                <c:pt idx="7">
                  <c:v>120212.3117335999</c:v>
                </c:pt>
                <c:pt idx="8">
                  <c:v>123211.72387567592</c:v>
                </c:pt>
                <c:pt idx="9">
                  <c:v>126211.13601775191</c:v>
                </c:pt>
                <c:pt idx="10">
                  <c:v>129210.54815982789</c:v>
                </c:pt>
                <c:pt idx="11">
                  <c:v>132209.96030190389</c:v>
                </c:pt>
                <c:pt idx="12">
                  <c:v>135209.3724439799</c:v>
                </c:pt>
                <c:pt idx="13">
                  <c:v>138208.7845860559</c:v>
                </c:pt>
                <c:pt idx="14">
                  <c:v>141051.56694033762</c:v>
                </c:pt>
                <c:pt idx="15">
                  <c:v>144050.97908241363</c:v>
                </c:pt>
                <c:pt idx="16">
                  <c:v>147050.39122448963</c:v>
                </c:pt>
                <c:pt idx="17">
                  <c:v>150049.80336656561</c:v>
                </c:pt>
                <c:pt idx="18">
                  <c:v>153049.21550864165</c:v>
                </c:pt>
                <c:pt idx="19">
                  <c:v>156048.62765071762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56632"/>
        <c:axId val="489257024"/>
      </c:lineChart>
      <c:catAx>
        <c:axId val="48925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7024"/>
        <c:crosses val="autoZero"/>
        <c:auto val="1"/>
        <c:lblAlgn val="ctr"/>
        <c:lblOffset val="100"/>
        <c:noMultiLvlLbl val="0"/>
      </c:catAx>
      <c:valAx>
        <c:axId val="4892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_(* #,##0.00_);_(* \(#,##0.00\);_(* "-"??_);_(@_)</c:formatCode>
                <c:ptCount val="20"/>
                <c:pt idx="0">
                  <c:v>9644.8281280650008</c:v>
                </c:pt>
                <c:pt idx="1">
                  <c:v>96927.93925732706</c:v>
                </c:pt>
                <c:pt idx="2">
                  <c:v>160633.20007781714</c:v>
                </c:pt>
                <c:pt idx="3">
                  <c:v>208426.71932192123</c:v>
                </c:pt>
                <c:pt idx="4">
                  <c:v>245263.6244157826</c:v>
                </c:pt>
                <c:pt idx="5">
                  <c:v>274507.41061523661</c:v>
                </c:pt>
                <c:pt idx="6">
                  <c:v>272546.57103726687</c:v>
                </c:pt>
                <c:pt idx="7">
                  <c:v>292352.33792912064</c:v>
                </c:pt>
                <c:pt idx="8">
                  <c:v>309981.74748453911</c:v>
                </c:pt>
                <c:pt idx="9">
                  <c:v>326106.5093875287</c:v>
                </c:pt>
                <c:pt idx="10">
                  <c:v>341198.70282075711</c:v>
                </c:pt>
                <c:pt idx="11">
                  <c:v>355594.34916536114</c:v>
                </c:pt>
                <c:pt idx="12">
                  <c:v>369536.38107344101</c:v>
                </c:pt>
                <c:pt idx="13">
                  <c:v>383203.74674343417</c:v>
                </c:pt>
                <c:pt idx="14">
                  <c:v>396731.1749440775</c:v>
                </c:pt>
                <c:pt idx="15">
                  <c:v>410222.64141881699</c:v>
                </c:pt>
                <c:pt idx="16">
                  <c:v>423760.58083393209</c:v>
                </c:pt>
                <c:pt idx="17">
                  <c:v>437412.21955163276</c:v>
                </c:pt>
                <c:pt idx="18">
                  <c:v>451233.95536031533</c:v>
                </c:pt>
                <c:pt idx="19">
                  <c:v>465241.07741828321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57808"/>
        <c:axId val="489258200"/>
      </c:lineChart>
      <c:catAx>
        <c:axId val="4892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8200"/>
        <c:crosses val="autoZero"/>
        <c:auto val="1"/>
        <c:lblAlgn val="ctr"/>
        <c:lblOffset val="100"/>
        <c:noMultiLvlLbl val="0"/>
      </c:catAx>
      <c:valAx>
        <c:axId val="48925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Hitungan%20BaU-skenario-Rekap%20Emisi_2011-20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ontang/BONTANG_Hitungan%20BaU-skenario-Rekap%20Emisi_2011-203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KALTIM_IPCC%204A-TPA%20-%201_Diangkut%20TPA_Mitigas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KALTIM_IPCC%204A-TPA%20-%203_Dibuang%20Sembarangan_Mitigas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KALTIM_IPCC%204A-TPA%20-%202_Open%20Dumping_Mitigas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KALTIM_IPCC%204A-TPA%20-%204_Buang%20ke%20sungai_Mitigas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KALTIM_IPCC%204A-TPA%20-%205_Air%20Limbah_Mitig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erau/BERAU_Hitungan%20BaU-skenario-Rekap%20Emisi_2011-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tim/KUTIM_Hitungan%20BaU-skenario-Rekap%20Emisi_2011-20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kar/KUKAR_Hitungan%20BaU-skenario-Rekap%20Emisi_2011-20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bar/KUBAR_Hitungan%20BaU-skenario-Rekap%20Emisi_2011-203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Mahulu/MAHULU_Hitungan%20BaU-skenario-Rekap%20Emisi_2011-20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aser/PASER_Hitungan%20BaU-skenario-Rekap%20Emisi_2011-20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PU/PPU_Hitungan%20BaU-skenario-Rekap%20Emisi_2011-203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Samarinda/SMD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M14">
            <v>3131964</v>
          </cell>
        </row>
        <row r="15">
          <cell r="M15">
            <v>3199696</v>
          </cell>
        </row>
        <row r="16">
          <cell r="M16">
            <v>3275844</v>
          </cell>
        </row>
        <row r="17">
          <cell r="M17">
            <v>3351432</v>
          </cell>
        </row>
        <row r="18">
          <cell r="M18">
            <v>3426638</v>
          </cell>
        </row>
        <row r="19">
          <cell r="M19">
            <v>3501232</v>
          </cell>
        </row>
        <row r="20">
          <cell r="M20">
            <v>3598049.29</v>
          </cell>
        </row>
        <row r="21">
          <cell r="M21">
            <v>3689967.8100000005</v>
          </cell>
        </row>
        <row r="22">
          <cell r="M22">
            <v>3781886.33</v>
          </cell>
        </row>
        <row r="23">
          <cell r="M23">
            <v>3873804.85</v>
          </cell>
        </row>
        <row r="24">
          <cell r="M24">
            <v>3965723.3699999996</v>
          </cell>
        </row>
        <row r="25">
          <cell r="M25">
            <v>4057641.89</v>
          </cell>
        </row>
        <row r="26">
          <cell r="M26">
            <v>4149560.41</v>
          </cell>
        </row>
        <row r="27">
          <cell r="M27">
            <v>4241478.9300000006</v>
          </cell>
        </row>
        <row r="28">
          <cell r="M28">
            <v>4333397.45</v>
          </cell>
        </row>
        <row r="29">
          <cell r="M29">
            <v>4425315.97</v>
          </cell>
        </row>
        <row r="30">
          <cell r="M30">
            <v>4517234.49</v>
          </cell>
        </row>
        <row r="31">
          <cell r="M31">
            <v>4609153.01</v>
          </cell>
        </row>
        <row r="32">
          <cell r="M32">
            <v>4701071.53</v>
          </cell>
        </row>
        <row r="33">
          <cell r="M33">
            <v>4792990.0500000007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ormat Rekap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125880.48</v>
          </cell>
        </row>
        <row r="6">
          <cell r="D6">
            <v>128319.84</v>
          </cell>
        </row>
        <row r="7">
          <cell r="D7">
            <v>130750.84</v>
          </cell>
        </row>
        <row r="8">
          <cell r="D8">
            <v>133121.12</v>
          </cell>
        </row>
        <row r="9">
          <cell r="D9">
            <v>135426.28</v>
          </cell>
        </row>
        <row r="10">
          <cell r="D10">
            <v>137712.95999999999</v>
          </cell>
        </row>
        <row r="11">
          <cell r="D11">
            <v>142997.57999999999</v>
          </cell>
        </row>
        <row r="12">
          <cell r="D12">
            <v>146319.36000000002</v>
          </cell>
        </row>
        <row r="13">
          <cell r="D13">
            <v>149641.14000000001</v>
          </cell>
        </row>
        <row r="14">
          <cell r="D14">
            <v>152962.92000000001</v>
          </cell>
        </row>
        <row r="15">
          <cell r="D15">
            <v>156284.70000000001</v>
          </cell>
        </row>
        <row r="16">
          <cell r="D16">
            <v>159606.48000000001</v>
          </cell>
        </row>
        <row r="17">
          <cell r="D17">
            <v>162928.26</v>
          </cell>
        </row>
        <row r="18">
          <cell r="D18">
            <v>166250.04</v>
          </cell>
        </row>
        <row r="19">
          <cell r="D19">
            <v>169571.82</v>
          </cell>
        </row>
        <row r="20">
          <cell r="D20">
            <v>172893.6</v>
          </cell>
        </row>
        <row r="21">
          <cell r="D21">
            <v>176215.38</v>
          </cell>
        </row>
        <row r="22">
          <cell r="D22">
            <v>179537.16</v>
          </cell>
        </row>
        <row r="23">
          <cell r="D23">
            <v>182858.94</v>
          </cell>
        </row>
        <row r="24">
          <cell r="D24">
            <v>186180.72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29682.2</v>
          </cell>
        </row>
        <row r="6">
          <cell r="D6">
            <v>30417.800000000003</v>
          </cell>
        </row>
        <row r="7">
          <cell r="D7">
            <v>31176</v>
          </cell>
        </row>
        <row r="8">
          <cell r="D8">
            <v>31922.800000000003</v>
          </cell>
        </row>
        <row r="9">
          <cell r="D9">
            <v>32665.200000000001</v>
          </cell>
        </row>
        <row r="10">
          <cell r="D10">
            <v>33373.599999999999</v>
          </cell>
        </row>
        <row r="11">
          <cell r="D11">
            <v>34583.040000000001</v>
          </cell>
        </row>
        <row r="12">
          <cell r="D12">
            <v>35440.019999999997</v>
          </cell>
        </row>
        <row r="13">
          <cell r="D13">
            <v>36297</v>
          </cell>
        </row>
        <row r="14">
          <cell r="D14">
            <v>37153.980000000003</v>
          </cell>
        </row>
        <row r="15">
          <cell r="D15">
            <v>38010.959999999999</v>
          </cell>
        </row>
        <row r="16">
          <cell r="D16">
            <v>38867.94</v>
          </cell>
        </row>
        <row r="17">
          <cell r="D17">
            <v>39724.92</v>
          </cell>
        </row>
        <row r="18">
          <cell r="D18">
            <v>40581.9</v>
          </cell>
        </row>
        <row r="19">
          <cell r="D19">
            <v>41438.880000000005</v>
          </cell>
        </row>
        <row r="20">
          <cell r="D20">
            <v>42295.86</v>
          </cell>
        </row>
        <row r="21">
          <cell r="D21">
            <v>43152.84</v>
          </cell>
        </row>
        <row r="22">
          <cell r="D22">
            <v>44009.82</v>
          </cell>
        </row>
        <row r="23">
          <cell r="D23">
            <v>44866.8</v>
          </cell>
        </row>
        <row r="24">
          <cell r="D24">
            <v>45723.78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2.178466428203957</v>
          </cell>
        </row>
        <row r="30">
          <cell r="O30">
            <v>3.7664025007430628</v>
          </cell>
        </row>
        <row r="31">
          <cell r="O31">
            <v>4.956297022987858</v>
          </cell>
        </row>
        <row r="32">
          <cell r="O32">
            <v>5.8721052149976458</v>
          </cell>
        </row>
        <row r="33">
          <cell r="O33">
            <v>6.5979930911475577</v>
          </cell>
        </row>
        <row r="34">
          <cell r="O34">
            <v>5.9521743182390763</v>
          </cell>
        </row>
        <row r="35">
          <cell r="O35">
            <v>6.4673298532630934</v>
          </cell>
        </row>
        <row r="36">
          <cell r="O36">
            <v>6.9712605572764108</v>
          </cell>
        </row>
        <row r="37">
          <cell r="O37">
            <v>7.4712151016788049</v>
          </cell>
        </row>
        <row r="38">
          <cell r="O38">
            <v>7.9725025983120634</v>
          </cell>
        </row>
        <row r="39">
          <cell r="O39">
            <v>8.479100266386105</v>
          </cell>
        </row>
        <row r="40">
          <cell r="O40">
            <v>8.9940666541280372</v>
          </cell>
        </row>
        <row r="41">
          <cell r="O41">
            <v>9.5198236475034239</v>
          </cell>
        </row>
        <row r="42">
          <cell r="O42">
            <v>10.058349788384016</v>
          </cell>
        </row>
        <row r="43">
          <cell r="O43">
            <v>10.611313520984412</v>
          </cell>
        </row>
        <row r="44">
          <cell r="O44">
            <v>11.180165647637549</v>
          </cell>
        </row>
        <row r="45">
          <cell r="O45">
            <v>11.766204000572124</v>
          </cell>
        </row>
        <row r="46">
          <cell r="O46">
            <v>12.370619117731477</v>
          </cell>
        </row>
        <row r="47">
          <cell r="O47">
            <v>12.993004466383503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1.9679535200954261</v>
          </cell>
        </row>
        <row r="30">
          <cell r="O30">
            <v>3.4024417193082295</v>
          </cell>
        </row>
        <row r="31">
          <cell r="O31">
            <v>4.4773525296274395</v>
          </cell>
        </row>
        <row r="32">
          <cell r="O32">
            <v>5.3046629402284298</v>
          </cell>
        </row>
        <row r="33">
          <cell r="O33">
            <v>5.9604057061344236</v>
          </cell>
        </row>
        <row r="34">
          <cell r="O34">
            <v>6.4961722917801383</v>
          </cell>
        </row>
        <row r="35">
          <cell r="O35">
            <v>6.9079933142090217</v>
          </cell>
        </row>
        <row r="36">
          <cell r="O36">
            <v>7.2271965145771642</v>
          </cell>
        </row>
        <row r="37">
          <cell r="O37">
            <v>7.4785116005995871</v>
          </cell>
        </row>
        <row r="38">
          <cell r="O38">
            <v>7.6791013486121997</v>
          </cell>
        </row>
        <row r="39">
          <cell r="O39">
            <v>7.8409811986321776</v>
          </cell>
        </row>
        <row r="40">
          <cell r="O40">
            <v>7.9726521692721617</v>
          </cell>
        </row>
        <row r="41">
          <cell r="O41">
            <v>8.0802047568248163</v>
          </cell>
        </row>
        <row r="42">
          <cell r="O42">
            <v>8.1680667983094555</v>
          </cell>
        </row>
        <row r="43">
          <cell r="O43">
            <v>8.2395114716408226</v>
          </cell>
        </row>
        <row r="44">
          <cell r="O44">
            <v>8.2970034929468532</v>
          </cell>
        </row>
        <row r="45">
          <cell r="O45">
            <v>8.3424359939444788</v>
          </cell>
        </row>
        <row r="46">
          <cell r="O46">
            <v>8.3772933928547175</v>
          </cell>
        </row>
        <row r="47">
          <cell r="O47">
            <v>8.4027640425897268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REKAPITULASI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/>
      <sheetData sheetId="4">
        <row r="14">
          <cell r="M14">
            <v>7.7937403810658097</v>
          </cell>
        </row>
        <row r="15">
          <cell r="M15">
            <v>7.9792197961531786</v>
          </cell>
        </row>
        <row r="16">
          <cell r="M16">
            <v>8.1633351770906213</v>
          </cell>
        </row>
        <row r="17">
          <cell r="M17">
            <v>8.3465200918757869</v>
          </cell>
        </row>
        <row r="18">
          <cell r="M18">
            <v>8.5282143121970968</v>
          </cell>
        </row>
        <row r="19">
          <cell r="M19">
            <v>8.7640394726680793</v>
          </cell>
        </row>
        <row r="20">
          <cell r="M20">
            <v>8.9879323303307466</v>
          </cell>
        </row>
        <row r="21">
          <cell r="M21">
            <v>9.2118251879934139</v>
          </cell>
        </row>
        <row r="22">
          <cell r="M22">
            <v>9.4357180456560794</v>
          </cell>
        </row>
        <row r="23">
          <cell r="M23">
            <v>9.6596109033187485</v>
          </cell>
        </row>
        <row r="24">
          <cell r="M24">
            <v>9.8835037609814158</v>
          </cell>
        </row>
      </sheetData>
      <sheetData sheetId="5"/>
      <sheetData sheetId="6"/>
      <sheetData sheetId="7">
        <row r="6">
          <cell r="B6">
            <v>3.5946802620000003E-2</v>
          </cell>
          <cell r="D6">
            <v>2.6960101964999999E-3</v>
          </cell>
        </row>
        <row r="7">
          <cell r="B7">
            <v>3.6717697440000002E-2</v>
          </cell>
          <cell r="D7">
            <v>2.753827308E-3</v>
          </cell>
        </row>
        <row r="8">
          <cell r="B8">
            <v>3.7588394519999992E-2</v>
          </cell>
          <cell r="D8">
            <v>2.8191295889999995E-3</v>
          </cell>
        </row>
        <row r="9">
          <cell r="B9">
            <v>3.8452227120000002E-2</v>
          </cell>
          <cell r="D9">
            <v>2.883917034E-3</v>
          </cell>
        </row>
        <row r="10">
          <cell r="B10">
            <v>3.9311303399999997E-2</v>
          </cell>
          <cell r="D10">
            <v>2.9483477550000001E-3</v>
          </cell>
        </row>
        <row r="11">
          <cell r="B11">
            <v>4.0163647500000003E-2</v>
          </cell>
          <cell r="D11">
            <v>3.0122735625000003E-3</v>
          </cell>
        </row>
        <row r="12">
          <cell r="B12">
            <v>4.2452467510275892E-2</v>
          </cell>
          <cell r="D12">
            <v>3.1839350632706922E-3</v>
          </cell>
        </row>
        <row r="13">
          <cell r="B13">
            <v>4.4777458016986002E-2</v>
          </cell>
          <cell r="D13">
            <v>3.3583093512739503E-3</v>
          </cell>
        </row>
        <row r="14">
          <cell r="B14">
            <v>4.7200490965843361E-2</v>
          </cell>
          <cell r="D14">
            <v>3.5400368224382524E-3</v>
          </cell>
        </row>
        <row r="15">
          <cell r="B15">
            <v>4.9725266302511305E-2</v>
          </cell>
          <cell r="D15">
            <v>3.7293949726883479E-3</v>
          </cell>
        </row>
        <row r="16">
          <cell r="B16">
            <v>5.2355615234582299E-2</v>
          </cell>
          <cell r="D16">
            <v>3.9266711425936726E-3</v>
          </cell>
        </row>
        <row r="17">
          <cell r="B17">
            <v>5.5095504708227147E-2</v>
          </cell>
          <cell r="D17">
            <v>4.1321628531170362E-3</v>
          </cell>
        </row>
        <row r="18">
          <cell r="B18">
            <v>5.7949042033395445E-2</v>
          </cell>
          <cell r="D18">
            <v>4.3461781525046582E-3</v>
          </cell>
        </row>
        <row r="19">
          <cell r="B19">
            <v>6.092047966239908E-2</v>
          </cell>
          <cell r="D19">
            <v>4.5690359746799313E-3</v>
          </cell>
        </row>
        <row r="20">
          <cell r="B20">
            <v>6.4014220126864307E-2</v>
          </cell>
          <cell r="D20">
            <v>4.8010665095148232E-3</v>
          </cell>
        </row>
        <row r="21">
          <cell r="B21">
            <v>6.7234821138198231E-2</v>
          </cell>
          <cell r="D21">
            <v>5.0426115853648666E-3</v>
          </cell>
        </row>
        <row r="22">
          <cell r="B22">
            <v>7.0587000856880175E-2</v>
          </cell>
          <cell r="D22">
            <v>5.2940250642660135E-3</v>
          </cell>
        </row>
        <row r="23">
          <cell r="B23">
            <v>7.4075643336057498E-2</v>
          </cell>
          <cell r="D23">
            <v>5.5556732502043118E-3</v>
          </cell>
        </row>
        <row r="24">
          <cell r="B24">
            <v>7.770580414510192E-2</v>
          </cell>
          <cell r="D24">
            <v>5.8279353108826445E-3</v>
          </cell>
        </row>
        <row r="25">
          <cell r="B25">
            <v>8.1451967680000001E-2</v>
          </cell>
          <cell r="D25">
            <v>6.1088975759999997E-3</v>
          </cell>
        </row>
        <row r="32">
          <cell r="B32">
            <v>0.28607750671499999</v>
          </cell>
          <cell r="D32">
            <v>6.6017886164999994E-3</v>
          </cell>
        </row>
        <row r="33">
          <cell r="B33">
            <v>0.29226423226000003</v>
          </cell>
          <cell r="D33">
            <v>6.7445592059999998E-3</v>
          </cell>
        </row>
        <row r="34">
          <cell r="B34">
            <v>0.29921968576499997</v>
          </cell>
          <cell r="D34">
            <v>6.9050696714999995E-3</v>
          </cell>
        </row>
        <row r="35">
          <cell r="B35">
            <v>0.30612398817000003</v>
          </cell>
          <cell r="D35">
            <v>7.064399727E-3</v>
          </cell>
        </row>
        <row r="36">
          <cell r="B36">
            <v>0.3129933982175</v>
          </cell>
          <cell r="D36">
            <v>7.2229245742500003E-3</v>
          </cell>
        </row>
        <row r="37">
          <cell r="B37">
            <v>0.31980690742000001</v>
          </cell>
          <cell r="D37">
            <v>7.380159402E-3</v>
          </cell>
        </row>
        <row r="38">
          <cell r="B38">
            <v>0.32865031971021247</v>
          </cell>
          <cell r="D38">
            <v>7.5842381471587497E-3</v>
          </cell>
        </row>
        <row r="39">
          <cell r="B39">
            <v>0.33704627222516254</v>
          </cell>
          <cell r="D39">
            <v>7.7779908975037504E-3</v>
          </cell>
        </row>
        <row r="40">
          <cell r="B40">
            <v>0.34544222474011255</v>
          </cell>
          <cell r="D40">
            <v>7.9717436478487502E-3</v>
          </cell>
        </row>
        <row r="41">
          <cell r="B41">
            <v>0.3538381772550625</v>
          </cell>
          <cell r="D41">
            <v>8.1654963981937501E-3</v>
          </cell>
        </row>
        <row r="42">
          <cell r="B42">
            <v>0.36223412977001246</v>
          </cell>
          <cell r="D42">
            <v>8.3592491485387499E-3</v>
          </cell>
        </row>
        <row r="43">
          <cell r="B43">
            <v>0.37063008228496247</v>
          </cell>
          <cell r="D43">
            <v>8.5530018988837497E-3</v>
          </cell>
        </row>
        <row r="44">
          <cell r="B44">
            <v>0.37902603479991248</v>
          </cell>
          <cell r="D44">
            <v>8.7467546492287496E-3</v>
          </cell>
        </row>
        <row r="45">
          <cell r="B45">
            <v>0.38742198731486249</v>
          </cell>
          <cell r="D45">
            <v>8.9405073995737511E-3</v>
          </cell>
        </row>
        <row r="46">
          <cell r="B46">
            <v>0.3958179398298125</v>
          </cell>
          <cell r="D46">
            <v>9.1342601499187492E-3</v>
          </cell>
        </row>
        <row r="47">
          <cell r="B47">
            <v>0.4042138923447624</v>
          </cell>
          <cell r="D47">
            <v>9.3280129002637473E-3</v>
          </cell>
        </row>
        <row r="48">
          <cell r="B48">
            <v>0.41260984485971253</v>
          </cell>
          <cell r="D48">
            <v>9.5217656506087506E-3</v>
          </cell>
        </row>
        <row r="49">
          <cell r="B49">
            <v>0.42100579737466248</v>
          </cell>
          <cell r="D49">
            <v>9.7155184009537505E-3</v>
          </cell>
        </row>
        <row r="50">
          <cell r="B50">
            <v>0.42940174988961249</v>
          </cell>
          <cell r="D50">
            <v>9.9092711512987503E-3</v>
          </cell>
        </row>
        <row r="51">
          <cell r="B51">
            <v>0.43779770240456251</v>
          </cell>
          <cell r="D51">
            <v>1.010302390164375E-2</v>
          </cell>
        </row>
        <row r="59">
          <cell r="B59">
            <v>3.2657496077664003</v>
          </cell>
          <cell r="D59">
            <v>0.11098690525371428</v>
          </cell>
        </row>
        <row r="60">
          <cell r="B60">
            <v>3.3365104202496005</v>
          </cell>
          <cell r="D60">
            <v>0.10930652681142862</v>
          </cell>
        </row>
        <row r="61">
          <cell r="B61">
            <v>3.4160635760544</v>
          </cell>
          <cell r="D61">
            <v>0.11033014200685715</v>
          </cell>
        </row>
        <row r="62">
          <cell r="B62">
            <v>3.4950316900031999</v>
          </cell>
          <cell r="D62">
            <v>0.11538649858057144</v>
          </cell>
        </row>
        <row r="63">
          <cell r="B63">
            <v>3.5736007218287997</v>
          </cell>
          <cell r="D63">
            <v>0.11798041082038095</v>
          </cell>
        </row>
        <row r="64">
          <cell r="B64">
            <v>3.6515303864831998</v>
          </cell>
          <cell r="D64">
            <v>0.12055321471390479</v>
          </cell>
        </row>
        <row r="65">
          <cell r="B65">
            <v>3.7526771133305035</v>
          </cell>
          <cell r="D65">
            <v>0.12389251681155906</v>
          </cell>
        </row>
        <row r="66">
          <cell r="B66">
            <v>3.8487060089404563</v>
          </cell>
          <cell r="D66">
            <v>0.12706285659951719</v>
          </cell>
        </row>
        <row r="67">
          <cell r="B67">
            <v>3.9447349045504083</v>
          </cell>
          <cell r="D67">
            <v>0.13023319638747527</v>
          </cell>
        </row>
        <row r="68">
          <cell r="B68">
            <v>4.0407638001603603</v>
          </cell>
          <cell r="D68">
            <v>0.13340353617543338</v>
          </cell>
        </row>
        <row r="69">
          <cell r="B69">
            <v>4.1367926957703114</v>
          </cell>
          <cell r="D69">
            <v>0.13657387596339141</v>
          </cell>
        </row>
        <row r="70">
          <cell r="B70">
            <v>4.2328215913802634</v>
          </cell>
          <cell r="D70">
            <v>0.13974421575134954</v>
          </cell>
        </row>
        <row r="71">
          <cell r="B71">
            <v>4.3288504869902162</v>
          </cell>
          <cell r="D71">
            <v>0.14291455553930763</v>
          </cell>
        </row>
        <row r="72">
          <cell r="B72">
            <v>4.4248793826001682</v>
          </cell>
          <cell r="D72">
            <v>0.14608489532726576</v>
          </cell>
        </row>
        <row r="73">
          <cell r="B73">
            <v>4.515893633730121</v>
          </cell>
          <cell r="D73">
            <v>0.14908967945808096</v>
          </cell>
        </row>
        <row r="74">
          <cell r="B74">
            <v>4.6119225293400721</v>
          </cell>
          <cell r="D74">
            <v>0.15226001924603905</v>
          </cell>
        </row>
        <row r="75">
          <cell r="B75">
            <v>4.7079514249500241</v>
          </cell>
          <cell r="D75">
            <v>0.15543035903399718</v>
          </cell>
        </row>
        <row r="76">
          <cell r="B76">
            <v>4.8039803205599751</v>
          </cell>
          <cell r="D76">
            <v>0.15860069882195524</v>
          </cell>
        </row>
        <row r="77">
          <cell r="B77">
            <v>4.9000092161699289</v>
          </cell>
          <cell r="D77">
            <v>0.16177103860991338</v>
          </cell>
        </row>
        <row r="78">
          <cell r="B78">
            <v>4.99603811177988</v>
          </cell>
          <cell r="D78">
            <v>0.16494137839787149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37197.200000000004</v>
          </cell>
        </row>
        <row r="6">
          <cell r="D6">
            <v>38315.200000000004</v>
          </cell>
        </row>
        <row r="7">
          <cell r="D7">
            <v>39477.600000000006</v>
          </cell>
        </row>
        <row r="8">
          <cell r="D8">
            <v>40644.600000000006</v>
          </cell>
        </row>
        <row r="9">
          <cell r="D9">
            <v>41778.600000000006</v>
          </cell>
        </row>
        <row r="10">
          <cell r="D10">
            <v>42965.600000000006</v>
          </cell>
        </row>
        <row r="11">
          <cell r="D11">
            <v>44459.840000000004</v>
          </cell>
        </row>
        <row r="12">
          <cell r="D12">
            <v>45680.619999999995</v>
          </cell>
        </row>
        <row r="13">
          <cell r="D13">
            <v>46901.4</v>
          </cell>
        </row>
        <row r="14">
          <cell r="D14">
            <v>48122.18</v>
          </cell>
        </row>
        <row r="15">
          <cell r="D15">
            <v>49342.96</v>
          </cell>
        </row>
        <row r="16">
          <cell r="D16">
            <v>50563.74</v>
          </cell>
        </row>
        <row r="17">
          <cell r="D17">
            <v>51784.52</v>
          </cell>
        </row>
        <row r="18">
          <cell r="D18">
            <v>53005.3</v>
          </cell>
        </row>
        <row r="19">
          <cell r="D19">
            <v>54226.080000000009</v>
          </cell>
        </row>
        <row r="20">
          <cell r="D20">
            <v>55446.86</v>
          </cell>
        </row>
        <row r="21">
          <cell r="D21">
            <v>56667.639999999992</v>
          </cell>
        </row>
        <row r="22">
          <cell r="D22">
            <v>57888.42</v>
          </cell>
        </row>
        <row r="23">
          <cell r="D23">
            <v>59109.200000000004</v>
          </cell>
        </row>
        <row r="24">
          <cell r="D24">
            <v>60329.98000000001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53875</v>
          </cell>
        </row>
        <row r="6">
          <cell r="D6">
            <v>56318.8</v>
          </cell>
        </row>
        <row r="7">
          <cell r="D7">
            <v>58843.200000000004</v>
          </cell>
        </row>
        <row r="8">
          <cell r="D8">
            <v>61394.8</v>
          </cell>
        </row>
        <row r="9">
          <cell r="D9">
            <v>64023</v>
          </cell>
        </row>
        <row r="10">
          <cell r="D10">
            <v>66718.2</v>
          </cell>
        </row>
        <row r="11">
          <cell r="D11">
            <v>67025.2</v>
          </cell>
        </row>
        <row r="12">
          <cell r="D12">
            <v>69524.600000000006</v>
          </cell>
        </row>
        <row r="13">
          <cell r="D13">
            <v>72024</v>
          </cell>
        </row>
        <row r="14">
          <cell r="D14">
            <v>74523.400000000009</v>
          </cell>
        </row>
        <row r="15">
          <cell r="D15">
            <v>77022.8</v>
          </cell>
        </row>
        <row r="16">
          <cell r="D16">
            <v>79522.200000000012</v>
          </cell>
        </row>
        <row r="17">
          <cell r="D17">
            <v>82021.600000000006</v>
          </cell>
        </row>
        <row r="18">
          <cell r="D18">
            <v>84521</v>
          </cell>
        </row>
        <row r="19">
          <cell r="D19">
            <v>87020.400000000009</v>
          </cell>
        </row>
        <row r="20">
          <cell r="D20">
            <v>89519.8</v>
          </cell>
        </row>
        <row r="21">
          <cell r="D21">
            <v>92019.200000000012</v>
          </cell>
        </row>
        <row r="22">
          <cell r="D22">
            <v>94518.6</v>
          </cell>
        </row>
        <row r="23">
          <cell r="D23">
            <v>97018</v>
          </cell>
        </row>
        <row r="24">
          <cell r="D24">
            <v>99517.400000000009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142607.29999999999</v>
          </cell>
        </row>
        <row r="6">
          <cell r="D6">
            <v>146407.57999999999</v>
          </cell>
        </row>
        <row r="7">
          <cell r="D7">
            <v>150288.82</v>
          </cell>
        </row>
        <row r="8">
          <cell r="D8">
            <v>154096.57999999999</v>
          </cell>
        </row>
        <row r="9">
          <cell r="D9">
            <v>157913.57999999999</v>
          </cell>
        </row>
        <row r="10">
          <cell r="D10">
            <v>161703.51999999999</v>
          </cell>
        </row>
        <row r="11">
          <cell r="D11">
            <v>165740.29999999999</v>
          </cell>
        </row>
        <row r="12">
          <cell r="D12">
            <v>170297.38</v>
          </cell>
        </row>
        <row r="13">
          <cell r="D13">
            <v>174854.46</v>
          </cell>
        </row>
        <row r="14">
          <cell r="D14">
            <v>179411.54</v>
          </cell>
        </row>
        <row r="15">
          <cell r="D15">
            <v>183968.62</v>
          </cell>
        </row>
        <row r="16">
          <cell r="D16">
            <v>188525.7</v>
          </cell>
        </row>
        <row r="17">
          <cell r="D17">
            <v>193082.78</v>
          </cell>
        </row>
        <row r="18">
          <cell r="D18">
            <v>197639.86000000002</v>
          </cell>
        </row>
        <row r="19">
          <cell r="D19">
            <v>202196.94</v>
          </cell>
        </row>
        <row r="20">
          <cell r="D20">
            <v>206754.02</v>
          </cell>
        </row>
        <row r="21">
          <cell r="D21">
            <v>211311.1</v>
          </cell>
        </row>
        <row r="22">
          <cell r="D22">
            <v>215868.18</v>
          </cell>
        </row>
        <row r="23">
          <cell r="D23">
            <v>220425.26</v>
          </cell>
        </row>
        <row r="24">
          <cell r="D24">
            <v>224982.34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28403.200000000001</v>
          </cell>
        </row>
        <row r="6">
          <cell r="D6">
            <v>28620.2</v>
          </cell>
        </row>
        <row r="7">
          <cell r="D7">
            <v>28803.600000000002</v>
          </cell>
        </row>
        <row r="8">
          <cell r="D8">
            <v>28978.400000000001</v>
          </cell>
        </row>
        <row r="9">
          <cell r="D9">
            <v>29167.600000000002</v>
          </cell>
        </row>
        <row r="10">
          <cell r="D10">
            <v>29261.4</v>
          </cell>
        </row>
        <row r="11">
          <cell r="D11">
            <v>30258.9</v>
          </cell>
        </row>
        <row r="12">
          <cell r="D12">
            <v>30315.050000000003</v>
          </cell>
        </row>
        <row r="13">
          <cell r="D13">
            <v>30371.200000000001</v>
          </cell>
        </row>
        <row r="14">
          <cell r="D14">
            <v>30427.350000000002</v>
          </cell>
        </row>
        <row r="15">
          <cell r="D15">
            <v>30483.5</v>
          </cell>
        </row>
        <row r="16">
          <cell r="D16">
            <v>30539.65</v>
          </cell>
        </row>
        <row r="17">
          <cell r="D17">
            <v>30595.800000000003</v>
          </cell>
        </row>
        <row r="18">
          <cell r="D18">
            <v>30651.95</v>
          </cell>
        </row>
        <row r="19">
          <cell r="D19">
            <v>30708.100000000002</v>
          </cell>
        </row>
        <row r="20">
          <cell r="D20">
            <v>30764.25</v>
          </cell>
        </row>
        <row r="21">
          <cell r="D21">
            <v>30820.400000000001</v>
          </cell>
        </row>
        <row r="22">
          <cell r="D22">
            <v>30876.550000000003</v>
          </cell>
        </row>
        <row r="23">
          <cell r="D23">
            <v>30932.7</v>
          </cell>
        </row>
        <row r="24">
          <cell r="D24">
            <v>30988.850000000002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>
        <row r="5">
          <cell r="D5">
            <v>4810.6099999999997</v>
          </cell>
        </row>
        <row r="6">
          <cell r="D6">
            <v>4849.18</v>
          </cell>
        </row>
        <row r="7">
          <cell r="D7">
            <v>4878.82</v>
          </cell>
        </row>
        <row r="8">
          <cell r="D8">
            <v>4919.8599999999997</v>
          </cell>
        </row>
        <row r="9">
          <cell r="D9">
            <v>4934.3</v>
          </cell>
        </row>
        <row r="10">
          <cell r="D10">
            <v>4956.91</v>
          </cell>
        </row>
        <row r="11">
          <cell r="D11">
            <v>4994.3380999999999</v>
          </cell>
        </row>
        <row r="12">
          <cell r="D12">
            <v>5023.7064</v>
          </cell>
        </row>
        <row r="13">
          <cell r="D13">
            <v>5053.0747000000001</v>
          </cell>
        </row>
        <row r="14">
          <cell r="D14">
            <v>5082.4430000000002</v>
          </cell>
        </row>
        <row r="15">
          <cell r="D15">
            <v>5111.8113000000003</v>
          </cell>
        </row>
        <row r="16">
          <cell r="D16">
            <v>5141.1796000000004</v>
          </cell>
        </row>
        <row r="17">
          <cell r="D17">
            <v>5170.5479000000005</v>
          </cell>
        </row>
        <row r="18">
          <cell r="D18">
            <v>5199.9161999999997</v>
          </cell>
        </row>
        <row r="19">
          <cell r="D19">
            <v>5229.2844999999998</v>
          </cell>
        </row>
        <row r="20">
          <cell r="D20">
            <v>5258.6527999999998</v>
          </cell>
        </row>
        <row r="21">
          <cell r="D21">
            <v>5288.0210999999999</v>
          </cell>
        </row>
        <row r="22">
          <cell r="D22">
            <v>5317.3894</v>
          </cell>
        </row>
        <row r="23">
          <cell r="D23">
            <v>5346.7577000000001</v>
          </cell>
        </row>
        <row r="24">
          <cell r="D24">
            <v>5376.1260000000002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47556.600000000006</v>
          </cell>
        </row>
        <row r="6">
          <cell r="D6">
            <v>48822.200000000004</v>
          </cell>
        </row>
        <row r="7">
          <cell r="D7">
            <v>49998.200000000004</v>
          </cell>
        </row>
        <row r="8">
          <cell r="D8">
            <v>51235</v>
          </cell>
        </row>
        <row r="9">
          <cell r="D9">
            <v>52460.200000000004</v>
          </cell>
        </row>
        <row r="10">
          <cell r="D10">
            <v>53652.200000000004</v>
          </cell>
        </row>
        <row r="11">
          <cell r="D11">
            <v>55349.200000000004</v>
          </cell>
        </row>
        <row r="12">
          <cell r="D12">
            <v>56987.8</v>
          </cell>
        </row>
        <row r="13">
          <cell r="D13">
            <v>58626.400000000001</v>
          </cell>
        </row>
        <row r="14">
          <cell r="D14">
            <v>60265</v>
          </cell>
        </row>
        <row r="15">
          <cell r="D15">
            <v>61903.600000000006</v>
          </cell>
        </row>
        <row r="16">
          <cell r="D16">
            <v>63542.200000000004</v>
          </cell>
        </row>
        <row r="17">
          <cell r="D17">
            <v>65180.800000000003</v>
          </cell>
        </row>
        <row r="18">
          <cell r="D18">
            <v>66819.400000000009</v>
          </cell>
        </row>
        <row r="19">
          <cell r="D19">
            <v>68458</v>
          </cell>
        </row>
        <row r="20">
          <cell r="D20">
            <v>70096.600000000006</v>
          </cell>
        </row>
        <row r="21">
          <cell r="D21">
            <v>71735.199999999997</v>
          </cell>
        </row>
        <row r="22">
          <cell r="D22">
            <v>73373.8</v>
          </cell>
        </row>
        <row r="23">
          <cell r="D23">
            <v>75012.400000000009</v>
          </cell>
        </row>
        <row r="24">
          <cell r="D24">
            <v>76651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29195.600000000002</v>
          </cell>
        </row>
        <row r="6">
          <cell r="D6">
            <v>29606.800000000003</v>
          </cell>
        </row>
        <row r="7">
          <cell r="D7">
            <v>30041</v>
          </cell>
        </row>
        <row r="8">
          <cell r="D8">
            <v>30423.800000000003</v>
          </cell>
        </row>
        <row r="9">
          <cell r="D9">
            <v>30847</v>
          </cell>
        </row>
        <row r="10">
          <cell r="D10">
            <v>31200.2</v>
          </cell>
        </row>
        <row r="11">
          <cell r="D11">
            <v>32424.48</v>
          </cell>
        </row>
        <row r="12">
          <cell r="D12">
            <v>33113.56</v>
          </cell>
        </row>
        <row r="13">
          <cell r="D13">
            <v>33802.640000000007</v>
          </cell>
        </row>
        <row r="14">
          <cell r="D14">
            <v>34491.72</v>
          </cell>
        </row>
        <row r="15">
          <cell r="D15">
            <v>35180.800000000003</v>
          </cell>
        </row>
        <row r="16">
          <cell r="D16">
            <v>35869.880000000005</v>
          </cell>
        </row>
        <row r="17">
          <cell r="D17">
            <v>36558.959999999999</v>
          </cell>
        </row>
        <row r="18">
          <cell r="D18">
            <v>37248.04</v>
          </cell>
        </row>
        <row r="19">
          <cell r="D19">
            <v>37937.120000000003</v>
          </cell>
        </row>
        <row r="20">
          <cell r="D20">
            <v>38626.200000000004</v>
          </cell>
        </row>
        <row r="21">
          <cell r="D21">
            <v>39315.280000000006</v>
          </cell>
        </row>
        <row r="22">
          <cell r="D22">
            <v>40004.36</v>
          </cell>
        </row>
        <row r="23">
          <cell r="D23">
            <v>40693.440000000002</v>
          </cell>
        </row>
        <row r="24">
          <cell r="D24">
            <v>41382.520000000004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166473.34</v>
          </cell>
        </row>
        <row r="6">
          <cell r="D6">
            <v>168279.76</v>
          </cell>
        </row>
        <row r="7">
          <cell r="D7">
            <v>171823.3</v>
          </cell>
        </row>
        <row r="8">
          <cell r="D8">
            <v>175341.32</v>
          </cell>
        </row>
        <row r="9">
          <cell r="D9">
            <v>178771.34</v>
          </cell>
        </row>
        <row r="10">
          <cell r="D10">
            <v>182226.66</v>
          </cell>
        </row>
        <row r="11">
          <cell r="D11">
            <v>186539.32</v>
          </cell>
        </row>
        <row r="12">
          <cell r="D12">
            <v>191191.44</v>
          </cell>
        </row>
        <row r="13">
          <cell r="D13">
            <v>195843.56</v>
          </cell>
        </row>
        <row r="14">
          <cell r="D14">
            <v>200495.68</v>
          </cell>
        </row>
        <row r="15">
          <cell r="D15">
            <v>205147.8</v>
          </cell>
        </row>
        <row r="16">
          <cell r="D16">
            <v>209799.92</v>
          </cell>
        </row>
        <row r="17">
          <cell r="D17">
            <v>214452.04</v>
          </cell>
        </row>
        <row r="18">
          <cell r="D18">
            <v>219104.16</v>
          </cell>
        </row>
        <row r="19">
          <cell r="D19">
            <v>223756.28</v>
          </cell>
        </row>
        <row r="20">
          <cell r="D20">
            <v>228408.4</v>
          </cell>
        </row>
        <row r="21">
          <cell r="D21">
            <v>233060.52</v>
          </cell>
        </row>
        <row r="22">
          <cell r="D22">
            <v>237712.64000000001</v>
          </cell>
        </row>
        <row r="23">
          <cell r="D23">
            <v>242364.76</v>
          </cell>
        </row>
        <row r="24">
          <cell r="D24">
            <v>247016.88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6" width="9.140625" style="79"/>
    <col min="7" max="16" width="10" style="79" customWidth="1"/>
    <col min="17" max="17" width="10.5703125" style="79" bestFit="1" customWidth="1"/>
    <col min="18" max="18" width="16.7109375" style="79" bestFit="1" customWidth="1"/>
    <col min="19" max="16384" width="9.140625" style="79"/>
  </cols>
  <sheetData>
    <row r="1" spans="1:18" x14ac:dyDescent="0.25">
      <c r="A1" s="79" t="s">
        <v>124</v>
      </c>
    </row>
    <row r="3" spans="1:18" ht="15.75" customHeight="1" x14ac:dyDescent="0.25">
      <c r="A3" s="173" t="s">
        <v>11</v>
      </c>
      <c r="B3" s="173" t="s">
        <v>125</v>
      </c>
      <c r="C3" s="78" t="s">
        <v>12</v>
      </c>
      <c r="D3" s="172" t="s">
        <v>12</v>
      </c>
      <c r="E3" s="172"/>
      <c r="G3" s="166" t="s">
        <v>153</v>
      </c>
      <c r="H3" s="166" t="s">
        <v>154</v>
      </c>
      <c r="I3" s="166" t="s">
        <v>155</v>
      </c>
      <c r="J3" s="166" t="s">
        <v>156</v>
      </c>
      <c r="K3" s="166" t="s">
        <v>159</v>
      </c>
      <c r="L3" s="166" t="s">
        <v>157</v>
      </c>
      <c r="M3" s="166" t="s">
        <v>158</v>
      </c>
      <c r="N3" s="166" t="s">
        <v>160</v>
      </c>
      <c r="O3" s="166" t="s">
        <v>161</v>
      </c>
      <c r="P3" s="166" t="s">
        <v>162</v>
      </c>
      <c r="Q3" s="178" t="s">
        <v>163</v>
      </c>
      <c r="R3" s="178"/>
    </row>
    <row r="4" spans="1:18" x14ac:dyDescent="0.25">
      <c r="A4" s="174"/>
      <c r="B4" s="174"/>
      <c r="C4" s="78" t="s">
        <v>119</v>
      </c>
      <c r="D4" s="78" t="s">
        <v>14</v>
      </c>
      <c r="E4" s="78" t="s">
        <v>15</v>
      </c>
      <c r="G4" s="175" t="s">
        <v>14</v>
      </c>
      <c r="H4" s="176"/>
      <c r="I4" s="176"/>
      <c r="J4" s="176"/>
      <c r="K4" s="176"/>
      <c r="L4" s="176"/>
      <c r="M4" s="176"/>
      <c r="N4" s="176"/>
      <c r="O4" s="176"/>
      <c r="P4" s="177"/>
      <c r="Q4" s="165" t="s">
        <v>14</v>
      </c>
      <c r="R4" s="165" t="s">
        <v>15</v>
      </c>
    </row>
    <row r="5" spans="1:18" x14ac:dyDescent="0.25">
      <c r="A5" s="89">
        <v>2011</v>
      </c>
      <c r="B5" s="90">
        <f>[1]Sheet3!M14</f>
        <v>3131964</v>
      </c>
      <c r="C5" s="82">
        <v>0.22</v>
      </c>
      <c r="D5" s="151">
        <f>C5*B5</f>
        <v>689032.08</v>
      </c>
      <c r="E5" s="151">
        <f>D5/1000</f>
        <v>689.03207999999995</v>
      </c>
      <c r="G5" s="168">
        <f>'[2]timbulan sampah'!D5</f>
        <v>37197.200000000004</v>
      </c>
      <c r="H5" s="169">
        <f>'[3]timbulan sampah'!D5</f>
        <v>53875</v>
      </c>
      <c r="I5" s="168">
        <f>'[4]timbulan sampah'!D5</f>
        <v>142607.29999999999</v>
      </c>
      <c r="J5" s="168">
        <f>'[5]timbulan sampah'!D5</f>
        <v>28403.200000000001</v>
      </c>
      <c r="K5" s="169">
        <f>'[6]timbulan sampah'!D5</f>
        <v>4810.6099999999997</v>
      </c>
      <c r="L5" s="168">
        <f>'[7]timbulan sampah'!D5</f>
        <v>47556.600000000006</v>
      </c>
      <c r="M5" s="168">
        <f>'[8]timbulan sampah'!D5</f>
        <v>29195.600000000002</v>
      </c>
      <c r="N5" s="168">
        <f>'[9]timbulan sampah'!D5</f>
        <v>166473.34</v>
      </c>
      <c r="O5" s="168">
        <f>'[10]timbulan sampah'!D5</f>
        <v>125880.48</v>
      </c>
      <c r="P5" s="168">
        <f>'[11]timbulan sampah'!D5</f>
        <v>29682.2</v>
      </c>
      <c r="Q5" s="168">
        <f>SUM(G5:P5)</f>
        <v>665681.52999999991</v>
      </c>
      <c r="R5" s="167">
        <f>Q5/1000</f>
        <v>665.68152999999995</v>
      </c>
    </row>
    <row r="6" spans="1:18" x14ac:dyDescent="0.25">
      <c r="A6" s="89">
        <v>2012</v>
      </c>
      <c r="B6" s="90">
        <f>[1]Sheet3!M15</f>
        <v>3199696</v>
      </c>
      <c r="C6" s="82">
        <v>0.22</v>
      </c>
      <c r="D6" s="151">
        <f t="shared" ref="D6:D24" si="0">C6*B6</f>
        <v>703933.12</v>
      </c>
      <c r="E6" s="151">
        <f t="shared" ref="E6:E24" si="1">D6/1000</f>
        <v>703.93312000000003</v>
      </c>
      <c r="G6" s="168">
        <f>'[2]timbulan sampah'!D6</f>
        <v>38315.200000000004</v>
      </c>
      <c r="H6" s="169">
        <f>'[3]timbulan sampah'!D6</f>
        <v>56318.8</v>
      </c>
      <c r="I6" s="168">
        <f>'[4]timbulan sampah'!D6</f>
        <v>146407.57999999999</v>
      </c>
      <c r="J6" s="168">
        <f>'[5]timbulan sampah'!D6</f>
        <v>28620.2</v>
      </c>
      <c r="K6" s="169">
        <f>'[6]timbulan sampah'!D6</f>
        <v>4849.18</v>
      </c>
      <c r="L6" s="168">
        <f>'[7]timbulan sampah'!D6</f>
        <v>48822.200000000004</v>
      </c>
      <c r="M6" s="168">
        <f>'[8]timbulan sampah'!D6</f>
        <v>29606.800000000003</v>
      </c>
      <c r="N6" s="168">
        <f>'[9]timbulan sampah'!D6</f>
        <v>168279.76</v>
      </c>
      <c r="O6" s="168">
        <f>'[10]timbulan sampah'!D6</f>
        <v>128319.84</v>
      </c>
      <c r="P6" s="168">
        <f>'[11]timbulan sampah'!D6</f>
        <v>30417.800000000003</v>
      </c>
      <c r="Q6" s="168">
        <f t="shared" ref="Q6:Q24" si="2">SUM(G6:P6)</f>
        <v>679957.36</v>
      </c>
      <c r="R6" s="167">
        <f t="shared" ref="R6:R24" si="3">Q6/1000</f>
        <v>679.95735999999999</v>
      </c>
    </row>
    <row r="7" spans="1:18" x14ac:dyDescent="0.25">
      <c r="A7" s="89">
        <v>2013</v>
      </c>
      <c r="B7" s="90">
        <f>[1]Sheet3!M16</f>
        <v>3275844</v>
      </c>
      <c r="C7" s="82">
        <v>0.22</v>
      </c>
      <c r="D7" s="151">
        <f t="shared" si="0"/>
        <v>720685.68</v>
      </c>
      <c r="E7" s="151">
        <f t="shared" si="1"/>
        <v>720.68568000000005</v>
      </c>
      <c r="G7" s="168">
        <f>'[2]timbulan sampah'!D7</f>
        <v>39477.600000000006</v>
      </c>
      <c r="H7" s="169">
        <f>'[3]timbulan sampah'!D7</f>
        <v>58843.200000000004</v>
      </c>
      <c r="I7" s="168">
        <f>'[4]timbulan sampah'!D7</f>
        <v>150288.82</v>
      </c>
      <c r="J7" s="168">
        <f>'[5]timbulan sampah'!D7</f>
        <v>28803.600000000002</v>
      </c>
      <c r="K7" s="169">
        <f>'[6]timbulan sampah'!D7</f>
        <v>4878.82</v>
      </c>
      <c r="L7" s="168">
        <f>'[7]timbulan sampah'!D7</f>
        <v>49998.200000000004</v>
      </c>
      <c r="M7" s="168">
        <f>'[8]timbulan sampah'!D7</f>
        <v>30041</v>
      </c>
      <c r="N7" s="168">
        <f>'[9]timbulan sampah'!D7</f>
        <v>171823.3</v>
      </c>
      <c r="O7" s="168">
        <f>'[10]timbulan sampah'!D7</f>
        <v>130750.84</v>
      </c>
      <c r="P7" s="168">
        <f>'[11]timbulan sampah'!D7</f>
        <v>31176</v>
      </c>
      <c r="Q7" s="168">
        <f t="shared" si="2"/>
        <v>696081.38</v>
      </c>
      <c r="R7" s="167">
        <f t="shared" si="3"/>
        <v>696.08137999999997</v>
      </c>
    </row>
    <row r="8" spans="1:18" x14ac:dyDescent="0.25">
      <c r="A8" s="89">
        <v>2014</v>
      </c>
      <c r="B8" s="90">
        <f>[1]Sheet3!M17</f>
        <v>3351432</v>
      </c>
      <c r="C8" s="82">
        <v>0.22</v>
      </c>
      <c r="D8" s="151">
        <f t="shared" si="0"/>
        <v>737315.04</v>
      </c>
      <c r="E8" s="151">
        <f t="shared" si="1"/>
        <v>737.31504000000007</v>
      </c>
      <c r="G8" s="168">
        <f>'[2]timbulan sampah'!D8</f>
        <v>40644.600000000006</v>
      </c>
      <c r="H8" s="169">
        <f>'[3]timbulan sampah'!D8</f>
        <v>61394.8</v>
      </c>
      <c r="I8" s="168">
        <f>'[4]timbulan sampah'!D8</f>
        <v>154096.57999999999</v>
      </c>
      <c r="J8" s="168">
        <f>'[5]timbulan sampah'!D8</f>
        <v>28978.400000000001</v>
      </c>
      <c r="K8" s="169">
        <f>'[6]timbulan sampah'!D8</f>
        <v>4919.8599999999997</v>
      </c>
      <c r="L8" s="168">
        <f>'[7]timbulan sampah'!D8</f>
        <v>51235</v>
      </c>
      <c r="M8" s="168">
        <f>'[8]timbulan sampah'!D8</f>
        <v>30423.800000000003</v>
      </c>
      <c r="N8" s="168">
        <f>'[9]timbulan sampah'!D8</f>
        <v>175341.32</v>
      </c>
      <c r="O8" s="168">
        <f>'[10]timbulan sampah'!D8</f>
        <v>133121.12</v>
      </c>
      <c r="P8" s="168">
        <f>'[11]timbulan sampah'!D8</f>
        <v>31922.800000000003</v>
      </c>
      <c r="Q8" s="168">
        <f t="shared" si="2"/>
        <v>712078.28</v>
      </c>
      <c r="R8" s="167">
        <f t="shared" si="3"/>
        <v>712.07828000000006</v>
      </c>
    </row>
    <row r="9" spans="1:18" x14ac:dyDescent="0.25">
      <c r="A9" s="89">
        <v>2015</v>
      </c>
      <c r="B9" s="90">
        <f>[1]Sheet3!M18</f>
        <v>3426638</v>
      </c>
      <c r="C9" s="82">
        <v>0.22</v>
      </c>
      <c r="D9" s="151">
        <f t="shared" si="0"/>
        <v>753860.36</v>
      </c>
      <c r="E9" s="151">
        <f t="shared" si="1"/>
        <v>753.86036000000001</v>
      </c>
      <c r="G9" s="168">
        <f>'[2]timbulan sampah'!D9</f>
        <v>41778.600000000006</v>
      </c>
      <c r="H9" s="169">
        <f>'[3]timbulan sampah'!D9</f>
        <v>64023</v>
      </c>
      <c r="I9" s="168">
        <f>'[4]timbulan sampah'!D9</f>
        <v>157913.57999999999</v>
      </c>
      <c r="J9" s="168">
        <f>'[5]timbulan sampah'!D9</f>
        <v>29167.600000000002</v>
      </c>
      <c r="K9" s="169">
        <f>'[6]timbulan sampah'!D9</f>
        <v>4934.3</v>
      </c>
      <c r="L9" s="168">
        <f>'[7]timbulan sampah'!D9</f>
        <v>52460.200000000004</v>
      </c>
      <c r="M9" s="168">
        <f>'[8]timbulan sampah'!D9</f>
        <v>30847</v>
      </c>
      <c r="N9" s="168">
        <f>'[9]timbulan sampah'!D9</f>
        <v>178771.34</v>
      </c>
      <c r="O9" s="168">
        <f>'[10]timbulan sampah'!D9</f>
        <v>135426.28</v>
      </c>
      <c r="P9" s="168">
        <f>'[11]timbulan sampah'!D9</f>
        <v>32665.200000000001</v>
      </c>
      <c r="Q9" s="168">
        <f t="shared" si="2"/>
        <v>727987.1</v>
      </c>
      <c r="R9" s="167">
        <f t="shared" si="3"/>
        <v>727.98709999999994</v>
      </c>
    </row>
    <row r="10" spans="1:18" x14ac:dyDescent="0.25">
      <c r="A10" s="89">
        <v>2016</v>
      </c>
      <c r="B10" s="90">
        <f>[1]Sheet3!M19</f>
        <v>3501232</v>
      </c>
      <c r="C10" s="82">
        <v>0.22</v>
      </c>
      <c r="D10" s="151">
        <f t="shared" si="0"/>
        <v>770271.04</v>
      </c>
      <c r="E10" s="151">
        <f t="shared" si="1"/>
        <v>770.27104000000008</v>
      </c>
      <c r="G10" s="168">
        <f>'[2]timbulan sampah'!D10</f>
        <v>42965.600000000006</v>
      </c>
      <c r="H10" s="169">
        <f>'[3]timbulan sampah'!D10</f>
        <v>66718.2</v>
      </c>
      <c r="I10" s="168">
        <f>'[4]timbulan sampah'!D10</f>
        <v>161703.51999999999</v>
      </c>
      <c r="J10" s="168">
        <f>'[5]timbulan sampah'!D10</f>
        <v>29261.4</v>
      </c>
      <c r="K10" s="169">
        <f>'[6]timbulan sampah'!D10</f>
        <v>4956.91</v>
      </c>
      <c r="L10" s="168">
        <f>'[7]timbulan sampah'!D10</f>
        <v>53652.200000000004</v>
      </c>
      <c r="M10" s="168">
        <f>'[8]timbulan sampah'!D10</f>
        <v>31200.2</v>
      </c>
      <c r="N10" s="168">
        <f>'[9]timbulan sampah'!D10</f>
        <v>182226.66</v>
      </c>
      <c r="O10" s="168">
        <f>'[10]timbulan sampah'!D10</f>
        <v>137712.95999999999</v>
      </c>
      <c r="P10" s="168">
        <f>'[11]timbulan sampah'!D10</f>
        <v>33373.599999999999</v>
      </c>
      <c r="Q10" s="168">
        <f t="shared" si="2"/>
        <v>743771.25</v>
      </c>
      <c r="R10" s="167">
        <f t="shared" si="3"/>
        <v>743.77125000000001</v>
      </c>
    </row>
    <row r="11" spans="1:18" x14ac:dyDescent="0.25">
      <c r="A11" s="89">
        <v>2017</v>
      </c>
      <c r="B11" s="90">
        <f>[1]Sheet3!M20</f>
        <v>3598049.29</v>
      </c>
      <c r="C11" s="82">
        <v>0.22</v>
      </c>
      <c r="D11" s="151">
        <f t="shared" si="0"/>
        <v>791570.84380000003</v>
      </c>
      <c r="E11" s="151">
        <f t="shared" si="1"/>
        <v>791.57084380000003</v>
      </c>
      <c r="G11" s="168">
        <f>'[2]timbulan sampah'!D11</f>
        <v>44459.840000000004</v>
      </c>
      <c r="H11" s="169">
        <f>'[3]timbulan sampah'!D11</f>
        <v>67025.2</v>
      </c>
      <c r="I11" s="168">
        <f>'[4]timbulan sampah'!D11</f>
        <v>165740.29999999999</v>
      </c>
      <c r="J11" s="168">
        <f>'[5]timbulan sampah'!D11</f>
        <v>30258.9</v>
      </c>
      <c r="K11" s="169">
        <f>'[6]timbulan sampah'!D11</f>
        <v>4994.3380999999999</v>
      </c>
      <c r="L11" s="168">
        <f>'[7]timbulan sampah'!D11</f>
        <v>55349.200000000004</v>
      </c>
      <c r="M11" s="168">
        <f>'[8]timbulan sampah'!D11</f>
        <v>32424.48</v>
      </c>
      <c r="N11" s="168">
        <f>'[9]timbulan sampah'!D11</f>
        <v>186539.32</v>
      </c>
      <c r="O11" s="168">
        <f>'[10]timbulan sampah'!D11</f>
        <v>142997.57999999999</v>
      </c>
      <c r="P11" s="168">
        <f>'[11]timbulan sampah'!D11</f>
        <v>34583.040000000001</v>
      </c>
      <c r="Q11" s="168">
        <f t="shared" si="2"/>
        <v>764372.19810000004</v>
      </c>
      <c r="R11" s="167">
        <f t="shared" si="3"/>
        <v>764.37219809999999</v>
      </c>
    </row>
    <row r="12" spans="1:18" x14ac:dyDescent="0.25">
      <c r="A12" s="89">
        <v>2018</v>
      </c>
      <c r="B12" s="90">
        <f>[1]Sheet3!M21</f>
        <v>3689967.8100000005</v>
      </c>
      <c r="C12" s="82">
        <v>0.22</v>
      </c>
      <c r="D12" s="151">
        <f t="shared" si="0"/>
        <v>811792.91820000007</v>
      </c>
      <c r="E12" s="151">
        <f t="shared" si="1"/>
        <v>811.79291820000003</v>
      </c>
      <c r="G12" s="168">
        <f>'[2]timbulan sampah'!D12</f>
        <v>45680.619999999995</v>
      </c>
      <c r="H12" s="169">
        <f>'[3]timbulan sampah'!D12</f>
        <v>69524.600000000006</v>
      </c>
      <c r="I12" s="168">
        <f>'[4]timbulan sampah'!D12</f>
        <v>170297.38</v>
      </c>
      <c r="J12" s="168">
        <f>'[5]timbulan sampah'!D12</f>
        <v>30315.050000000003</v>
      </c>
      <c r="K12" s="169">
        <f>'[6]timbulan sampah'!D12</f>
        <v>5023.7064</v>
      </c>
      <c r="L12" s="168">
        <f>'[7]timbulan sampah'!D12</f>
        <v>56987.8</v>
      </c>
      <c r="M12" s="168">
        <f>'[8]timbulan sampah'!D12</f>
        <v>33113.56</v>
      </c>
      <c r="N12" s="168">
        <f>'[9]timbulan sampah'!D12</f>
        <v>191191.44</v>
      </c>
      <c r="O12" s="168">
        <f>'[10]timbulan sampah'!D12</f>
        <v>146319.36000000002</v>
      </c>
      <c r="P12" s="168">
        <f>'[11]timbulan sampah'!D12</f>
        <v>35440.019999999997</v>
      </c>
      <c r="Q12" s="168">
        <f t="shared" si="2"/>
        <v>783893.53639999998</v>
      </c>
      <c r="R12" s="167">
        <f t="shared" si="3"/>
        <v>783.89353640000002</v>
      </c>
    </row>
    <row r="13" spans="1:18" x14ac:dyDescent="0.25">
      <c r="A13" s="89">
        <v>2019</v>
      </c>
      <c r="B13" s="90">
        <f>[1]Sheet3!M22</f>
        <v>3781886.33</v>
      </c>
      <c r="C13" s="82">
        <v>0.22</v>
      </c>
      <c r="D13" s="151">
        <f t="shared" si="0"/>
        <v>832014.9926</v>
      </c>
      <c r="E13" s="151">
        <f t="shared" si="1"/>
        <v>832.01499260000003</v>
      </c>
      <c r="G13" s="168">
        <f>'[2]timbulan sampah'!D13</f>
        <v>46901.4</v>
      </c>
      <c r="H13" s="169">
        <f>'[3]timbulan sampah'!D13</f>
        <v>72024</v>
      </c>
      <c r="I13" s="168">
        <f>'[4]timbulan sampah'!D13</f>
        <v>174854.46</v>
      </c>
      <c r="J13" s="168">
        <f>'[5]timbulan sampah'!D13</f>
        <v>30371.200000000001</v>
      </c>
      <c r="K13" s="169">
        <f>'[6]timbulan sampah'!D13</f>
        <v>5053.0747000000001</v>
      </c>
      <c r="L13" s="168">
        <f>'[7]timbulan sampah'!D13</f>
        <v>58626.400000000001</v>
      </c>
      <c r="M13" s="168">
        <f>'[8]timbulan sampah'!D13</f>
        <v>33802.640000000007</v>
      </c>
      <c r="N13" s="168">
        <f>'[9]timbulan sampah'!D13</f>
        <v>195843.56</v>
      </c>
      <c r="O13" s="168">
        <f>'[10]timbulan sampah'!D13</f>
        <v>149641.14000000001</v>
      </c>
      <c r="P13" s="168">
        <f>'[11]timbulan sampah'!D13</f>
        <v>36297</v>
      </c>
      <c r="Q13" s="168">
        <f t="shared" si="2"/>
        <v>803414.87470000004</v>
      </c>
      <c r="R13" s="167">
        <f t="shared" si="3"/>
        <v>803.41487470000004</v>
      </c>
    </row>
    <row r="14" spans="1:18" x14ac:dyDescent="0.25">
      <c r="A14" s="89">
        <v>2020</v>
      </c>
      <c r="B14" s="90">
        <f>[1]Sheet3!M23</f>
        <v>3873804.85</v>
      </c>
      <c r="C14" s="82">
        <v>0.22</v>
      </c>
      <c r="D14" s="151">
        <f t="shared" si="0"/>
        <v>852237.06700000004</v>
      </c>
      <c r="E14" s="151">
        <f t="shared" si="1"/>
        <v>852.23706700000002</v>
      </c>
      <c r="G14" s="168">
        <f>'[2]timbulan sampah'!D14</f>
        <v>48122.18</v>
      </c>
      <c r="H14" s="169">
        <f>'[3]timbulan sampah'!D14</f>
        <v>74523.400000000009</v>
      </c>
      <c r="I14" s="168">
        <f>'[4]timbulan sampah'!D14</f>
        <v>179411.54</v>
      </c>
      <c r="J14" s="168">
        <f>'[5]timbulan sampah'!D14</f>
        <v>30427.350000000002</v>
      </c>
      <c r="K14" s="169">
        <f>'[6]timbulan sampah'!D14</f>
        <v>5082.4430000000002</v>
      </c>
      <c r="L14" s="168">
        <f>'[7]timbulan sampah'!D14</f>
        <v>60265</v>
      </c>
      <c r="M14" s="168">
        <f>'[8]timbulan sampah'!D14</f>
        <v>34491.72</v>
      </c>
      <c r="N14" s="168">
        <f>'[9]timbulan sampah'!D14</f>
        <v>200495.68</v>
      </c>
      <c r="O14" s="168">
        <f>'[10]timbulan sampah'!D14</f>
        <v>152962.92000000001</v>
      </c>
      <c r="P14" s="168">
        <f>'[11]timbulan sampah'!D14</f>
        <v>37153.980000000003</v>
      </c>
      <c r="Q14" s="168">
        <f t="shared" si="2"/>
        <v>822936.21300000011</v>
      </c>
      <c r="R14" s="167">
        <f t="shared" si="3"/>
        <v>822.93621300000007</v>
      </c>
    </row>
    <row r="15" spans="1:18" x14ac:dyDescent="0.25">
      <c r="A15" s="89">
        <v>2021</v>
      </c>
      <c r="B15" s="90">
        <f>[1]Sheet3!M24</f>
        <v>3965723.3699999996</v>
      </c>
      <c r="C15" s="82">
        <v>0.22</v>
      </c>
      <c r="D15" s="151">
        <f t="shared" si="0"/>
        <v>872459.14139999996</v>
      </c>
      <c r="E15" s="151">
        <f t="shared" si="1"/>
        <v>872.45914139999991</v>
      </c>
      <c r="G15" s="168">
        <f>'[2]timbulan sampah'!D15</f>
        <v>49342.96</v>
      </c>
      <c r="H15" s="169">
        <f>'[3]timbulan sampah'!D15</f>
        <v>77022.8</v>
      </c>
      <c r="I15" s="168">
        <f>'[4]timbulan sampah'!D15</f>
        <v>183968.62</v>
      </c>
      <c r="J15" s="168">
        <f>'[5]timbulan sampah'!D15</f>
        <v>30483.5</v>
      </c>
      <c r="K15" s="169">
        <f>'[6]timbulan sampah'!D15</f>
        <v>5111.8113000000003</v>
      </c>
      <c r="L15" s="168">
        <f>'[7]timbulan sampah'!D15</f>
        <v>61903.600000000006</v>
      </c>
      <c r="M15" s="168">
        <f>'[8]timbulan sampah'!D15</f>
        <v>35180.800000000003</v>
      </c>
      <c r="N15" s="168">
        <f>'[9]timbulan sampah'!D15</f>
        <v>205147.8</v>
      </c>
      <c r="O15" s="168">
        <f>'[10]timbulan sampah'!D15</f>
        <v>156284.70000000001</v>
      </c>
      <c r="P15" s="168">
        <f>'[11]timbulan sampah'!D15</f>
        <v>38010.959999999999</v>
      </c>
      <c r="Q15" s="168">
        <f t="shared" si="2"/>
        <v>842457.55129999993</v>
      </c>
      <c r="R15" s="167">
        <f t="shared" si="3"/>
        <v>842.45755129999998</v>
      </c>
    </row>
    <row r="16" spans="1:18" x14ac:dyDescent="0.25">
      <c r="A16" s="89">
        <v>2022</v>
      </c>
      <c r="B16" s="90">
        <f>[1]Sheet3!M25</f>
        <v>4057641.89</v>
      </c>
      <c r="C16" s="82">
        <v>0.22</v>
      </c>
      <c r="D16" s="151">
        <f t="shared" si="0"/>
        <v>892681.21580000001</v>
      </c>
      <c r="E16" s="151">
        <f t="shared" si="1"/>
        <v>892.68121580000002</v>
      </c>
      <c r="G16" s="168">
        <f>'[2]timbulan sampah'!D16</f>
        <v>50563.74</v>
      </c>
      <c r="H16" s="169">
        <f>'[3]timbulan sampah'!D16</f>
        <v>79522.200000000012</v>
      </c>
      <c r="I16" s="168">
        <f>'[4]timbulan sampah'!D16</f>
        <v>188525.7</v>
      </c>
      <c r="J16" s="168">
        <f>'[5]timbulan sampah'!D16</f>
        <v>30539.65</v>
      </c>
      <c r="K16" s="169">
        <f>'[6]timbulan sampah'!D16</f>
        <v>5141.1796000000004</v>
      </c>
      <c r="L16" s="168">
        <f>'[7]timbulan sampah'!D16</f>
        <v>63542.200000000004</v>
      </c>
      <c r="M16" s="168">
        <f>'[8]timbulan sampah'!D16</f>
        <v>35869.880000000005</v>
      </c>
      <c r="N16" s="168">
        <f>'[9]timbulan sampah'!D16</f>
        <v>209799.92</v>
      </c>
      <c r="O16" s="168">
        <f>'[10]timbulan sampah'!D16</f>
        <v>159606.48000000001</v>
      </c>
      <c r="P16" s="168">
        <f>'[11]timbulan sampah'!D16</f>
        <v>38867.94</v>
      </c>
      <c r="Q16" s="168">
        <f t="shared" si="2"/>
        <v>861978.88960000011</v>
      </c>
      <c r="R16" s="167">
        <f t="shared" si="3"/>
        <v>861.97888960000012</v>
      </c>
    </row>
    <row r="17" spans="1:18" x14ac:dyDescent="0.25">
      <c r="A17" s="89">
        <v>2023</v>
      </c>
      <c r="B17" s="90">
        <f>[1]Sheet3!M26</f>
        <v>4149560.41</v>
      </c>
      <c r="C17" s="82">
        <v>0.22</v>
      </c>
      <c r="D17" s="151">
        <f t="shared" si="0"/>
        <v>912903.29020000005</v>
      </c>
      <c r="E17" s="151">
        <f t="shared" si="1"/>
        <v>912.90329020000001</v>
      </c>
      <c r="G17" s="168">
        <f>'[2]timbulan sampah'!D17</f>
        <v>51784.52</v>
      </c>
      <c r="H17" s="169">
        <f>'[3]timbulan sampah'!D17</f>
        <v>82021.600000000006</v>
      </c>
      <c r="I17" s="168">
        <f>'[4]timbulan sampah'!D17</f>
        <v>193082.78</v>
      </c>
      <c r="J17" s="168">
        <f>'[5]timbulan sampah'!D17</f>
        <v>30595.800000000003</v>
      </c>
      <c r="K17" s="169">
        <f>'[6]timbulan sampah'!D17</f>
        <v>5170.5479000000005</v>
      </c>
      <c r="L17" s="168">
        <f>'[7]timbulan sampah'!D17</f>
        <v>65180.800000000003</v>
      </c>
      <c r="M17" s="168">
        <f>'[8]timbulan sampah'!D17</f>
        <v>36558.959999999999</v>
      </c>
      <c r="N17" s="168">
        <f>'[9]timbulan sampah'!D17</f>
        <v>214452.04</v>
      </c>
      <c r="O17" s="168">
        <f>'[10]timbulan sampah'!D17</f>
        <v>162928.26</v>
      </c>
      <c r="P17" s="168">
        <f>'[11]timbulan sampah'!D17</f>
        <v>39724.92</v>
      </c>
      <c r="Q17" s="168">
        <f t="shared" si="2"/>
        <v>881500.22790000006</v>
      </c>
      <c r="R17" s="167">
        <f t="shared" si="3"/>
        <v>881.50022790000003</v>
      </c>
    </row>
    <row r="18" spans="1:18" x14ac:dyDescent="0.25">
      <c r="A18" s="89">
        <v>2024</v>
      </c>
      <c r="B18" s="90">
        <f>[1]Sheet3!M27</f>
        <v>4241478.9300000006</v>
      </c>
      <c r="C18" s="82">
        <v>0.22</v>
      </c>
      <c r="D18" s="151">
        <f t="shared" si="0"/>
        <v>933125.36460000009</v>
      </c>
      <c r="E18" s="151">
        <f t="shared" si="1"/>
        <v>933.12536460000013</v>
      </c>
      <c r="G18" s="168">
        <f>'[2]timbulan sampah'!D18</f>
        <v>53005.3</v>
      </c>
      <c r="H18" s="169">
        <f>'[3]timbulan sampah'!D18</f>
        <v>84521</v>
      </c>
      <c r="I18" s="168">
        <f>'[4]timbulan sampah'!D18</f>
        <v>197639.86000000002</v>
      </c>
      <c r="J18" s="168">
        <f>'[5]timbulan sampah'!D18</f>
        <v>30651.95</v>
      </c>
      <c r="K18" s="169">
        <f>'[6]timbulan sampah'!D18</f>
        <v>5199.9161999999997</v>
      </c>
      <c r="L18" s="168">
        <f>'[7]timbulan sampah'!D18</f>
        <v>66819.400000000009</v>
      </c>
      <c r="M18" s="168">
        <f>'[8]timbulan sampah'!D18</f>
        <v>37248.04</v>
      </c>
      <c r="N18" s="168">
        <f>'[9]timbulan sampah'!D18</f>
        <v>219104.16</v>
      </c>
      <c r="O18" s="168">
        <f>'[10]timbulan sampah'!D18</f>
        <v>166250.04</v>
      </c>
      <c r="P18" s="168">
        <f>'[11]timbulan sampah'!D18</f>
        <v>40581.9</v>
      </c>
      <c r="Q18" s="168">
        <f t="shared" si="2"/>
        <v>901021.56620000012</v>
      </c>
      <c r="R18" s="167">
        <f t="shared" si="3"/>
        <v>901.02156620000017</v>
      </c>
    </row>
    <row r="19" spans="1:18" x14ac:dyDescent="0.25">
      <c r="A19" s="89">
        <v>2025</v>
      </c>
      <c r="B19" s="90">
        <f>[1]Sheet3!M28</f>
        <v>4333397.45</v>
      </c>
      <c r="C19" s="82">
        <v>0.22</v>
      </c>
      <c r="D19" s="151">
        <f t="shared" si="0"/>
        <v>953347.43900000001</v>
      </c>
      <c r="E19" s="151">
        <f t="shared" si="1"/>
        <v>953.34743900000001</v>
      </c>
      <c r="G19" s="168">
        <f>'[2]timbulan sampah'!D19</f>
        <v>54226.080000000009</v>
      </c>
      <c r="H19" s="169">
        <f>'[3]timbulan sampah'!D19</f>
        <v>87020.400000000009</v>
      </c>
      <c r="I19" s="168">
        <f>'[4]timbulan sampah'!D19</f>
        <v>202196.94</v>
      </c>
      <c r="J19" s="168">
        <f>'[5]timbulan sampah'!D19</f>
        <v>30708.100000000002</v>
      </c>
      <c r="K19" s="169">
        <f>'[6]timbulan sampah'!D19</f>
        <v>5229.2844999999998</v>
      </c>
      <c r="L19" s="168">
        <f>'[7]timbulan sampah'!D19</f>
        <v>68458</v>
      </c>
      <c r="M19" s="168">
        <f>'[8]timbulan sampah'!D19</f>
        <v>37937.120000000003</v>
      </c>
      <c r="N19" s="168">
        <f>'[9]timbulan sampah'!D19</f>
        <v>223756.28</v>
      </c>
      <c r="O19" s="168">
        <f>'[10]timbulan sampah'!D19</f>
        <v>169571.82</v>
      </c>
      <c r="P19" s="168">
        <f>'[11]timbulan sampah'!D19</f>
        <v>41438.880000000005</v>
      </c>
      <c r="Q19" s="168">
        <f t="shared" si="2"/>
        <v>920542.90450000006</v>
      </c>
      <c r="R19" s="167">
        <f t="shared" si="3"/>
        <v>920.54290450000008</v>
      </c>
    </row>
    <row r="20" spans="1:18" x14ac:dyDescent="0.25">
      <c r="A20" s="89">
        <v>2026</v>
      </c>
      <c r="B20" s="90">
        <f>[1]Sheet3!M29</f>
        <v>4425315.97</v>
      </c>
      <c r="C20" s="82">
        <v>0.22</v>
      </c>
      <c r="D20" s="151">
        <f t="shared" si="0"/>
        <v>973569.51339999994</v>
      </c>
      <c r="E20" s="151">
        <f t="shared" si="1"/>
        <v>973.56951339999989</v>
      </c>
      <c r="G20" s="168">
        <f>'[2]timbulan sampah'!D20</f>
        <v>55446.86</v>
      </c>
      <c r="H20" s="169">
        <f>'[3]timbulan sampah'!D20</f>
        <v>89519.8</v>
      </c>
      <c r="I20" s="168">
        <f>'[4]timbulan sampah'!D20</f>
        <v>206754.02</v>
      </c>
      <c r="J20" s="168">
        <f>'[5]timbulan sampah'!D20</f>
        <v>30764.25</v>
      </c>
      <c r="K20" s="169">
        <f>'[6]timbulan sampah'!D20</f>
        <v>5258.6527999999998</v>
      </c>
      <c r="L20" s="168">
        <f>'[7]timbulan sampah'!D20</f>
        <v>70096.600000000006</v>
      </c>
      <c r="M20" s="168">
        <f>'[8]timbulan sampah'!D20</f>
        <v>38626.200000000004</v>
      </c>
      <c r="N20" s="168">
        <f>'[9]timbulan sampah'!D20</f>
        <v>228408.4</v>
      </c>
      <c r="O20" s="168">
        <f>'[10]timbulan sampah'!D20</f>
        <v>172893.6</v>
      </c>
      <c r="P20" s="168">
        <f>'[11]timbulan sampah'!D20</f>
        <v>42295.86</v>
      </c>
      <c r="Q20" s="168">
        <f t="shared" si="2"/>
        <v>940064.24279999989</v>
      </c>
      <c r="R20" s="167">
        <f t="shared" si="3"/>
        <v>940.06424279999987</v>
      </c>
    </row>
    <row r="21" spans="1:18" x14ac:dyDescent="0.25">
      <c r="A21" s="89">
        <v>2027</v>
      </c>
      <c r="B21" s="90">
        <f>[1]Sheet3!M30</f>
        <v>4517234.49</v>
      </c>
      <c r="C21" s="82">
        <v>0.22</v>
      </c>
      <c r="D21" s="151">
        <f t="shared" si="0"/>
        <v>993791.5878000001</v>
      </c>
      <c r="E21" s="151">
        <f t="shared" si="1"/>
        <v>993.79158780000012</v>
      </c>
      <c r="G21" s="168">
        <f>'[2]timbulan sampah'!D21</f>
        <v>56667.639999999992</v>
      </c>
      <c r="H21" s="169">
        <f>'[3]timbulan sampah'!D21</f>
        <v>92019.200000000012</v>
      </c>
      <c r="I21" s="168">
        <f>'[4]timbulan sampah'!D21</f>
        <v>211311.1</v>
      </c>
      <c r="J21" s="168">
        <f>'[5]timbulan sampah'!D21</f>
        <v>30820.400000000001</v>
      </c>
      <c r="K21" s="169">
        <f>'[6]timbulan sampah'!D21</f>
        <v>5288.0210999999999</v>
      </c>
      <c r="L21" s="168">
        <f>'[7]timbulan sampah'!D21</f>
        <v>71735.199999999997</v>
      </c>
      <c r="M21" s="168">
        <f>'[8]timbulan sampah'!D21</f>
        <v>39315.280000000006</v>
      </c>
      <c r="N21" s="168">
        <f>'[9]timbulan sampah'!D21</f>
        <v>233060.52</v>
      </c>
      <c r="O21" s="168">
        <f>'[10]timbulan sampah'!D21</f>
        <v>176215.38</v>
      </c>
      <c r="P21" s="168">
        <f>'[11]timbulan sampah'!D21</f>
        <v>43152.84</v>
      </c>
      <c r="Q21" s="168">
        <f t="shared" si="2"/>
        <v>959585.58110000007</v>
      </c>
      <c r="R21" s="167">
        <f t="shared" si="3"/>
        <v>959.58558110000001</v>
      </c>
    </row>
    <row r="22" spans="1:18" x14ac:dyDescent="0.25">
      <c r="A22" s="89">
        <v>2028</v>
      </c>
      <c r="B22" s="90">
        <f>[1]Sheet3!M31</f>
        <v>4609153.01</v>
      </c>
      <c r="C22" s="82">
        <v>0.22</v>
      </c>
      <c r="D22" s="151">
        <f t="shared" si="0"/>
        <v>1014013.6621999999</v>
      </c>
      <c r="E22" s="151">
        <f t="shared" si="1"/>
        <v>1014.0136621999999</v>
      </c>
      <c r="G22" s="168">
        <f>'[2]timbulan sampah'!D22</f>
        <v>57888.42</v>
      </c>
      <c r="H22" s="169">
        <f>'[3]timbulan sampah'!D22</f>
        <v>94518.6</v>
      </c>
      <c r="I22" s="168">
        <f>'[4]timbulan sampah'!D22</f>
        <v>215868.18</v>
      </c>
      <c r="J22" s="168">
        <f>'[5]timbulan sampah'!D22</f>
        <v>30876.550000000003</v>
      </c>
      <c r="K22" s="169">
        <f>'[6]timbulan sampah'!D22</f>
        <v>5317.3894</v>
      </c>
      <c r="L22" s="168">
        <f>'[7]timbulan sampah'!D22</f>
        <v>73373.8</v>
      </c>
      <c r="M22" s="168">
        <f>'[8]timbulan sampah'!D22</f>
        <v>40004.36</v>
      </c>
      <c r="N22" s="168">
        <f>'[9]timbulan sampah'!D22</f>
        <v>237712.64000000001</v>
      </c>
      <c r="O22" s="168">
        <f>'[10]timbulan sampah'!D22</f>
        <v>179537.16</v>
      </c>
      <c r="P22" s="168">
        <f>'[11]timbulan sampah'!D22</f>
        <v>44009.82</v>
      </c>
      <c r="Q22" s="168">
        <f t="shared" si="2"/>
        <v>979106.91940000001</v>
      </c>
      <c r="R22" s="167">
        <f t="shared" si="3"/>
        <v>979.10691940000004</v>
      </c>
    </row>
    <row r="23" spans="1:18" x14ac:dyDescent="0.25">
      <c r="A23" s="89">
        <v>2029</v>
      </c>
      <c r="B23" s="90">
        <f>[1]Sheet3!M32</f>
        <v>4701071.53</v>
      </c>
      <c r="C23" s="82">
        <v>0.22</v>
      </c>
      <c r="D23" s="151">
        <f t="shared" si="0"/>
        <v>1034235.7366000001</v>
      </c>
      <c r="E23" s="151">
        <f t="shared" si="1"/>
        <v>1034.2357366000001</v>
      </c>
      <c r="G23" s="168">
        <f>'[2]timbulan sampah'!D23</f>
        <v>59109.200000000004</v>
      </c>
      <c r="H23" s="169">
        <f>'[3]timbulan sampah'!D23</f>
        <v>97018</v>
      </c>
      <c r="I23" s="168">
        <f>'[4]timbulan sampah'!D23</f>
        <v>220425.26</v>
      </c>
      <c r="J23" s="168">
        <f>'[5]timbulan sampah'!D23</f>
        <v>30932.7</v>
      </c>
      <c r="K23" s="169">
        <f>'[6]timbulan sampah'!D23</f>
        <v>5346.7577000000001</v>
      </c>
      <c r="L23" s="168">
        <f>'[7]timbulan sampah'!D23</f>
        <v>75012.400000000009</v>
      </c>
      <c r="M23" s="168">
        <f>'[8]timbulan sampah'!D23</f>
        <v>40693.440000000002</v>
      </c>
      <c r="N23" s="168">
        <f>'[9]timbulan sampah'!D23</f>
        <v>242364.76</v>
      </c>
      <c r="O23" s="168">
        <f>'[10]timbulan sampah'!D23</f>
        <v>182858.94</v>
      </c>
      <c r="P23" s="168">
        <f>'[11]timbulan sampah'!D23</f>
        <v>44866.8</v>
      </c>
      <c r="Q23" s="168">
        <f t="shared" si="2"/>
        <v>998628.25770000019</v>
      </c>
      <c r="R23" s="167">
        <f t="shared" si="3"/>
        <v>998.62825770000018</v>
      </c>
    </row>
    <row r="24" spans="1:18" x14ac:dyDescent="0.25">
      <c r="A24" s="89">
        <v>2030</v>
      </c>
      <c r="B24" s="90">
        <f>[1]Sheet3!M33</f>
        <v>4792990.0500000007</v>
      </c>
      <c r="C24" s="82">
        <v>0.22</v>
      </c>
      <c r="D24" s="151">
        <f t="shared" si="0"/>
        <v>1054457.8110000002</v>
      </c>
      <c r="E24" s="151">
        <f t="shared" si="1"/>
        <v>1054.4578110000002</v>
      </c>
      <c r="G24" s="168">
        <f>'[2]timbulan sampah'!D24</f>
        <v>60329.98000000001</v>
      </c>
      <c r="H24" s="169">
        <f>'[3]timbulan sampah'!D24</f>
        <v>99517.400000000009</v>
      </c>
      <c r="I24" s="168">
        <f>'[4]timbulan sampah'!D24</f>
        <v>224982.34</v>
      </c>
      <c r="J24" s="168">
        <f>'[5]timbulan sampah'!D24</f>
        <v>30988.850000000002</v>
      </c>
      <c r="K24" s="169">
        <f>'[6]timbulan sampah'!D24</f>
        <v>5376.1260000000002</v>
      </c>
      <c r="L24" s="168">
        <f>'[7]timbulan sampah'!D24</f>
        <v>76651</v>
      </c>
      <c r="M24" s="168">
        <f>'[8]timbulan sampah'!D24</f>
        <v>41382.520000000004</v>
      </c>
      <c r="N24" s="168">
        <f>'[9]timbulan sampah'!D24</f>
        <v>247016.88</v>
      </c>
      <c r="O24" s="168">
        <f>'[10]timbulan sampah'!D24</f>
        <v>186180.72</v>
      </c>
      <c r="P24" s="168">
        <f>'[11]timbulan sampah'!D24</f>
        <v>45723.78</v>
      </c>
      <c r="Q24" s="168">
        <f t="shared" si="2"/>
        <v>1018149.5959999999</v>
      </c>
      <c r="R24" s="167">
        <f t="shared" si="3"/>
        <v>1018.1495959999999</v>
      </c>
    </row>
    <row r="25" spans="1:18" x14ac:dyDescent="0.25">
      <c r="O25" s="168"/>
    </row>
    <row r="26" spans="1:18" ht="21" x14ac:dyDescent="0.25">
      <c r="B26" s="80" t="s">
        <v>18</v>
      </c>
    </row>
    <row r="27" spans="1:18" x14ac:dyDescent="0.25">
      <c r="B27" s="81" t="s">
        <v>16</v>
      </c>
      <c r="C27" s="81"/>
      <c r="D27" s="81"/>
    </row>
    <row r="28" spans="1:18" x14ac:dyDescent="0.25">
      <c r="B28" s="81" t="s">
        <v>17</v>
      </c>
      <c r="C28" s="81"/>
      <c r="D28" s="81"/>
    </row>
    <row r="30" spans="1:18" x14ac:dyDescent="0.25">
      <c r="B30" s="83" t="s">
        <v>37</v>
      </c>
      <c r="C30" s="83"/>
      <c r="D30" s="83"/>
      <c r="E30" s="84">
        <v>2</v>
      </c>
      <c r="F30" s="85" t="s">
        <v>33</v>
      </c>
      <c r="G30" s="84">
        <v>3</v>
      </c>
      <c r="H30" s="83" t="s">
        <v>38</v>
      </c>
      <c r="I30" s="83"/>
    </row>
    <row r="31" spans="1:18" x14ac:dyDescent="0.25">
      <c r="B31" s="83"/>
      <c r="C31" s="83"/>
      <c r="D31" s="83"/>
      <c r="E31" s="84">
        <f>(2*250)/1000</f>
        <v>0.5</v>
      </c>
      <c r="F31" s="85" t="s">
        <v>33</v>
      </c>
      <c r="G31" s="84">
        <f>(3*250)/1000</f>
        <v>0.75</v>
      </c>
      <c r="H31" s="83" t="s">
        <v>13</v>
      </c>
      <c r="I31" s="83"/>
    </row>
    <row r="32" spans="1:18" x14ac:dyDescent="0.25">
      <c r="B32" s="83"/>
      <c r="C32" s="83"/>
      <c r="D32" s="83"/>
      <c r="E32" s="86">
        <f>E31*(365/1000)</f>
        <v>0.1825</v>
      </c>
      <c r="F32" s="87" t="s">
        <v>33</v>
      </c>
      <c r="G32" s="86">
        <f>G31*(365/1000)</f>
        <v>0.27374999999999999</v>
      </c>
      <c r="H32" s="83" t="s">
        <v>39</v>
      </c>
      <c r="I32" s="83"/>
    </row>
    <row r="34" spans="2:6" x14ac:dyDescent="0.25">
      <c r="B34" s="88" t="s">
        <v>34</v>
      </c>
      <c r="C34" s="88"/>
      <c r="D34" s="88" t="s">
        <v>35</v>
      </c>
      <c r="E34" s="88"/>
      <c r="F34" s="88"/>
    </row>
    <row r="35" spans="2:6" x14ac:dyDescent="0.25">
      <c r="B35" s="88"/>
      <c r="C35" s="88"/>
      <c r="D35" s="88" t="s">
        <v>36</v>
      </c>
      <c r="E35" s="88"/>
      <c r="F35" s="88"/>
    </row>
  </sheetData>
  <mergeCells count="5">
    <mergeCell ref="D3:E3"/>
    <mergeCell ref="B3:B4"/>
    <mergeCell ref="A3:A4"/>
    <mergeCell ref="G4:P4"/>
    <mergeCell ref="Q3:R3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opLeftCell="A19" zoomScaleNormal="100" workbookViewId="0">
      <selection activeCell="L44" sqref="L44"/>
    </sheetView>
  </sheetViews>
  <sheetFormatPr defaultRowHeight="12.75" x14ac:dyDescent="0.25"/>
  <cols>
    <col min="1" max="1" width="9.140625" style="145"/>
    <col min="2" max="2" width="11.140625" style="145" customWidth="1"/>
    <col min="3" max="3" width="11" style="145" customWidth="1"/>
    <col min="4" max="6" width="9.140625" style="145"/>
    <col min="7" max="7" width="12.28515625" style="145" customWidth="1"/>
    <col min="8" max="8" width="9.140625" style="145"/>
    <col min="9" max="9" width="16.85546875" style="145" customWidth="1"/>
    <col min="10" max="11" width="9.140625" style="145"/>
    <col min="12" max="12" width="9" style="152" bestFit="1" customWidth="1"/>
    <col min="13" max="13" width="12" style="152" bestFit="1" customWidth="1"/>
    <col min="14" max="14" width="2.42578125" style="152" customWidth="1"/>
    <col min="15" max="15" width="7.140625" style="152" customWidth="1"/>
    <col min="16" max="19" width="9.140625" style="152"/>
    <col min="20" max="20" width="1.42578125" style="152" customWidth="1"/>
    <col min="21" max="21" width="7.140625" style="152" customWidth="1"/>
    <col min="22" max="22" width="50.28515625" style="152" customWidth="1"/>
    <col min="23" max="25" width="9.140625" style="152"/>
    <col min="26" max="16384" width="9.140625" style="145"/>
  </cols>
  <sheetData>
    <row r="2" spans="1:21" x14ac:dyDescent="0.25">
      <c r="A2" s="179" t="s">
        <v>9</v>
      </c>
      <c r="B2" s="179"/>
      <c r="C2" s="179"/>
      <c r="D2" s="179"/>
      <c r="E2" s="179"/>
      <c r="F2" s="179"/>
      <c r="G2" s="179"/>
      <c r="H2" s="179"/>
      <c r="I2" s="179"/>
    </row>
    <row r="3" spans="1:21" x14ac:dyDescent="0.25">
      <c r="A3" s="153" t="s">
        <v>124</v>
      </c>
    </row>
    <row r="4" spans="1:21" x14ac:dyDescent="0.25">
      <c r="A4" s="180" t="s">
        <v>8</v>
      </c>
      <c r="B4" s="180" t="s">
        <v>0</v>
      </c>
      <c r="C4" s="180"/>
      <c r="D4" s="180"/>
      <c r="E4" s="180"/>
      <c r="F4" s="180"/>
      <c r="G4" s="180"/>
      <c r="H4" s="180"/>
      <c r="I4" s="184" t="s">
        <v>10</v>
      </c>
    </row>
    <row r="5" spans="1:21" ht="25.5" x14ac:dyDescent="0.25">
      <c r="A5" s="180"/>
      <c r="B5" s="150" t="s">
        <v>1</v>
      </c>
      <c r="C5" s="150" t="s">
        <v>2</v>
      </c>
      <c r="D5" s="150" t="s">
        <v>149</v>
      </c>
      <c r="E5" s="150" t="s">
        <v>4</v>
      </c>
      <c r="F5" s="150" t="s">
        <v>5</v>
      </c>
      <c r="G5" s="150" t="s">
        <v>128</v>
      </c>
      <c r="H5" s="150" t="s">
        <v>7</v>
      </c>
      <c r="I5" s="185"/>
      <c r="P5" s="154"/>
    </row>
    <row r="6" spans="1:21" ht="17.25" customHeight="1" x14ac:dyDescent="0.25">
      <c r="A6" s="155">
        <v>2011</v>
      </c>
      <c r="B6" s="170">
        <v>0.31609999999999999</v>
      </c>
      <c r="C6" s="170">
        <f>4%+9.35%+8.46%+6.21%</f>
        <v>0.2802</v>
      </c>
      <c r="D6" s="170">
        <v>1.35E-2</v>
      </c>
      <c r="E6" s="170">
        <v>0.39019999999999999</v>
      </c>
      <c r="F6" s="171"/>
      <c r="G6" s="171"/>
      <c r="H6" s="171"/>
      <c r="I6" s="156">
        <f>SUM(B6:H6)</f>
        <v>1</v>
      </c>
      <c r="L6" s="91"/>
    </row>
    <row r="7" spans="1:21" x14ac:dyDescent="0.25">
      <c r="A7" s="155">
        <v>2012</v>
      </c>
      <c r="B7" s="170">
        <v>0.31609999999999999</v>
      </c>
      <c r="C7" s="170">
        <f t="shared" ref="C7:C11" si="0">4%+9.35%+8.46%+6.21%</f>
        <v>0.2802</v>
      </c>
      <c r="D7" s="170">
        <v>1.35E-2</v>
      </c>
      <c r="E7" s="170">
        <v>0.39019999999999999</v>
      </c>
      <c r="F7" s="171"/>
      <c r="G7" s="171"/>
      <c r="H7" s="171"/>
      <c r="I7" s="156">
        <f t="shared" ref="I7:I25" si="1">SUM(B7:H7)</f>
        <v>1</v>
      </c>
      <c r="L7" s="152">
        <v>2000</v>
      </c>
      <c r="M7" s="152">
        <f>M8-(M8*0.024)</f>
        <v>0</v>
      </c>
      <c r="N7" s="92"/>
      <c r="O7" s="93"/>
      <c r="P7" s="154"/>
      <c r="S7" s="157"/>
      <c r="T7" s="158"/>
      <c r="U7" s="157"/>
    </row>
    <row r="8" spans="1:21" x14ac:dyDescent="0.25">
      <c r="A8" s="155">
        <v>2013</v>
      </c>
      <c r="B8" s="170">
        <v>0.31609999999999999</v>
      </c>
      <c r="C8" s="170">
        <f t="shared" si="0"/>
        <v>0.2802</v>
      </c>
      <c r="D8" s="170">
        <v>1.35E-2</v>
      </c>
      <c r="E8" s="170">
        <v>0.39019999999999999</v>
      </c>
      <c r="F8" s="171"/>
      <c r="G8" s="171"/>
      <c r="H8" s="171"/>
      <c r="I8" s="156">
        <f t="shared" si="1"/>
        <v>1</v>
      </c>
      <c r="L8" s="152">
        <v>2001</v>
      </c>
      <c r="M8" s="152">
        <f t="shared" ref="M8:M10" si="2">M9-(M9*0.024)</f>
        <v>0</v>
      </c>
      <c r="N8" s="93"/>
      <c r="O8" s="93"/>
      <c r="P8" s="154"/>
      <c r="S8" s="159"/>
      <c r="T8" s="159"/>
      <c r="U8" s="159"/>
    </row>
    <row r="9" spans="1:21" x14ac:dyDescent="0.25">
      <c r="A9" s="155">
        <v>2014</v>
      </c>
      <c r="B9" s="170">
        <v>0.31609999999999999</v>
      </c>
      <c r="C9" s="170">
        <f t="shared" si="0"/>
        <v>0.2802</v>
      </c>
      <c r="D9" s="170">
        <v>1.35E-2</v>
      </c>
      <c r="E9" s="170">
        <v>0.39019999999999999</v>
      </c>
      <c r="F9" s="171"/>
      <c r="G9" s="171"/>
      <c r="H9" s="171"/>
      <c r="I9" s="156">
        <f t="shared" si="1"/>
        <v>1</v>
      </c>
      <c r="L9" s="152">
        <v>2002</v>
      </c>
      <c r="M9" s="152">
        <f t="shared" si="2"/>
        <v>0</v>
      </c>
      <c r="N9" s="93"/>
      <c r="O9" s="93"/>
      <c r="P9" s="154"/>
    </row>
    <row r="10" spans="1:21" x14ac:dyDescent="0.25">
      <c r="A10" s="155">
        <v>2015</v>
      </c>
      <c r="B10" s="170">
        <v>0.31609999999999999</v>
      </c>
      <c r="C10" s="170">
        <f t="shared" si="0"/>
        <v>0.2802</v>
      </c>
      <c r="D10" s="170">
        <v>1.35E-2</v>
      </c>
      <c r="E10" s="170">
        <v>0.39019999999999999</v>
      </c>
      <c r="F10" s="171"/>
      <c r="G10" s="171"/>
      <c r="H10" s="171"/>
      <c r="I10" s="156">
        <f t="shared" si="1"/>
        <v>1</v>
      </c>
      <c r="L10" s="152">
        <v>2003</v>
      </c>
      <c r="M10" s="152">
        <f t="shared" si="2"/>
        <v>0</v>
      </c>
      <c r="N10" s="92"/>
      <c r="O10" s="93"/>
      <c r="P10" s="154"/>
    </row>
    <row r="11" spans="1:21" x14ac:dyDescent="0.25">
      <c r="A11" s="155">
        <v>2016</v>
      </c>
      <c r="B11" s="170">
        <v>0.31609999999999999</v>
      </c>
      <c r="C11" s="170">
        <f t="shared" si="0"/>
        <v>0.2802</v>
      </c>
      <c r="D11" s="170">
        <v>1.35E-2</v>
      </c>
      <c r="E11" s="170">
        <v>0.39019999999999999</v>
      </c>
      <c r="F11" s="171"/>
      <c r="G11" s="171"/>
      <c r="H11" s="171"/>
      <c r="I11" s="156">
        <f t="shared" si="1"/>
        <v>1</v>
      </c>
      <c r="L11" s="152">
        <v>2004</v>
      </c>
      <c r="M11" s="152">
        <f>M12-(M12*0.024)</f>
        <v>0</v>
      </c>
    </row>
    <row r="12" spans="1:21" x14ac:dyDescent="0.25">
      <c r="A12" s="155">
        <v>2017</v>
      </c>
      <c r="B12" s="170">
        <f>B11*1.0255</f>
        <v>0.32416054999999999</v>
      </c>
      <c r="C12" s="170">
        <f>C11*(1-0.0238)</f>
        <v>0.27353124000000001</v>
      </c>
      <c r="D12" s="170">
        <f t="shared" ref="D12:D24" si="3">D11*1.0285</f>
        <v>1.388475E-2</v>
      </c>
      <c r="E12" s="170">
        <f>E11*(1-0.0119)</f>
        <v>0.38555661999999996</v>
      </c>
      <c r="F12" s="171"/>
      <c r="G12" s="171"/>
      <c r="H12" s="171"/>
      <c r="I12" s="156">
        <f t="shared" si="1"/>
        <v>0.99713315999999996</v>
      </c>
      <c r="L12" s="152">
        <v>2005</v>
      </c>
      <c r="M12" s="152">
        <f>M13-(M13*O29)</f>
        <v>0</v>
      </c>
    </row>
    <row r="13" spans="1:21" x14ac:dyDescent="0.25">
      <c r="A13" s="155">
        <v>2018</v>
      </c>
      <c r="B13" s="170">
        <f t="shared" ref="B13:B24" si="4">B12*1.0255</f>
        <v>0.332426644025</v>
      </c>
      <c r="C13" s="170">
        <f t="shared" ref="C13:C24" si="5">C12*(1-0.0238)</f>
        <v>0.26702119648799999</v>
      </c>
      <c r="D13" s="170">
        <f t="shared" si="3"/>
        <v>1.4280465374999999E-2</v>
      </c>
      <c r="E13" s="170">
        <f t="shared" ref="E13:E24" si="6">E12*(1-0.0119)</f>
        <v>0.38096849622199996</v>
      </c>
      <c r="F13" s="171"/>
      <c r="G13" s="171"/>
      <c r="H13" s="171"/>
      <c r="I13" s="156">
        <f t="shared" si="1"/>
        <v>0.99469680211</v>
      </c>
      <c r="L13" s="152">
        <v>2006</v>
      </c>
      <c r="M13" s="152">
        <f>M14-(M14*O29)</f>
        <v>0</v>
      </c>
    </row>
    <row r="14" spans="1:21" x14ac:dyDescent="0.25">
      <c r="A14" s="155">
        <v>2019</v>
      </c>
      <c r="B14" s="170">
        <f t="shared" si="4"/>
        <v>0.34090352344763752</v>
      </c>
      <c r="C14" s="170">
        <f t="shared" si="5"/>
        <v>0.26066609201158558</v>
      </c>
      <c r="D14" s="170">
        <f t="shared" si="3"/>
        <v>1.4687458638187498E-2</v>
      </c>
      <c r="E14" s="170">
        <f t="shared" si="6"/>
        <v>0.37643497111695817</v>
      </c>
      <c r="F14" s="171"/>
      <c r="G14" s="171"/>
      <c r="H14" s="171"/>
      <c r="I14" s="156">
        <f t="shared" si="1"/>
        <v>0.99269204521436882</v>
      </c>
      <c r="L14" s="152">
        <v>2007</v>
      </c>
      <c r="M14" s="152">
        <f>M15-(M15*O29)</f>
        <v>0</v>
      </c>
      <c r="P14" s="154"/>
    </row>
    <row r="15" spans="1:21" x14ac:dyDescent="0.25">
      <c r="A15" s="155">
        <v>2020</v>
      </c>
      <c r="B15" s="170">
        <f t="shared" si="4"/>
        <v>0.34959656329555233</v>
      </c>
      <c r="C15" s="170">
        <f t="shared" si="5"/>
        <v>0.25446223902170984</v>
      </c>
      <c r="D15" s="170">
        <f t="shared" si="3"/>
        <v>1.5106051209375842E-2</v>
      </c>
      <c r="E15" s="170">
        <f t="shared" si="6"/>
        <v>0.37195539496066637</v>
      </c>
      <c r="F15" s="171"/>
      <c r="G15" s="171"/>
      <c r="H15" s="171"/>
      <c r="I15" s="156">
        <f t="shared" si="1"/>
        <v>0.99112024848730429</v>
      </c>
      <c r="L15" s="152">
        <v>2008</v>
      </c>
      <c r="M15" s="152">
        <f>M27-(M27*O29)</f>
        <v>0</v>
      </c>
      <c r="S15" s="157"/>
    </row>
    <row r="16" spans="1:21" x14ac:dyDescent="0.25">
      <c r="A16" s="155">
        <v>2021</v>
      </c>
      <c r="B16" s="170">
        <f t="shared" si="4"/>
        <v>0.35851127565958896</v>
      </c>
      <c r="C16" s="170">
        <f t="shared" si="5"/>
        <v>0.24840603773299313</v>
      </c>
      <c r="D16" s="170">
        <f t="shared" si="3"/>
        <v>1.5536573668843054E-2</v>
      </c>
      <c r="E16" s="170">
        <f t="shared" si="6"/>
        <v>0.36752912576063446</v>
      </c>
      <c r="F16" s="171"/>
      <c r="G16" s="171"/>
      <c r="H16" s="171"/>
      <c r="I16" s="156">
        <f t="shared" si="1"/>
        <v>0.98998301282205958</v>
      </c>
      <c r="S16" s="157"/>
    </row>
    <row r="17" spans="1:19" x14ac:dyDescent="0.25">
      <c r="A17" s="155">
        <v>2022</v>
      </c>
      <c r="B17" s="170">
        <f t="shared" si="4"/>
        <v>0.36765331318890848</v>
      </c>
      <c r="C17" s="170">
        <f t="shared" si="5"/>
        <v>0.24249397403494788</v>
      </c>
      <c r="D17" s="170">
        <f t="shared" si="3"/>
        <v>1.5979366018405081E-2</v>
      </c>
      <c r="E17" s="170">
        <f t="shared" si="6"/>
        <v>0.36315552916408289</v>
      </c>
      <c r="F17" s="171"/>
      <c r="G17" s="171"/>
      <c r="H17" s="171"/>
      <c r="I17" s="156">
        <f t="shared" si="1"/>
        <v>0.98928218240634436</v>
      </c>
      <c r="S17" s="157"/>
    </row>
    <row r="18" spans="1:19" x14ac:dyDescent="0.25">
      <c r="A18" s="155">
        <v>2023</v>
      </c>
      <c r="B18" s="170">
        <f t="shared" si="4"/>
        <v>0.37702847267522566</v>
      </c>
      <c r="C18" s="170">
        <f t="shared" si="5"/>
        <v>0.23672261745291612</v>
      </c>
      <c r="D18" s="170">
        <f t="shared" si="3"/>
        <v>1.6434777949929626E-2</v>
      </c>
      <c r="E18" s="170">
        <f t="shared" si="6"/>
        <v>0.35883397836703029</v>
      </c>
      <c r="F18" s="171"/>
      <c r="G18" s="171"/>
      <c r="H18" s="171"/>
      <c r="I18" s="156">
        <f t="shared" si="1"/>
        <v>0.98901984644510166</v>
      </c>
      <c r="S18" s="157"/>
    </row>
    <row r="19" spans="1:19" x14ac:dyDescent="0.25">
      <c r="A19" s="155">
        <v>2024</v>
      </c>
      <c r="B19" s="170">
        <f t="shared" si="4"/>
        <v>0.38664269872844392</v>
      </c>
      <c r="C19" s="170">
        <f t="shared" si="5"/>
        <v>0.2310886191575367</v>
      </c>
      <c r="D19" s="170">
        <f t="shared" si="3"/>
        <v>1.690316912150262E-2</v>
      </c>
      <c r="E19" s="170">
        <f t="shared" si="6"/>
        <v>0.35456385402446261</v>
      </c>
      <c r="F19" s="171"/>
      <c r="G19" s="171"/>
      <c r="H19" s="171"/>
      <c r="I19" s="156">
        <f t="shared" si="1"/>
        <v>0.98919834103194582</v>
      </c>
      <c r="S19" s="157"/>
    </row>
    <row r="20" spans="1:19" x14ac:dyDescent="0.25">
      <c r="A20" s="155">
        <v>2025</v>
      </c>
      <c r="B20" s="170">
        <f t="shared" si="4"/>
        <v>0.39650208754601929</v>
      </c>
      <c r="C20" s="170">
        <f t="shared" si="5"/>
        <v>0.22558871002158731</v>
      </c>
      <c r="D20" s="170">
        <f t="shared" si="3"/>
        <v>1.7384909441465445E-2</v>
      </c>
      <c r="E20" s="170">
        <f t="shared" si="6"/>
        <v>0.35034454416157151</v>
      </c>
      <c r="F20" s="171"/>
      <c r="G20" s="171"/>
      <c r="H20" s="171"/>
      <c r="I20" s="156">
        <f t="shared" si="1"/>
        <v>0.98982025117064354</v>
      </c>
      <c r="S20" s="157"/>
    </row>
    <row r="21" spans="1:19" x14ac:dyDescent="0.25">
      <c r="A21" s="155">
        <v>2026</v>
      </c>
      <c r="B21" s="170">
        <f t="shared" si="4"/>
        <v>0.40661289077844281</v>
      </c>
      <c r="C21" s="170">
        <f t="shared" si="5"/>
        <v>0.22021969872307354</v>
      </c>
      <c r="D21" s="170">
        <f t="shared" si="3"/>
        <v>1.7880379360547208E-2</v>
      </c>
      <c r="E21" s="170">
        <f t="shared" si="6"/>
        <v>0.34617544408604878</v>
      </c>
      <c r="F21" s="171"/>
      <c r="G21" s="171"/>
      <c r="H21" s="171"/>
      <c r="I21" s="156">
        <f t="shared" si="1"/>
        <v>0.99088841294811236</v>
      </c>
      <c r="S21" s="157"/>
    </row>
    <row r="22" spans="1:19" x14ac:dyDescent="0.25">
      <c r="A22" s="155">
        <v>2027</v>
      </c>
      <c r="B22" s="170">
        <f t="shared" si="4"/>
        <v>0.41698151949329315</v>
      </c>
      <c r="C22" s="170">
        <f t="shared" si="5"/>
        <v>0.21497846989346436</v>
      </c>
      <c r="D22" s="170">
        <f t="shared" si="3"/>
        <v>1.8389970172322804E-2</v>
      </c>
      <c r="E22" s="170">
        <f t="shared" si="6"/>
        <v>0.34205595630142477</v>
      </c>
      <c r="F22" s="171"/>
      <c r="G22" s="171"/>
      <c r="H22" s="171"/>
      <c r="I22" s="156">
        <f t="shared" si="1"/>
        <v>0.99240591586050519</v>
      </c>
      <c r="S22" s="157"/>
    </row>
    <row r="23" spans="1:19" x14ac:dyDescent="0.25">
      <c r="A23" s="155">
        <v>2028</v>
      </c>
      <c r="B23" s="170">
        <f t="shared" si="4"/>
        <v>0.42761454824037215</v>
      </c>
      <c r="C23" s="170">
        <f t="shared" si="5"/>
        <v>0.20986198230999989</v>
      </c>
      <c r="D23" s="170">
        <f t="shared" si="3"/>
        <v>1.8914084322234005E-2</v>
      </c>
      <c r="E23" s="170">
        <f t="shared" si="6"/>
        <v>0.33798549042143783</v>
      </c>
      <c r="F23" s="171"/>
      <c r="G23" s="171"/>
      <c r="H23" s="171"/>
      <c r="I23" s="156">
        <f t="shared" si="1"/>
        <v>0.99437610529404385</v>
      </c>
      <c r="S23" s="157"/>
    </row>
    <row r="24" spans="1:19" x14ac:dyDescent="0.25">
      <c r="A24" s="155">
        <v>2029</v>
      </c>
      <c r="B24" s="170">
        <f t="shared" si="4"/>
        <v>0.43851871922050167</v>
      </c>
      <c r="C24" s="170">
        <f t="shared" si="5"/>
        <v>0.20486726713102188</v>
      </c>
      <c r="D24" s="170">
        <f t="shared" si="3"/>
        <v>1.9453135725417674E-2</v>
      </c>
      <c r="E24" s="170">
        <f t="shared" si="6"/>
        <v>0.33396346308542268</v>
      </c>
      <c r="F24" s="171"/>
      <c r="G24" s="171"/>
      <c r="H24" s="171"/>
      <c r="I24" s="156">
        <f t="shared" si="1"/>
        <v>0.99680258516236386</v>
      </c>
      <c r="S24" s="157"/>
    </row>
    <row r="25" spans="1:19" x14ac:dyDescent="0.25">
      <c r="A25" s="155">
        <v>2030</v>
      </c>
      <c r="B25" s="170">
        <v>0.45</v>
      </c>
      <c r="C25" s="170">
        <v>0.2</v>
      </c>
      <c r="D25" s="170">
        <v>0.02</v>
      </c>
      <c r="E25" s="170">
        <v>0.33</v>
      </c>
      <c r="F25" s="171"/>
      <c r="G25" s="171"/>
      <c r="H25" s="171"/>
      <c r="I25" s="156">
        <f t="shared" si="1"/>
        <v>1</v>
      </c>
      <c r="S25" s="157"/>
    </row>
    <row r="26" spans="1:19" ht="14.25" customHeight="1" x14ac:dyDescent="0.25"/>
    <row r="27" spans="1:19" x14ac:dyDescent="0.25">
      <c r="A27" s="180" t="s">
        <v>11</v>
      </c>
      <c r="B27" s="181" t="s">
        <v>150</v>
      </c>
      <c r="C27" s="182"/>
      <c r="D27" s="182"/>
      <c r="E27" s="182"/>
      <c r="F27" s="182"/>
      <c r="G27" s="182"/>
      <c r="H27" s="183"/>
      <c r="I27" s="184" t="s">
        <v>40</v>
      </c>
    </row>
    <row r="28" spans="1:19" ht="25.5" x14ac:dyDescent="0.25">
      <c r="A28" s="180"/>
      <c r="B28" s="150" t="s">
        <v>1</v>
      </c>
      <c r="C28" s="150" t="s">
        <v>2</v>
      </c>
      <c r="D28" s="150" t="s">
        <v>149</v>
      </c>
      <c r="E28" s="144" t="s">
        <v>4</v>
      </c>
      <c r="F28" s="150" t="s">
        <v>5</v>
      </c>
      <c r="G28" s="150" t="s">
        <v>128</v>
      </c>
      <c r="H28" s="144" t="s">
        <v>7</v>
      </c>
      <c r="I28" s="185"/>
    </row>
    <row r="29" spans="1:19" x14ac:dyDescent="0.25">
      <c r="A29" s="155">
        <v>2011</v>
      </c>
      <c r="B29" s="160">
        <f>$I$29*B6</f>
        <v>210.42193163299999</v>
      </c>
      <c r="C29" s="160">
        <f t="shared" ref="C29:H29" si="7">$I$29*C6</f>
        <v>186.52396470599999</v>
      </c>
      <c r="D29" s="160">
        <f t="shared" si="7"/>
        <v>8.9867006549999999</v>
      </c>
      <c r="E29" s="161">
        <f t="shared" si="7"/>
        <v>259.74893300599996</v>
      </c>
      <c r="F29" s="160">
        <f t="shared" si="7"/>
        <v>0</v>
      </c>
      <c r="G29" s="160">
        <f t="shared" si="7"/>
        <v>0</v>
      </c>
      <c r="H29" s="162">
        <f t="shared" si="7"/>
        <v>0</v>
      </c>
      <c r="I29" s="163">
        <f>'timbulan sampah'!R5</f>
        <v>665.68152999999995</v>
      </c>
      <c r="J29" s="164">
        <f>SUM(B29:H29)</f>
        <v>665.68152999999995</v>
      </c>
    </row>
    <row r="30" spans="1:19" x14ac:dyDescent="0.25">
      <c r="A30" s="155">
        <v>2012</v>
      </c>
      <c r="B30" s="160">
        <f t="shared" ref="B30:H30" si="8">$I$30*B7</f>
        <v>214.934521496</v>
      </c>
      <c r="C30" s="160">
        <f t="shared" si="8"/>
        <v>190.52405227200001</v>
      </c>
      <c r="D30" s="160">
        <f t="shared" si="8"/>
        <v>9.1794243600000005</v>
      </c>
      <c r="E30" s="161">
        <f t="shared" si="8"/>
        <v>265.319361872</v>
      </c>
      <c r="F30" s="160">
        <f t="shared" si="8"/>
        <v>0</v>
      </c>
      <c r="G30" s="160">
        <f t="shared" si="8"/>
        <v>0</v>
      </c>
      <c r="H30" s="162">
        <f t="shared" si="8"/>
        <v>0</v>
      </c>
      <c r="I30" s="163">
        <f>'timbulan sampah'!R6</f>
        <v>679.95735999999999</v>
      </c>
      <c r="J30" s="164">
        <f t="shared" ref="J30:J48" si="9">SUM(B30:H30)</f>
        <v>679.95735999999999</v>
      </c>
    </row>
    <row r="31" spans="1:19" x14ac:dyDescent="0.25">
      <c r="A31" s="155">
        <v>2013</v>
      </c>
      <c r="B31" s="160">
        <f t="shared" ref="B31:H31" si="10">$I$31*B8</f>
        <v>220.03132421799998</v>
      </c>
      <c r="C31" s="160">
        <f t="shared" si="10"/>
        <v>195.04200267599998</v>
      </c>
      <c r="D31" s="160">
        <f t="shared" si="10"/>
        <v>9.3970986299999986</v>
      </c>
      <c r="E31" s="161">
        <f t="shared" si="10"/>
        <v>271.61095447599996</v>
      </c>
      <c r="F31" s="160">
        <f t="shared" si="10"/>
        <v>0</v>
      </c>
      <c r="G31" s="160">
        <f t="shared" si="10"/>
        <v>0</v>
      </c>
      <c r="H31" s="162">
        <f t="shared" si="10"/>
        <v>0</v>
      </c>
      <c r="I31" s="163">
        <f>'timbulan sampah'!R7</f>
        <v>696.08137999999997</v>
      </c>
      <c r="J31" s="164">
        <f t="shared" si="9"/>
        <v>696.08137999999985</v>
      </c>
    </row>
    <row r="32" spans="1:19" x14ac:dyDescent="0.25">
      <c r="A32" s="155">
        <v>2014</v>
      </c>
      <c r="B32" s="160">
        <f t="shared" ref="B32:H32" si="11">$I$32*B9</f>
        <v>225.087944308</v>
      </c>
      <c r="C32" s="160">
        <f t="shared" si="11"/>
        <v>199.52433405600001</v>
      </c>
      <c r="D32" s="160">
        <f t="shared" si="11"/>
        <v>9.6130567800000009</v>
      </c>
      <c r="E32" s="161">
        <f t="shared" si="11"/>
        <v>277.85294485600002</v>
      </c>
      <c r="F32" s="160">
        <f t="shared" si="11"/>
        <v>0</v>
      </c>
      <c r="G32" s="160">
        <f t="shared" si="11"/>
        <v>0</v>
      </c>
      <c r="H32" s="162">
        <f t="shared" si="11"/>
        <v>0</v>
      </c>
      <c r="I32" s="163">
        <f>'timbulan sampah'!R8</f>
        <v>712.07828000000006</v>
      </c>
      <c r="J32" s="164">
        <f t="shared" si="9"/>
        <v>712.07828000000006</v>
      </c>
      <c r="P32" s="154"/>
    </row>
    <row r="33" spans="1:16" x14ac:dyDescent="0.25">
      <c r="A33" s="155">
        <v>2015</v>
      </c>
      <c r="B33" s="160">
        <f t="shared" ref="B33:H33" si="12">$I$33*B10</f>
        <v>230.11672230999997</v>
      </c>
      <c r="C33" s="160">
        <f t="shared" si="12"/>
        <v>203.98198542</v>
      </c>
      <c r="D33" s="160">
        <f t="shared" si="12"/>
        <v>9.82782585</v>
      </c>
      <c r="E33" s="161">
        <f t="shared" si="12"/>
        <v>284.06056641999999</v>
      </c>
      <c r="F33" s="160">
        <f t="shared" si="12"/>
        <v>0</v>
      </c>
      <c r="G33" s="160">
        <f t="shared" si="12"/>
        <v>0</v>
      </c>
      <c r="H33" s="162">
        <f t="shared" si="12"/>
        <v>0</v>
      </c>
      <c r="I33" s="163">
        <f>'timbulan sampah'!R9</f>
        <v>727.98709999999994</v>
      </c>
      <c r="J33" s="164">
        <f t="shared" si="9"/>
        <v>727.98710000000005</v>
      </c>
      <c r="P33" s="154"/>
    </row>
    <row r="34" spans="1:16" x14ac:dyDescent="0.25">
      <c r="A34" s="155">
        <v>2016</v>
      </c>
      <c r="B34" s="160">
        <f t="shared" ref="B34:H34" si="13">$I$34*B11</f>
        <v>235.106092125</v>
      </c>
      <c r="C34" s="160">
        <f t="shared" si="13"/>
        <v>208.40470425000001</v>
      </c>
      <c r="D34" s="160">
        <f t="shared" si="13"/>
        <v>10.040911875000001</v>
      </c>
      <c r="E34" s="161">
        <f t="shared" si="13"/>
        <v>290.21954175000002</v>
      </c>
      <c r="F34" s="160">
        <f t="shared" si="13"/>
        <v>0</v>
      </c>
      <c r="G34" s="160">
        <f t="shared" si="13"/>
        <v>0</v>
      </c>
      <c r="H34" s="162">
        <f t="shared" si="13"/>
        <v>0</v>
      </c>
      <c r="I34" s="163">
        <f>'timbulan sampah'!R10</f>
        <v>743.77125000000001</v>
      </c>
      <c r="J34" s="164">
        <f t="shared" si="9"/>
        <v>743.77125000000001</v>
      </c>
    </row>
    <row r="35" spans="1:16" x14ac:dyDescent="0.25">
      <c r="A35" s="155">
        <v>2017</v>
      </c>
      <c r="B35" s="160">
        <f t="shared" ref="B35:H35" si="14">$I$35*B12</f>
        <v>247.77931214080493</v>
      </c>
      <c r="C35" s="160">
        <f t="shared" si="14"/>
        <v>209.07967516781864</v>
      </c>
      <c r="D35" s="160">
        <f t="shared" si="14"/>
        <v>10.613116877568974</v>
      </c>
      <c r="E35" s="161">
        <f t="shared" si="14"/>
        <v>294.70876112140638</v>
      </c>
      <c r="F35" s="160">
        <f t="shared" si="14"/>
        <v>0</v>
      </c>
      <c r="G35" s="160">
        <f t="shared" si="14"/>
        <v>0</v>
      </c>
      <c r="H35" s="162">
        <f t="shared" si="14"/>
        <v>0</v>
      </c>
      <c r="I35" s="163">
        <f>'timbulan sampah'!R11</f>
        <v>764.37219809999999</v>
      </c>
      <c r="J35" s="164">
        <f t="shared" si="9"/>
        <v>762.18086530759888</v>
      </c>
    </row>
    <row r="36" spans="1:16" x14ac:dyDescent="0.25">
      <c r="A36" s="155">
        <v>2018</v>
      </c>
      <c r="B36" s="160">
        <f t="shared" ref="B36:H36" si="15">$I$36*B13</f>
        <v>260.58709757834117</v>
      </c>
      <c r="C36" s="160">
        <f t="shared" si="15"/>
        <v>209.31619000873758</v>
      </c>
      <c r="D36" s="160">
        <f t="shared" si="15"/>
        <v>11.194364504246501</v>
      </c>
      <c r="E36" s="161">
        <f t="shared" si="15"/>
        <v>298.63874176045357</v>
      </c>
      <c r="F36" s="160">
        <f t="shared" si="15"/>
        <v>0</v>
      </c>
      <c r="G36" s="160">
        <f t="shared" si="15"/>
        <v>0</v>
      </c>
      <c r="H36" s="162">
        <f t="shared" si="15"/>
        <v>0</v>
      </c>
      <c r="I36" s="163">
        <f>'timbulan sampah'!R12</f>
        <v>783.89353640000002</v>
      </c>
      <c r="J36" s="164">
        <f t="shared" si="9"/>
        <v>779.73639385177876</v>
      </c>
    </row>
    <row r="37" spans="1:16" x14ac:dyDescent="0.25">
      <c r="A37" s="155">
        <v>2019</v>
      </c>
      <c r="B37" s="160">
        <f t="shared" ref="B37:H37" si="16">$I$37*B14</f>
        <v>273.88696157547224</v>
      </c>
      <c r="C37" s="160">
        <f t="shared" si="16"/>
        <v>209.42301565202672</v>
      </c>
      <c r="D37" s="160">
        <f t="shared" si="16"/>
        <v>11.800122741460841</v>
      </c>
      <c r="E37" s="161">
        <f t="shared" si="16"/>
        <v>302.43345515262911</v>
      </c>
      <c r="F37" s="160">
        <f t="shared" si="16"/>
        <v>0</v>
      </c>
      <c r="G37" s="160">
        <f t="shared" si="16"/>
        <v>0</v>
      </c>
      <c r="H37" s="162">
        <f t="shared" si="16"/>
        <v>0</v>
      </c>
      <c r="I37" s="163">
        <f>'timbulan sampah'!R13</f>
        <v>803.41487470000004</v>
      </c>
      <c r="J37" s="164">
        <f t="shared" si="9"/>
        <v>797.54355512158895</v>
      </c>
    </row>
    <row r="38" spans="1:16" x14ac:dyDescent="0.25">
      <c r="A38" s="155">
        <v>2020</v>
      </c>
      <c r="B38" s="160">
        <f t="shared" ref="B38:H38" si="17">$I$38*B15</f>
        <v>287.69567187625665</v>
      </c>
      <c r="C38" s="160">
        <f t="shared" si="17"/>
        <v>209.40619133202674</v>
      </c>
      <c r="D38" s="160">
        <f t="shared" si="17"/>
        <v>12.431316575627827</v>
      </c>
      <c r="E38" s="161">
        <f t="shared" si="17"/>
        <v>306.09556413385008</v>
      </c>
      <c r="F38" s="160">
        <f t="shared" si="17"/>
        <v>0</v>
      </c>
      <c r="G38" s="160">
        <f t="shared" si="17"/>
        <v>0</v>
      </c>
      <c r="H38" s="162">
        <f t="shared" si="17"/>
        <v>0</v>
      </c>
      <c r="I38" s="163">
        <f>'timbulan sampah'!R14</f>
        <v>822.93621300000007</v>
      </c>
      <c r="J38" s="164">
        <f t="shared" si="9"/>
        <v>815.62874391776131</v>
      </c>
    </row>
    <row r="39" spans="1:16" x14ac:dyDescent="0.25">
      <c r="A39" s="155">
        <v>2021</v>
      </c>
      <c r="B39" s="160">
        <f t="shared" ref="B39:H39" si="18">$I$39*B16</f>
        <v>302.03053140561661</v>
      </c>
      <c r="C39" s="160">
        <f t="shared" si="18"/>
        <v>209.27154227667279</v>
      </c>
      <c r="D39" s="160">
        <f t="shared" si="18"/>
        <v>13.088903808645576</v>
      </c>
      <c r="E39" s="161">
        <f t="shared" si="18"/>
        <v>309.62768731973387</v>
      </c>
      <c r="F39" s="160">
        <f t="shared" si="18"/>
        <v>0</v>
      </c>
      <c r="G39" s="160">
        <f t="shared" si="18"/>
        <v>0</v>
      </c>
      <c r="H39" s="162">
        <f t="shared" si="18"/>
        <v>0</v>
      </c>
      <c r="I39" s="163">
        <f>'timbulan sampah'!R15</f>
        <v>842.45755129999998</v>
      </c>
      <c r="J39" s="164">
        <f t="shared" si="9"/>
        <v>834.01866481066895</v>
      </c>
    </row>
    <row r="40" spans="1:16" x14ac:dyDescent="0.25">
      <c r="A40" s="155">
        <v>2022</v>
      </c>
      <c r="B40" s="160">
        <f t="shared" ref="B40:H40" si="19">$I$40*B17</f>
        <v>316.90939466033643</v>
      </c>
      <c r="C40" s="160">
        <f t="shared" si="19"/>
        <v>209.02468647333563</v>
      </c>
      <c r="D40" s="160">
        <f t="shared" si="19"/>
        <v>13.773876177056787</v>
      </c>
      <c r="E40" s="161">
        <f t="shared" si="19"/>
        <v>313.03239978095661</v>
      </c>
      <c r="F40" s="160">
        <f t="shared" si="19"/>
        <v>0</v>
      </c>
      <c r="G40" s="160">
        <f t="shared" si="19"/>
        <v>0</v>
      </c>
      <c r="H40" s="162">
        <f t="shared" si="19"/>
        <v>0</v>
      </c>
      <c r="I40" s="163">
        <f>'timbulan sampah'!R16</f>
        <v>861.97888960000012</v>
      </c>
      <c r="J40" s="164">
        <f t="shared" si="9"/>
        <v>852.74035709168538</v>
      </c>
    </row>
    <row r="41" spans="1:16" x14ac:dyDescent="0.25">
      <c r="A41" s="155">
        <v>2023</v>
      </c>
      <c r="B41" s="160">
        <f t="shared" ref="B41:H41" si="20">$I$41*B18</f>
        <v>332.35068458800038</v>
      </c>
      <c r="C41" s="160">
        <f t="shared" si="20"/>
        <v>208.6710412338301</v>
      </c>
      <c r="D41" s="160">
        <f t="shared" si="20"/>
        <v>14.487260508348861</v>
      </c>
      <c r="E41" s="161">
        <f t="shared" si="20"/>
        <v>316.31223370880087</v>
      </c>
      <c r="F41" s="160">
        <f t="shared" si="20"/>
        <v>0</v>
      </c>
      <c r="G41" s="160">
        <f t="shared" si="20"/>
        <v>0</v>
      </c>
      <c r="H41" s="162">
        <f t="shared" si="20"/>
        <v>0</v>
      </c>
      <c r="I41" s="163">
        <f>'timbulan sampah'!R17</f>
        <v>881.50022790000003</v>
      </c>
      <c r="J41" s="164">
        <f t="shared" si="9"/>
        <v>871.8212200389803</v>
      </c>
    </row>
    <row r="42" spans="1:16" x14ac:dyDescent="0.25">
      <c r="A42" s="155">
        <v>2024</v>
      </c>
      <c r="B42" s="160">
        <f t="shared" ref="B42:H42" si="21">$I$42*B19</f>
        <v>348.37340996809735</v>
      </c>
      <c r="C42" s="160">
        <f t="shared" si="21"/>
        <v>208.21582956431908</v>
      </c>
      <c r="D42" s="160">
        <f t="shared" si="21"/>
        <v>15.23011991559977</v>
      </c>
      <c r="E42" s="161">
        <f t="shared" si="21"/>
        <v>319.46967907102953</v>
      </c>
      <c r="F42" s="160">
        <f t="shared" si="21"/>
        <v>0</v>
      </c>
      <c r="G42" s="160">
        <f t="shared" si="21"/>
        <v>0</v>
      </c>
      <c r="H42" s="162">
        <f t="shared" si="21"/>
        <v>0</v>
      </c>
      <c r="I42" s="163">
        <f>'timbulan sampah'!R18</f>
        <v>901.02156620000017</v>
      </c>
      <c r="J42" s="164">
        <f t="shared" si="9"/>
        <v>891.28903851904568</v>
      </c>
    </row>
    <row r="43" spans="1:16" x14ac:dyDescent="0.25">
      <c r="A43" s="155">
        <v>2025</v>
      </c>
      <c r="B43" s="160">
        <f t="shared" ref="B43:H43" si="22">$I$43*B20</f>
        <v>364.9971833099259</v>
      </c>
      <c r="C43" s="160">
        <f t="shared" si="22"/>
        <v>207.66408634568026</v>
      </c>
      <c r="D43" s="160">
        <f t="shared" si="22"/>
        <v>16.003555031716076</v>
      </c>
      <c r="E43" s="161">
        <f t="shared" si="22"/>
        <v>322.50718425822157</v>
      </c>
      <c r="F43" s="160">
        <f t="shared" si="22"/>
        <v>0</v>
      </c>
      <c r="G43" s="160">
        <f t="shared" si="22"/>
        <v>0</v>
      </c>
      <c r="H43" s="162">
        <f t="shared" si="22"/>
        <v>0</v>
      </c>
      <c r="I43" s="163">
        <f>'timbulan sampah'!R19</f>
        <v>920.54290450000008</v>
      </c>
      <c r="J43" s="164">
        <f t="shared" si="9"/>
        <v>911.17200894554367</v>
      </c>
    </row>
    <row r="44" spans="1:16" x14ac:dyDescent="0.25">
      <c r="A44" s="155">
        <v>2026</v>
      </c>
      <c r="B44" s="160">
        <f t="shared" ref="B44:H44" si="23">$I$44*B21</f>
        <v>382.24223928235591</v>
      </c>
      <c r="C44" s="160">
        <f t="shared" si="23"/>
        <v>207.02066432975022</v>
      </c>
      <c r="D44" s="160">
        <f t="shared" si="23"/>
        <v>16.808705284549557</v>
      </c>
      <c r="E44" s="161">
        <f t="shared" si="23"/>
        <v>325.42715672070511</v>
      </c>
      <c r="F44" s="160">
        <f t="shared" si="23"/>
        <v>0</v>
      </c>
      <c r="G44" s="160">
        <f t="shared" si="23"/>
        <v>0</v>
      </c>
      <c r="H44" s="162">
        <f t="shared" si="23"/>
        <v>0</v>
      </c>
      <c r="I44" s="163">
        <f>'timbulan sampah'!R20</f>
        <v>940.06424279999987</v>
      </c>
      <c r="J44" s="164">
        <f t="shared" si="9"/>
        <v>931.49876561736073</v>
      </c>
    </row>
    <row r="45" spans="1:16" x14ac:dyDescent="0.25">
      <c r="A45" s="155">
        <v>2027</v>
      </c>
      <c r="B45" s="160">
        <f t="shared" ref="B45:H45" si="24">$I$45*B22</f>
        <v>400.12945369093268</v>
      </c>
      <c r="C45" s="160">
        <f t="shared" si="24"/>
        <v>206.29023995670886</v>
      </c>
      <c r="D45" s="160">
        <f t="shared" si="24"/>
        <v>17.646750214220045</v>
      </c>
      <c r="E45" s="161">
        <f t="shared" si="24"/>
        <v>328.23196359621892</v>
      </c>
      <c r="F45" s="160">
        <f t="shared" si="24"/>
        <v>0</v>
      </c>
      <c r="G45" s="160">
        <f t="shared" si="24"/>
        <v>0</v>
      </c>
      <c r="H45" s="162">
        <f t="shared" si="24"/>
        <v>0</v>
      </c>
      <c r="I45" s="163">
        <f>'timbulan sampah'!R21</f>
        <v>959.58558110000001</v>
      </c>
      <c r="J45" s="164">
        <f t="shared" si="9"/>
        <v>952.29840745808042</v>
      </c>
    </row>
    <row r="46" spans="1:16" x14ac:dyDescent="0.25">
      <c r="A46" s="155">
        <v>2028</v>
      </c>
      <c r="B46" s="160">
        <f t="shared" ref="B46:H46" si="25">$I$46*B23</f>
        <v>418.6803630182535</v>
      </c>
      <c r="C46" s="160">
        <f t="shared" si="25"/>
        <v>205.4773189987213</v>
      </c>
      <c r="D46" s="160">
        <f t="shared" si="25"/>
        <v>18.518910834014374</v>
      </c>
      <c r="E46" s="161">
        <f t="shared" si="25"/>
        <v>330.92393232843222</v>
      </c>
      <c r="F46" s="160">
        <f t="shared" si="25"/>
        <v>0</v>
      </c>
      <c r="G46" s="160">
        <f t="shared" si="25"/>
        <v>0</v>
      </c>
      <c r="H46" s="161">
        <f t="shared" si="25"/>
        <v>0</v>
      </c>
      <c r="I46" s="163">
        <f>'timbulan sampah'!R22</f>
        <v>979.10691940000004</v>
      </c>
      <c r="J46" s="164">
        <f t="shared" si="9"/>
        <v>973.60052517942142</v>
      </c>
    </row>
    <row r="47" spans="1:16" x14ac:dyDescent="0.25">
      <c r="A47" s="155">
        <v>2029</v>
      </c>
      <c r="B47" s="160">
        <f t="shared" ref="B47:H47" si="26">$I$47*B24</f>
        <v>437.91718454400518</v>
      </c>
      <c r="C47" s="160">
        <f t="shared" si="26"/>
        <v>204.5862420348129</v>
      </c>
      <c r="D47" s="160">
        <f t="shared" si="26"/>
        <v>19.426451036275481</v>
      </c>
      <c r="E47" s="161">
        <f t="shared" si="26"/>
        <v>333.50535127645401</v>
      </c>
      <c r="F47" s="160">
        <f t="shared" si="26"/>
        <v>0</v>
      </c>
      <c r="G47" s="160">
        <f t="shared" si="26"/>
        <v>0</v>
      </c>
      <c r="H47" s="161">
        <f t="shared" si="26"/>
        <v>0</v>
      </c>
      <c r="I47" s="163">
        <f>'timbulan sampah'!R23</f>
        <v>998.62825770000018</v>
      </c>
      <c r="J47" s="164">
        <f t="shared" si="9"/>
        <v>995.43522889154758</v>
      </c>
    </row>
    <row r="48" spans="1:16" x14ac:dyDescent="0.25">
      <c r="A48" s="155">
        <v>2030</v>
      </c>
      <c r="B48" s="160">
        <f t="shared" ref="B48:H48" si="27">$I$48*B25</f>
        <v>458.16731819999995</v>
      </c>
      <c r="C48" s="160">
        <f t="shared" si="27"/>
        <v>203.62991919999999</v>
      </c>
      <c r="D48" s="160">
        <f t="shared" si="27"/>
        <v>20.362991919999999</v>
      </c>
      <c r="E48" s="161">
        <f t="shared" si="27"/>
        <v>335.98936667999999</v>
      </c>
      <c r="F48" s="160">
        <f t="shared" si="27"/>
        <v>0</v>
      </c>
      <c r="G48" s="160">
        <f t="shared" si="27"/>
        <v>0</v>
      </c>
      <c r="H48" s="161">
        <f t="shared" si="27"/>
        <v>0</v>
      </c>
      <c r="I48" s="163">
        <f>'timbulan sampah'!R24</f>
        <v>1018.1495959999999</v>
      </c>
      <c r="J48" s="164">
        <f t="shared" si="9"/>
        <v>1018.149596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61" zoomScale="85" zoomScaleNormal="85" workbookViewId="0">
      <selection activeCell="M82" sqref="M82"/>
    </sheetView>
  </sheetViews>
  <sheetFormatPr defaultRowHeight="15" x14ac:dyDescent="0.25"/>
  <cols>
    <col min="1" max="1" width="9.42578125" style="94" bestFit="1" customWidth="1"/>
    <col min="2" max="2" width="11.5703125" style="94" bestFit="1" customWidth="1"/>
    <col min="3" max="3" width="11" style="94" bestFit="1" customWidth="1"/>
    <col min="4" max="4" width="12.7109375" style="94" bestFit="1" customWidth="1"/>
    <col min="5" max="5" width="12.42578125" style="94" customWidth="1"/>
    <col min="6" max="6" width="15.28515625" style="94" customWidth="1"/>
    <col min="7" max="7" width="14.7109375" style="94" customWidth="1"/>
    <col min="8" max="8" width="9.42578125" style="94" bestFit="1" customWidth="1"/>
    <col min="9" max="9" width="13.42578125" style="94" customWidth="1"/>
    <col min="10" max="10" width="10.85546875" style="94" customWidth="1"/>
    <col min="11" max="14" width="9.42578125" style="94" bestFit="1" customWidth="1"/>
    <col min="15" max="15" width="9.140625" style="94"/>
    <col min="16" max="19" width="9.42578125" style="94" bestFit="1" customWidth="1"/>
    <col min="20" max="23" width="9.140625" style="94"/>
    <col min="24" max="24" width="9.5703125" style="94" bestFit="1" customWidth="1"/>
    <col min="25" max="16384" width="9.140625" style="94"/>
  </cols>
  <sheetData>
    <row r="2" spans="1:24" x14ac:dyDescent="0.25">
      <c r="A2" s="101" t="s">
        <v>117</v>
      </c>
      <c r="B2" s="101"/>
      <c r="C2" s="101"/>
      <c r="D2" s="102"/>
      <c r="E2" s="102"/>
      <c r="F2" s="102"/>
      <c r="G2" s="102"/>
      <c r="H2" s="102"/>
      <c r="I2" s="102"/>
    </row>
    <row r="3" spans="1:24" x14ac:dyDescent="0.25">
      <c r="A3" s="103"/>
    </row>
    <row r="4" spans="1:24" x14ac:dyDescent="0.25">
      <c r="A4" s="104" t="s">
        <v>126</v>
      </c>
    </row>
    <row r="6" spans="1:24" ht="35.25" customHeight="1" x14ac:dyDescent="0.25">
      <c r="A6" s="186" t="s">
        <v>11</v>
      </c>
      <c r="B6" s="187" t="s">
        <v>118</v>
      </c>
      <c r="C6" s="187"/>
      <c r="D6" s="187"/>
      <c r="E6" s="105" t="s">
        <v>114</v>
      </c>
      <c r="F6" s="186" t="s">
        <v>11</v>
      </c>
      <c r="G6" s="187" t="s">
        <v>111</v>
      </c>
      <c r="H6" s="187"/>
      <c r="I6" s="187"/>
      <c r="J6" s="95" t="s">
        <v>115</v>
      </c>
      <c r="K6" s="186" t="s">
        <v>11</v>
      </c>
      <c r="L6" s="187" t="s">
        <v>112</v>
      </c>
      <c r="M6" s="187"/>
      <c r="N6" s="187"/>
      <c r="O6" s="95" t="s">
        <v>115</v>
      </c>
      <c r="P6" s="186" t="s">
        <v>11</v>
      </c>
      <c r="Q6" s="187" t="s">
        <v>113</v>
      </c>
      <c r="R6" s="187"/>
      <c r="S6" s="187"/>
      <c r="X6" s="96"/>
    </row>
    <row r="7" spans="1:24" ht="18" x14ac:dyDescent="0.25">
      <c r="A7" s="186"/>
      <c r="B7" s="186" t="s">
        <v>129</v>
      </c>
      <c r="C7" s="186"/>
      <c r="D7" s="187" t="s">
        <v>130</v>
      </c>
      <c r="E7" s="106"/>
      <c r="F7" s="186"/>
      <c r="G7" s="186" t="s">
        <v>129</v>
      </c>
      <c r="H7" s="186"/>
      <c r="I7" s="187" t="s">
        <v>130</v>
      </c>
      <c r="K7" s="186"/>
      <c r="L7" s="186" t="s">
        <v>129</v>
      </c>
      <c r="M7" s="186"/>
      <c r="N7" s="187" t="s">
        <v>130</v>
      </c>
      <c r="P7" s="186"/>
      <c r="Q7" s="186" t="s">
        <v>129</v>
      </c>
      <c r="R7" s="186"/>
      <c r="S7" s="187" t="s">
        <v>130</v>
      </c>
      <c r="X7" s="96"/>
    </row>
    <row r="8" spans="1:24" ht="18" x14ac:dyDescent="0.25">
      <c r="A8" s="186"/>
      <c r="B8" s="107" t="s">
        <v>131</v>
      </c>
      <c r="C8" s="107" t="s">
        <v>132</v>
      </c>
      <c r="D8" s="187"/>
      <c r="E8" s="108"/>
      <c r="F8" s="186"/>
      <c r="G8" s="107" t="s">
        <v>131</v>
      </c>
      <c r="H8" s="107" t="s">
        <v>132</v>
      </c>
      <c r="I8" s="187"/>
      <c r="K8" s="186"/>
      <c r="L8" s="107" t="s">
        <v>131</v>
      </c>
      <c r="M8" s="107" t="s">
        <v>132</v>
      </c>
      <c r="N8" s="187"/>
      <c r="P8" s="186"/>
      <c r="Q8" s="107" t="s">
        <v>131</v>
      </c>
      <c r="R8" s="107" t="s">
        <v>132</v>
      </c>
      <c r="S8" s="187"/>
    </row>
    <row r="9" spans="1:24" x14ac:dyDescent="0.25">
      <c r="A9" s="89">
        <v>2011</v>
      </c>
      <c r="B9" s="149">
        <f>[12]Results!O28</f>
        <v>0</v>
      </c>
      <c r="C9" s="109">
        <f>B9*21</f>
        <v>0</v>
      </c>
      <c r="D9" s="110">
        <f t="shared" ref="D9:D14" si="0">E9+C9</f>
        <v>0</v>
      </c>
      <c r="E9" s="111"/>
      <c r="F9" s="89">
        <v>2011</v>
      </c>
      <c r="G9" s="149">
        <f>[13]Results!O28</f>
        <v>0</v>
      </c>
      <c r="H9" s="109">
        <f>G9*21</f>
        <v>0</v>
      </c>
      <c r="I9" s="110">
        <f t="shared" ref="I9:I14" si="1">J9+H9</f>
        <v>0</v>
      </c>
      <c r="K9" s="89">
        <v>2011</v>
      </c>
      <c r="L9" s="148">
        <f>[14]Results!O28</f>
        <v>0</v>
      </c>
      <c r="M9" s="109">
        <f>L9*21</f>
        <v>0</v>
      </c>
      <c r="N9" s="110">
        <f>O9+M9</f>
        <v>0</v>
      </c>
      <c r="P9" s="89">
        <v>2011</v>
      </c>
      <c r="Q9" s="148">
        <f>[15]Results!O28</f>
        <v>0</v>
      </c>
      <c r="R9" s="112">
        <f>Q9*21</f>
        <v>0</v>
      </c>
      <c r="S9" s="113">
        <f>T9+R9</f>
        <v>0</v>
      </c>
    </row>
    <row r="10" spans="1:24" x14ac:dyDescent="0.25">
      <c r="A10" s="89">
        <v>2012</v>
      </c>
      <c r="B10" s="149">
        <f>[12]Results!O29</f>
        <v>2.178466428203957</v>
      </c>
      <c r="C10" s="109">
        <f t="shared" ref="C10:C14" si="2">B10*21</f>
        <v>45.747794992283097</v>
      </c>
      <c r="D10" s="110">
        <f t="shared" si="0"/>
        <v>45.747794992283097</v>
      </c>
      <c r="E10" s="111"/>
      <c r="F10" s="89">
        <v>2012</v>
      </c>
      <c r="G10" s="149">
        <f>[13]Results!O29</f>
        <v>0</v>
      </c>
      <c r="H10" s="109">
        <f t="shared" ref="H10:H14" si="3">G10*21</f>
        <v>0</v>
      </c>
      <c r="I10" s="110">
        <f t="shared" si="1"/>
        <v>0</v>
      </c>
      <c r="K10" s="89">
        <v>2012</v>
      </c>
      <c r="L10" s="148">
        <f>[14]Results!O29</f>
        <v>1.9679535200954261</v>
      </c>
      <c r="M10" s="109">
        <f t="shared" ref="M10:M14" si="4">L10*21</f>
        <v>41.327023922003946</v>
      </c>
      <c r="N10" s="110">
        <f t="shared" ref="N10:N14" si="5">O10+M10</f>
        <v>41.327023922003946</v>
      </c>
      <c r="P10" s="89">
        <v>2012</v>
      </c>
      <c r="Q10" s="148">
        <f>[15]Results!O29</f>
        <v>0</v>
      </c>
      <c r="R10" s="112">
        <f t="shared" ref="R10:R14" si="6">Q10*21</f>
        <v>0</v>
      </c>
      <c r="S10" s="113">
        <f t="shared" ref="S10:S14" si="7">T10+R10</f>
        <v>0</v>
      </c>
    </row>
    <row r="11" spans="1:24" x14ac:dyDescent="0.25">
      <c r="A11" s="89">
        <v>2013</v>
      </c>
      <c r="B11" s="149">
        <f>[12]Results!O30</f>
        <v>3.7664025007430628</v>
      </c>
      <c r="C11" s="109">
        <f t="shared" si="2"/>
        <v>79.094452515604317</v>
      </c>
      <c r="D11" s="110">
        <f t="shared" si="0"/>
        <v>79.094452515604317</v>
      </c>
      <c r="E11" s="111"/>
      <c r="F11" s="89">
        <v>2013</v>
      </c>
      <c r="G11" s="149">
        <f>[13]Results!O30</f>
        <v>0</v>
      </c>
      <c r="H11" s="109">
        <f t="shared" si="3"/>
        <v>0</v>
      </c>
      <c r="I11" s="110">
        <f t="shared" si="1"/>
        <v>0</v>
      </c>
      <c r="K11" s="89">
        <v>2013</v>
      </c>
      <c r="L11" s="148">
        <f>[14]Results!O30</f>
        <v>3.4024417193082295</v>
      </c>
      <c r="M11" s="109">
        <f t="shared" si="4"/>
        <v>71.451276105472814</v>
      </c>
      <c r="N11" s="110">
        <f t="shared" si="5"/>
        <v>71.451276105472814</v>
      </c>
      <c r="P11" s="89">
        <v>2013</v>
      </c>
      <c r="Q11" s="148">
        <f>[15]Results!O30</f>
        <v>0</v>
      </c>
      <c r="R11" s="112">
        <f t="shared" si="6"/>
        <v>0</v>
      </c>
      <c r="S11" s="113">
        <f t="shared" si="7"/>
        <v>0</v>
      </c>
    </row>
    <row r="12" spans="1:24" x14ac:dyDescent="0.25">
      <c r="A12" s="89">
        <v>2014</v>
      </c>
      <c r="B12" s="149">
        <f>[12]Results!O31</f>
        <v>4.956297022987858</v>
      </c>
      <c r="C12" s="109">
        <f t="shared" si="2"/>
        <v>104.08223748274501</v>
      </c>
      <c r="D12" s="110">
        <f t="shared" si="0"/>
        <v>104.08223748274501</v>
      </c>
      <c r="E12" s="111"/>
      <c r="F12" s="89">
        <v>2014</v>
      </c>
      <c r="G12" s="149">
        <f>[13]Results!O31</f>
        <v>0</v>
      </c>
      <c r="H12" s="109">
        <f t="shared" si="3"/>
        <v>0</v>
      </c>
      <c r="I12" s="110">
        <f t="shared" si="1"/>
        <v>0</v>
      </c>
      <c r="K12" s="89">
        <v>2014</v>
      </c>
      <c r="L12" s="148">
        <f>[14]Results!O31</f>
        <v>4.4773525296274395</v>
      </c>
      <c r="M12" s="109">
        <f t="shared" si="4"/>
        <v>94.024403122176224</v>
      </c>
      <c r="N12" s="110">
        <f t="shared" si="5"/>
        <v>94.024403122176224</v>
      </c>
      <c r="P12" s="89">
        <v>2014</v>
      </c>
      <c r="Q12" s="148">
        <f>[15]Results!O31</f>
        <v>0</v>
      </c>
      <c r="R12" s="112">
        <f t="shared" si="6"/>
        <v>0</v>
      </c>
      <c r="S12" s="113">
        <f t="shared" si="7"/>
        <v>0</v>
      </c>
    </row>
    <row r="13" spans="1:24" x14ac:dyDescent="0.25">
      <c r="A13" s="89">
        <v>2015</v>
      </c>
      <c r="B13" s="149">
        <f>[12]Results!O32</f>
        <v>5.8721052149976458</v>
      </c>
      <c r="C13" s="109">
        <f t="shared" si="2"/>
        <v>123.31420951495056</v>
      </c>
      <c r="D13" s="110">
        <f t="shared" si="0"/>
        <v>123.31420951495056</v>
      </c>
      <c r="E13" s="111"/>
      <c r="F13" s="89">
        <v>2015</v>
      </c>
      <c r="G13" s="149">
        <f>[13]Results!O32</f>
        <v>0</v>
      </c>
      <c r="H13" s="109">
        <f t="shared" si="3"/>
        <v>0</v>
      </c>
      <c r="I13" s="110">
        <f t="shared" si="1"/>
        <v>0</v>
      </c>
      <c r="K13" s="89">
        <v>2015</v>
      </c>
      <c r="L13" s="148">
        <f>[14]Results!O32</f>
        <v>5.3046629402284298</v>
      </c>
      <c r="M13" s="109">
        <f t="shared" si="4"/>
        <v>111.39792174479703</v>
      </c>
      <c r="N13" s="110">
        <f t="shared" si="5"/>
        <v>111.39792174479703</v>
      </c>
      <c r="P13" s="89">
        <v>2015</v>
      </c>
      <c r="Q13" s="148">
        <f>[15]Results!O32</f>
        <v>0</v>
      </c>
      <c r="R13" s="112">
        <f t="shared" si="6"/>
        <v>0</v>
      </c>
      <c r="S13" s="113">
        <f t="shared" si="7"/>
        <v>0</v>
      </c>
    </row>
    <row r="14" spans="1:24" x14ac:dyDescent="0.25">
      <c r="A14" s="89">
        <v>2016</v>
      </c>
      <c r="B14" s="149">
        <f>[12]Results!O33</f>
        <v>6.5979930911475577</v>
      </c>
      <c r="C14" s="109">
        <f t="shared" si="2"/>
        <v>138.5578549140987</v>
      </c>
      <c r="D14" s="110">
        <f t="shared" si="0"/>
        <v>138.5578549140987</v>
      </c>
      <c r="E14" s="111"/>
      <c r="F14" s="89">
        <v>2016</v>
      </c>
      <c r="G14" s="149">
        <f>[13]Results!O33</f>
        <v>0</v>
      </c>
      <c r="H14" s="109">
        <f t="shared" si="3"/>
        <v>0</v>
      </c>
      <c r="I14" s="110">
        <f t="shared" si="1"/>
        <v>0</v>
      </c>
      <c r="K14" s="89">
        <v>2016</v>
      </c>
      <c r="L14" s="148">
        <f>[14]Results!O33</f>
        <v>5.9604057061344236</v>
      </c>
      <c r="M14" s="109">
        <f t="shared" si="4"/>
        <v>125.16851982882289</v>
      </c>
      <c r="N14" s="110">
        <f t="shared" si="5"/>
        <v>125.16851982882289</v>
      </c>
      <c r="P14" s="89">
        <v>2016</v>
      </c>
      <c r="Q14" s="148">
        <f>[15]Results!O33</f>
        <v>0</v>
      </c>
      <c r="R14" s="112">
        <f t="shared" si="6"/>
        <v>0</v>
      </c>
      <c r="S14" s="113">
        <f t="shared" si="7"/>
        <v>0</v>
      </c>
    </row>
    <row r="15" spans="1:24" x14ac:dyDescent="0.25">
      <c r="A15" s="89">
        <v>2017</v>
      </c>
      <c r="B15" s="149">
        <f>[12]Results!O34</f>
        <v>5.9521743182390763</v>
      </c>
      <c r="C15" s="109">
        <f t="shared" ref="C15:C29" si="8">B15*21</f>
        <v>124.9956606830206</v>
      </c>
      <c r="D15" s="110">
        <f t="shared" ref="D15:D29" si="9">E15+C15</f>
        <v>124.9956606830206</v>
      </c>
      <c r="E15" s="111"/>
      <c r="F15" s="89">
        <v>2017</v>
      </c>
      <c r="G15" s="149">
        <f>[13]Results!O34</f>
        <v>0</v>
      </c>
      <c r="H15" s="109">
        <f t="shared" ref="H15:H29" si="10">G15*21</f>
        <v>0</v>
      </c>
      <c r="I15" s="110">
        <f t="shared" ref="I15:I29" si="11">J15+H15</f>
        <v>0</v>
      </c>
      <c r="K15" s="89">
        <v>2017</v>
      </c>
      <c r="L15" s="148">
        <f>[14]Results!O34</f>
        <v>6.4961722917801383</v>
      </c>
      <c r="M15" s="109">
        <f t="shared" ref="M15:M29" si="12">L15*21</f>
        <v>136.4196181273829</v>
      </c>
      <c r="N15" s="110">
        <f t="shared" ref="N15:N29" si="13">O15+M15</f>
        <v>136.4196181273829</v>
      </c>
      <c r="P15" s="89">
        <v>2017</v>
      </c>
      <c r="Q15" s="148">
        <f>[15]Results!O34</f>
        <v>0</v>
      </c>
      <c r="R15" s="112">
        <f t="shared" ref="R15:R29" si="14">Q15*21</f>
        <v>0</v>
      </c>
      <c r="S15" s="113">
        <f t="shared" ref="S15:S29" si="15">T15+R15</f>
        <v>0</v>
      </c>
    </row>
    <row r="16" spans="1:24" x14ac:dyDescent="0.25">
      <c r="A16" s="89">
        <v>2018</v>
      </c>
      <c r="B16" s="149">
        <f>[12]Results!O35</f>
        <v>6.4673298532630934</v>
      </c>
      <c r="C16" s="109">
        <f t="shared" si="8"/>
        <v>135.81392691852497</v>
      </c>
      <c r="D16" s="110">
        <f t="shared" si="9"/>
        <v>135.81392691852497</v>
      </c>
      <c r="E16" s="111"/>
      <c r="F16" s="89">
        <v>2018</v>
      </c>
      <c r="G16" s="149">
        <f>[13]Results!O35</f>
        <v>0</v>
      </c>
      <c r="H16" s="109">
        <f t="shared" si="10"/>
        <v>0</v>
      </c>
      <c r="I16" s="110">
        <f t="shared" si="11"/>
        <v>0</v>
      </c>
      <c r="K16" s="89">
        <v>2018</v>
      </c>
      <c r="L16" s="148">
        <f>[14]Results!O35</f>
        <v>6.9079933142090217</v>
      </c>
      <c r="M16" s="109">
        <f t="shared" si="12"/>
        <v>145.06785959838945</v>
      </c>
      <c r="N16" s="110">
        <f t="shared" si="13"/>
        <v>145.06785959838945</v>
      </c>
      <c r="P16" s="89">
        <v>2018</v>
      </c>
      <c r="Q16" s="148">
        <f>[15]Results!O35</f>
        <v>0</v>
      </c>
      <c r="R16" s="112">
        <f t="shared" si="14"/>
        <v>0</v>
      </c>
      <c r="S16" s="113">
        <f t="shared" si="15"/>
        <v>0</v>
      </c>
    </row>
    <row r="17" spans="1:19" x14ac:dyDescent="0.25">
      <c r="A17" s="89">
        <v>2019</v>
      </c>
      <c r="B17" s="149">
        <f>[12]Results!O36</f>
        <v>6.9712605572764108</v>
      </c>
      <c r="C17" s="109">
        <f t="shared" si="8"/>
        <v>146.39647170280463</v>
      </c>
      <c r="D17" s="110">
        <f t="shared" si="9"/>
        <v>146.39647170280463</v>
      </c>
      <c r="E17" s="111"/>
      <c r="F17" s="89">
        <v>2019</v>
      </c>
      <c r="G17" s="149">
        <f>[13]Results!O36</f>
        <v>0</v>
      </c>
      <c r="H17" s="109">
        <f t="shared" si="10"/>
        <v>0</v>
      </c>
      <c r="I17" s="110">
        <f t="shared" si="11"/>
        <v>0</v>
      </c>
      <c r="K17" s="89">
        <v>2019</v>
      </c>
      <c r="L17" s="148">
        <f>[14]Results!O36</f>
        <v>7.2271965145771642</v>
      </c>
      <c r="M17" s="109">
        <f t="shared" si="12"/>
        <v>151.77112680612044</v>
      </c>
      <c r="N17" s="110">
        <f t="shared" si="13"/>
        <v>151.77112680612044</v>
      </c>
      <c r="P17" s="89">
        <v>2019</v>
      </c>
      <c r="Q17" s="148">
        <f>[15]Results!O36</f>
        <v>0</v>
      </c>
      <c r="R17" s="112">
        <f t="shared" si="14"/>
        <v>0</v>
      </c>
      <c r="S17" s="113">
        <f t="shared" si="15"/>
        <v>0</v>
      </c>
    </row>
    <row r="18" spans="1:19" x14ac:dyDescent="0.25">
      <c r="A18" s="89">
        <v>2020</v>
      </c>
      <c r="B18" s="149">
        <f>[12]Results!O37</f>
        <v>7.4712151016788049</v>
      </c>
      <c r="C18" s="109">
        <f t="shared" si="8"/>
        <v>156.89551713525489</v>
      </c>
      <c r="D18" s="110">
        <f t="shared" si="9"/>
        <v>156.89551713525489</v>
      </c>
      <c r="E18" s="111"/>
      <c r="F18" s="89">
        <v>2020</v>
      </c>
      <c r="G18" s="149">
        <f>[13]Results!O37</f>
        <v>0</v>
      </c>
      <c r="H18" s="109">
        <f t="shared" si="10"/>
        <v>0</v>
      </c>
      <c r="I18" s="110">
        <f t="shared" si="11"/>
        <v>0</v>
      </c>
      <c r="K18" s="89">
        <v>2020</v>
      </c>
      <c r="L18" s="148">
        <f>[14]Results!O37</f>
        <v>7.4785116005995871</v>
      </c>
      <c r="M18" s="109">
        <f t="shared" si="12"/>
        <v>157.04874361259132</v>
      </c>
      <c r="N18" s="110">
        <f t="shared" si="13"/>
        <v>157.04874361259132</v>
      </c>
      <c r="P18" s="89">
        <v>2020</v>
      </c>
      <c r="Q18" s="148">
        <f>[15]Results!O37</f>
        <v>0</v>
      </c>
      <c r="R18" s="112">
        <f t="shared" si="14"/>
        <v>0</v>
      </c>
      <c r="S18" s="113">
        <f t="shared" si="15"/>
        <v>0</v>
      </c>
    </row>
    <row r="19" spans="1:19" x14ac:dyDescent="0.25">
      <c r="A19" s="89">
        <v>2021</v>
      </c>
      <c r="B19" s="149">
        <f>[12]Results!O38</f>
        <v>7.9725025983120634</v>
      </c>
      <c r="C19" s="109">
        <f t="shared" si="8"/>
        <v>167.42255456455334</v>
      </c>
      <c r="D19" s="110">
        <f t="shared" si="9"/>
        <v>167.42255456455334</v>
      </c>
      <c r="E19" s="111"/>
      <c r="F19" s="89">
        <v>2021</v>
      </c>
      <c r="G19" s="149">
        <f>[13]Results!O38</f>
        <v>0</v>
      </c>
      <c r="H19" s="109">
        <f t="shared" si="10"/>
        <v>0</v>
      </c>
      <c r="I19" s="110">
        <f t="shared" si="11"/>
        <v>0</v>
      </c>
      <c r="K19" s="89">
        <v>2021</v>
      </c>
      <c r="L19" s="148">
        <f>[14]Results!O38</f>
        <v>7.6791013486121997</v>
      </c>
      <c r="M19" s="109">
        <f t="shared" si="12"/>
        <v>161.26112832085619</v>
      </c>
      <c r="N19" s="110">
        <f t="shared" si="13"/>
        <v>161.26112832085619</v>
      </c>
      <c r="P19" s="89">
        <v>2021</v>
      </c>
      <c r="Q19" s="148">
        <f>[15]Results!O38</f>
        <v>0</v>
      </c>
      <c r="R19" s="112">
        <f t="shared" si="14"/>
        <v>0</v>
      </c>
      <c r="S19" s="113">
        <f t="shared" si="15"/>
        <v>0</v>
      </c>
    </row>
    <row r="20" spans="1:19" x14ac:dyDescent="0.25">
      <c r="A20" s="89">
        <v>2022</v>
      </c>
      <c r="B20" s="149">
        <f>[12]Results!O39</f>
        <v>8.479100266386105</v>
      </c>
      <c r="C20" s="109">
        <f t="shared" si="8"/>
        <v>178.0611055941082</v>
      </c>
      <c r="D20" s="110">
        <f t="shared" si="9"/>
        <v>178.0611055941082</v>
      </c>
      <c r="E20" s="111"/>
      <c r="F20" s="89">
        <v>2022</v>
      </c>
      <c r="G20" s="149">
        <f>[13]Results!O39</f>
        <v>0</v>
      </c>
      <c r="H20" s="109">
        <f t="shared" si="10"/>
        <v>0</v>
      </c>
      <c r="I20" s="110">
        <f t="shared" si="11"/>
        <v>0</v>
      </c>
      <c r="K20" s="89">
        <v>2022</v>
      </c>
      <c r="L20" s="148">
        <f>[14]Results!O39</f>
        <v>7.8409811986321776</v>
      </c>
      <c r="M20" s="109">
        <f t="shared" si="12"/>
        <v>164.66060517127573</v>
      </c>
      <c r="N20" s="110">
        <f t="shared" si="13"/>
        <v>164.66060517127573</v>
      </c>
      <c r="P20" s="89">
        <v>2022</v>
      </c>
      <c r="Q20" s="148">
        <f>[15]Results!O39</f>
        <v>0</v>
      </c>
      <c r="R20" s="112">
        <f t="shared" si="14"/>
        <v>0</v>
      </c>
      <c r="S20" s="113">
        <f t="shared" si="15"/>
        <v>0</v>
      </c>
    </row>
    <row r="21" spans="1:19" x14ac:dyDescent="0.25">
      <c r="A21" s="89">
        <v>2023</v>
      </c>
      <c r="B21" s="149">
        <f>[12]Results!O40</f>
        <v>8.9940666541280372</v>
      </c>
      <c r="C21" s="109">
        <f t="shared" si="8"/>
        <v>188.87539973668879</v>
      </c>
      <c r="D21" s="110">
        <f t="shared" si="9"/>
        <v>188.87539973668879</v>
      </c>
      <c r="E21" s="111"/>
      <c r="F21" s="89">
        <v>2023</v>
      </c>
      <c r="G21" s="149">
        <f>[13]Results!O40</f>
        <v>0</v>
      </c>
      <c r="H21" s="109">
        <f t="shared" si="10"/>
        <v>0</v>
      </c>
      <c r="I21" s="110">
        <f t="shared" si="11"/>
        <v>0</v>
      </c>
      <c r="K21" s="89">
        <v>2023</v>
      </c>
      <c r="L21" s="148">
        <f>[14]Results!O40</f>
        <v>7.9726521692721617</v>
      </c>
      <c r="M21" s="109">
        <f t="shared" si="12"/>
        <v>167.42569555471539</v>
      </c>
      <c r="N21" s="110">
        <f t="shared" si="13"/>
        <v>167.42569555471539</v>
      </c>
      <c r="P21" s="89">
        <v>2023</v>
      </c>
      <c r="Q21" s="148">
        <f>[15]Results!O40</f>
        <v>0</v>
      </c>
      <c r="R21" s="112">
        <f t="shared" si="14"/>
        <v>0</v>
      </c>
      <c r="S21" s="113">
        <f t="shared" si="15"/>
        <v>0</v>
      </c>
    </row>
    <row r="22" spans="1:19" x14ac:dyDescent="0.25">
      <c r="A22" s="89">
        <v>2024</v>
      </c>
      <c r="B22" s="149">
        <f>[12]Results!O41</f>
        <v>9.5198236475034239</v>
      </c>
      <c r="C22" s="109">
        <f t="shared" si="8"/>
        <v>199.91629659757191</v>
      </c>
      <c r="D22" s="110">
        <f t="shared" si="9"/>
        <v>199.91629659757191</v>
      </c>
      <c r="E22" s="111"/>
      <c r="F22" s="89">
        <v>2024</v>
      </c>
      <c r="G22" s="149">
        <f>[13]Results!O41</f>
        <v>0</v>
      </c>
      <c r="H22" s="109">
        <f t="shared" si="10"/>
        <v>0</v>
      </c>
      <c r="I22" s="110">
        <f t="shared" si="11"/>
        <v>0</v>
      </c>
      <c r="K22" s="89">
        <v>2024</v>
      </c>
      <c r="L22" s="148">
        <f>[14]Results!O41</f>
        <v>8.0802047568248163</v>
      </c>
      <c r="M22" s="109">
        <f t="shared" si="12"/>
        <v>169.68429989332114</v>
      </c>
      <c r="N22" s="110">
        <f t="shared" si="13"/>
        <v>169.68429989332114</v>
      </c>
      <c r="P22" s="89">
        <v>2024</v>
      </c>
      <c r="Q22" s="148">
        <f>[15]Results!O41</f>
        <v>0</v>
      </c>
      <c r="R22" s="112">
        <f t="shared" si="14"/>
        <v>0</v>
      </c>
      <c r="S22" s="113">
        <f t="shared" si="15"/>
        <v>0</v>
      </c>
    </row>
    <row r="23" spans="1:19" x14ac:dyDescent="0.25">
      <c r="A23" s="89">
        <v>2025</v>
      </c>
      <c r="B23" s="149">
        <f>[12]Results!O42</f>
        <v>10.058349788384016</v>
      </c>
      <c r="C23" s="109">
        <f t="shared" si="8"/>
        <v>211.22534555606433</v>
      </c>
      <c r="D23" s="110">
        <f t="shared" si="9"/>
        <v>211.22534555606433</v>
      </c>
      <c r="E23" s="111"/>
      <c r="F23" s="89">
        <v>2025</v>
      </c>
      <c r="G23" s="149">
        <f>[13]Results!O42</f>
        <v>0</v>
      </c>
      <c r="H23" s="109">
        <f t="shared" si="10"/>
        <v>0</v>
      </c>
      <c r="I23" s="110">
        <f t="shared" si="11"/>
        <v>0</v>
      </c>
      <c r="K23" s="89">
        <v>2025</v>
      </c>
      <c r="L23" s="148">
        <f>[14]Results!O42</f>
        <v>8.1680667983094555</v>
      </c>
      <c r="M23" s="109">
        <f t="shared" si="12"/>
        <v>171.52940276449857</v>
      </c>
      <c r="N23" s="110">
        <f t="shared" si="13"/>
        <v>171.52940276449857</v>
      </c>
      <c r="P23" s="89">
        <v>2025</v>
      </c>
      <c r="Q23" s="148">
        <f>[15]Results!O42</f>
        <v>0</v>
      </c>
      <c r="R23" s="112">
        <f t="shared" si="14"/>
        <v>0</v>
      </c>
      <c r="S23" s="113">
        <f t="shared" si="15"/>
        <v>0</v>
      </c>
    </row>
    <row r="24" spans="1:19" x14ac:dyDescent="0.25">
      <c r="A24" s="89">
        <v>2026</v>
      </c>
      <c r="B24" s="149">
        <f>[12]Results!O43</f>
        <v>10.611313520984412</v>
      </c>
      <c r="C24" s="109">
        <f t="shared" si="8"/>
        <v>222.83758394067266</v>
      </c>
      <c r="D24" s="110">
        <f t="shared" si="9"/>
        <v>222.83758394067266</v>
      </c>
      <c r="E24" s="111"/>
      <c r="F24" s="89">
        <v>2026</v>
      </c>
      <c r="G24" s="149">
        <f>[13]Results!O43</f>
        <v>0</v>
      </c>
      <c r="H24" s="109">
        <f t="shared" si="10"/>
        <v>0</v>
      </c>
      <c r="I24" s="110">
        <f t="shared" si="11"/>
        <v>0</v>
      </c>
      <c r="K24" s="89">
        <v>2026</v>
      </c>
      <c r="L24" s="148">
        <f>[14]Results!O43</f>
        <v>8.2395114716408226</v>
      </c>
      <c r="M24" s="109">
        <f t="shared" si="12"/>
        <v>173.02974090445727</v>
      </c>
      <c r="N24" s="110">
        <f t="shared" si="13"/>
        <v>173.02974090445727</v>
      </c>
      <c r="P24" s="89">
        <v>2026</v>
      </c>
      <c r="Q24" s="148">
        <f>[15]Results!O43</f>
        <v>0</v>
      </c>
      <c r="R24" s="112">
        <f t="shared" si="14"/>
        <v>0</v>
      </c>
      <c r="S24" s="113">
        <f t="shared" si="15"/>
        <v>0</v>
      </c>
    </row>
    <row r="25" spans="1:19" x14ac:dyDescent="0.25">
      <c r="A25" s="89">
        <v>2027</v>
      </c>
      <c r="B25" s="149">
        <f>[12]Results!O44</f>
        <v>11.180165647637549</v>
      </c>
      <c r="C25" s="109">
        <f t="shared" si="8"/>
        <v>234.78347860038855</v>
      </c>
      <c r="D25" s="110">
        <f t="shared" si="9"/>
        <v>234.78347860038855</v>
      </c>
      <c r="E25" s="111"/>
      <c r="F25" s="89">
        <v>2027</v>
      </c>
      <c r="G25" s="149">
        <f>[13]Results!O44</f>
        <v>0</v>
      </c>
      <c r="H25" s="109">
        <f t="shared" si="10"/>
        <v>0</v>
      </c>
      <c r="I25" s="110">
        <f t="shared" si="11"/>
        <v>0</v>
      </c>
      <c r="K25" s="89">
        <v>2027</v>
      </c>
      <c r="L25" s="148">
        <f>[14]Results!O44</f>
        <v>8.2970034929468532</v>
      </c>
      <c r="M25" s="109">
        <f t="shared" si="12"/>
        <v>174.23707335188391</v>
      </c>
      <c r="N25" s="110">
        <f t="shared" si="13"/>
        <v>174.23707335188391</v>
      </c>
      <c r="P25" s="89">
        <v>2027</v>
      </c>
      <c r="Q25" s="148">
        <f>[15]Results!O44</f>
        <v>0</v>
      </c>
      <c r="R25" s="112">
        <f t="shared" si="14"/>
        <v>0</v>
      </c>
      <c r="S25" s="113">
        <f t="shared" si="15"/>
        <v>0</v>
      </c>
    </row>
    <row r="26" spans="1:19" x14ac:dyDescent="0.25">
      <c r="A26" s="89">
        <v>2028</v>
      </c>
      <c r="B26" s="149">
        <f>[12]Results!O45</f>
        <v>11.766204000572124</v>
      </c>
      <c r="C26" s="109">
        <f t="shared" si="8"/>
        <v>247.09028401201459</v>
      </c>
      <c r="D26" s="110">
        <f t="shared" si="9"/>
        <v>247.09028401201459</v>
      </c>
      <c r="E26" s="111"/>
      <c r="F26" s="89">
        <v>2028</v>
      </c>
      <c r="G26" s="149">
        <f>[13]Results!O45</f>
        <v>0</v>
      </c>
      <c r="H26" s="109">
        <f t="shared" si="10"/>
        <v>0</v>
      </c>
      <c r="I26" s="110">
        <f t="shared" si="11"/>
        <v>0</v>
      </c>
      <c r="K26" s="89">
        <v>2028</v>
      </c>
      <c r="L26" s="148">
        <f>[14]Results!O45</f>
        <v>8.3424359939444788</v>
      </c>
      <c r="M26" s="109">
        <f t="shared" si="12"/>
        <v>175.19115587283406</v>
      </c>
      <c r="N26" s="110">
        <f t="shared" si="13"/>
        <v>175.19115587283406</v>
      </c>
      <c r="P26" s="89">
        <v>2028</v>
      </c>
      <c r="Q26" s="148">
        <f>[15]Results!O45</f>
        <v>0</v>
      </c>
      <c r="R26" s="112">
        <f t="shared" si="14"/>
        <v>0</v>
      </c>
      <c r="S26" s="113">
        <f t="shared" si="15"/>
        <v>0</v>
      </c>
    </row>
    <row r="27" spans="1:19" x14ac:dyDescent="0.25">
      <c r="A27" s="89">
        <v>2029</v>
      </c>
      <c r="B27" s="149">
        <f>[12]Results!O46</f>
        <v>12.370619117731477</v>
      </c>
      <c r="C27" s="109">
        <f t="shared" si="8"/>
        <v>259.78300147236104</v>
      </c>
      <c r="D27" s="110">
        <f t="shared" si="9"/>
        <v>259.78300147236104</v>
      </c>
      <c r="E27" s="111"/>
      <c r="F27" s="89">
        <v>2029</v>
      </c>
      <c r="G27" s="149">
        <f>[13]Results!O46</f>
        <v>0</v>
      </c>
      <c r="H27" s="109">
        <f t="shared" si="10"/>
        <v>0</v>
      </c>
      <c r="I27" s="110">
        <f t="shared" si="11"/>
        <v>0</v>
      </c>
      <c r="K27" s="89">
        <v>2029</v>
      </c>
      <c r="L27" s="148">
        <f>[14]Results!O46</f>
        <v>8.3772933928547175</v>
      </c>
      <c r="M27" s="109">
        <f t="shared" si="12"/>
        <v>175.92316124994906</v>
      </c>
      <c r="N27" s="110">
        <f t="shared" si="13"/>
        <v>175.92316124994906</v>
      </c>
      <c r="P27" s="89">
        <v>2029</v>
      </c>
      <c r="Q27" s="148">
        <f>[15]Results!O46</f>
        <v>0</v>
      </c>
      <c r="R27" s="112">
        <f t="shared" si="14"/>
        <v>0</v>
      </c>
      <c r="S27" s="113">
        <f t="shared" si="15"/>
        <v>0</v>
      </c>
    </row>
    <row r="28" spans="1:19" x14ac:dyDescent="0.25">
      <c r="A28" s="89">
        <v>2030</v>
      </c>
      <c r="B28" s="149">
        <f>[12]Results!O47</f>
        <v>12.993004466383503</v>
      </c>
      <c r="C28" s="109">
        <f t="shared" si="8"/>
        <v>272.85309379405356</v>
      </c>
      <c r="D28" s="110">
        <f t="shared" si="9"/>
        <v>272.85309379405356</v>
      </c>
      <c r="E28" s="111"/>
      <c r="F28" s="89">
        <v>2030</v>
      </c>
      <c r="G28" s="149">
        <f>[13]Results!O47</f>
        <v>0</v>
      </c>
      <c r="H28" s="109">
        <f t="shared" si="10"/>
        <v>0</v>
      </c>
      <c r="I28" s="110">
        <f t="shared" si="11"/>
        <v>0</v>
      </c>
      <c r="K28" s="89">
        <v>2030</v>
      </c>
      <c r="L28" s="148">
        <f>[14]Results!O47</f>
        <v>8.4027640425897268</v>
      </c>
      <c r="M28" s="109">
        <f t="shared" si="12"/>
        <v>176.45804489438427</v>
      </c>
      <c r="N28" s="110">
        <f t="shared" si="13"/>
        <v>176.45804489438427</v>
      </c>
      <c r="P28" s="89">
        <v>2030</v>
      </c>
      <c r="Q28" s="148">
        <f>[15]Results!O47</f>
        <v>0</v>
      </c>
      <c r="R28" s="112">
        <f t="shared" si="14"/>
        <v>0</v>
      </c>
      <c r="S28" s="113">
        <f t="shared" si="15"/>
        <v>0</v>
      </c>
    </row>
    <row r="29" spans="1:19" x14ac:dyDescent="0.25">
      <c r="A29" s="89">
        <v>2031</v>
      </c>
      <c r="B29" s="149"/>
      <c r="C29" s="109">
        <f t="shared" si="8"/>
        <v>0</v>
      </c>
      <c r="D29" s="110">
        <f t="shared" si="9"/>
        <v>0</v>
      </c>
      <c r="E29" s="111"/>
      <c r="F29" s="89">
        <v>2031</v>
      </c>
      <c r="G29" s="149"/>
      <c r="H29" s="109">
        <f t="shared" si="10"/>
        <v>0</v>
      </c>
      <c r="I29" s="110">
        <f t="shared" si="11"/>
        <v>0</v>
      </c>
      <c r="K29" s="89">
        <v>2031</v>
      </c>
      <c r="L29" s="148"/>
      <c r="M29" s="109">
        <f t="shared" si="12"/>
        <v>0</v>
      </c>
      <c r="N29" s="110">
        <f t="shared" si="13"/>
        <v>0</v>
      </c>
      <c r="P29" s="89">
        <v>2031</v>
      </c>
      <c r="Q29" s="148"/>
      <c r="R29" s="112">
        <f t="shared" si="14"/>
        <v>0</v>
      </c>
      <c r="S29" s="113">
        <f t="shared" si="15"/>
        <v>0</v>
      </c>
    </row>
    <row r="31" spans="1:19" ht="15.75" thickBot="1" x14ac:dyDescent="0.3">
      <c r="A31" s="114" t="s">
        <v>127</v>
      </c>
    </row>
    <row r="32" spans="1:19" ht="15.75" thickBot="1" x14ac:dyDescent="0.3">
      <c r="A32" s="193" t="s">
        <v>11</v>
      </c>
      <c r="B32" s="195" t="s">
        <v>81</v>
      </c>
      <c r="C32" s="196"/>
      <c r="D32" s="196"/>
      <c r="E32" s="196"/>
      <c r="F32" s="197"/>
    </row>
    <row r="33" spans="1:6" ht="18.75" thickBot="1" x14ac:dyDescent="0.3">
      <c r="A33" s="194"/>
      <c r="B33" s="195" t="s">
        <v>129</v>
      </c>
      <c r="C33" s="197"/>
      <c r="D33" s="195" t="s">
        <v>133</v>
      </c>
      <c r="E33" s="197"/>
      <c r="F33" s="198" t="s">
        <v>130</v>
      </c>
    </row>
    <row r="34" spans="1:6" ht="18" x14ac:dyDescent="0.25">
      <c r="A34" s="194"/>
      <c r="B34" s="115" t="s">
        <v>131</v>
      </c>
      <c r="C34" s="115" t="s">
        <v>132</v>
      </c>
      <c r="D34" s="115" t="s">
        <v>134</v>
      </c>
      <c r="E34" s="115" t="s">
        <v>132</v>
      </c>
      <c r="F34" s="199"/>
    </row>
    <row r="35" spans="1:6" x14ac:dyDescent="0.25">
      <c r="A35" s="89">
        <v>2011</v>
      </c>
      <c r="B35" s="109">
        <f>[16]REKAPITULASI!B6</f>
        <v>3.5946802620000003E-2</v>
      </c>
      <c r="C35" s="109">
        <f>B35*21</f>
        <v>0.75488285502000008</v>
      </c>
      <c r="D35" s="109">
        <f>[16]REKAPITULASI!D6</f>
        <v>2.6960101964999999E-3</v>
      </c>
      <c r="E35" s="109">
        <f>D35*310</f>
        <v>0.83576316091499991</v>
      </c>
      <c r="F35" s="110">
        <f>E35+C35</f>
        <v>1.590646015935</v>
      </c>
    </row>
    <row r="36" spans="1:6" x14ac:dyDescent="0.25">
      <c r="A36" s="89">
        <v>2012</v>
      </c>
      <c r="B36" s="109">
        <f>[16]REKAPITULASI!B7</f>
        <v>3.6717697440000002E-2</v>
      </c>
      <c r="C36" s="109">
        <f t="shared" ref="C36:C45" si="16">B36*21</f>
        <v>0.77107164624000002</v>
      </c>
      <c r="D36" s="109">
        <f>[16]REKAPITULASI!D7</f>
        <v>2.753827308E-3</v>
      </c>
      <c r="E36" s="109">
        <f t="shared" ref="E36:E45" si="17">D36*310</f>
        <v>0.85368646548000005</v>
      </c>
      <c r="F36" s="110">
        <f t="shared" ref="F36:F45" si="18">E36+C36</f>
        <v>1.6247581117200001</v>
      </c>
    </row>
    <row r="37" spans="1:6" x14ac:dyDescent="0.25">
      <c r="A37" s="89">
        <v>2013</v>
      </c>
      <c r="B37" s="109">
        <f>[16]REKAPITULASI!B8</f>
        <v>3.7588394519999992E-2</v>
      </c>
      <c r="C37" s="109">
        <f t="shared" si="16"/>
        <v>0.78935628491999987</v>
      </c>
      <c r="D37" s="109">
        <f>[16]REKAPITULASI!D8</f>
        <v>2.8191295889999995E-3</v>
      </c>
      <c r="E37" s="109">
        <f t="shared" si="17"/>
        <v>0.87393017258999983</v>
      </c>
      <c r="F37" s="110">
        <f t="shared" si="18"/>
        <v>1.6632864575099997</v>
      </c>
    </row>
    <row r="38" spans="1:6" x14ac:dyDescent="0.25">
      <c r="A38" s="89">
        <v>2014</v>
      </c>
      <c r="B38" s="109">
        <f>[16]REKAPITULASI!B9</f>
        <v>3.8452227120000002E-2</v>
      </c>
      <c r="C38" s="109">
        <f t="shared" si="16"/>
        <v>0.80749676952000005</v>
      </c>
      <c r="D38" s="109">
        <f>[16]REKAPITULASI!D9</f>
        <v>2.883917034E-3</v>
      </c>
      <c r="E38" s="109">
        <f t="shared" si="17"/>
        <v>0.89401428053999998</v>
      </c>
      <c r="F38" s="110">
        <f t="shared" si="18"/>
        <v>1.7015110500600001</v>
      </c>
    </row>
    <row r="39" spans="1:6" x14ac:dyDescent="0.25">
      <c r="A39" s="89">
        <v>2015</v>
      </c>
      <c r="B39" s="109">
        <f>[16]REKAPITULASI!B10</f>
        <v>3.9311303399999997E-2</v>
      </c>
      <c r="C39" s="109">
        <f t="shared" si="16"/>
        <v>0.82553737139999994</v>
      </c>
      <c r="D39" s="109">
        <f>[16]REKAPITULASI!D10</f>
        <v>2.9483477550000001E-3</v>
      </c>
      <c r="E39" s="109">
        <f t="shared" si="17"/>
        <v>0.91398780405000002</v>
      </c>
      <c r="F39" s="110">
        <f t="shared" si="18"/>
        <v>1.7395251754499998</v>
      </c>
    </row>
    <row r="40" spans="1:6" x14ac:dyDescent="0.25">
      <c r="A40" s="89">
        <v>2016</v>
      </c>
      <c r="B40" s="109">
        <f>[16]REKAPITULASI!B11</f>
        <v>4.0163647500000003E-2</v>
      </c>
      <c r="C40" s="109">
        <f t="shared" si="16"/>
        <v>0.84343659750000011</v>
      </c>
      <c r="D40" s="109">
        <f>[16]REKAPITULASI!D11</f>
        <v>3.0122735625000003E-3</v>
      </c>
      <c r="E40" s="109">
        <f t="shared" si="17"/>
        <v>0.93380480437500013</v>
      </c>
      <c r="F40" s="110">
        <f t="shared" si="18"/>
        <v>1.7772414018750002</v>
      </c>
    </row>
    <row r="41" spans="1:6" x14ac:dyDescent="0.25">
      <c r="A41" s="89">
        <v>2017</v>
      </c>
      <c r="B41" s="109">
        <f>[16]REKAPITULASI!B12</f>
        <v>4.2452467510275892E-2</v>
      </c>
      <c r="C41" s="109">
        <f t="shared" si="16"/>
        <v>0.89150181771579373</v>
      </c>
      <c r="D41" s="109">
        <f>[16]REKAPITULASI!D12</f>
        <v>3.1839350632706922E-3</v>
      </c>
      <c r="E41" s="109">
        <f t="shared" si="17"/>
        <v>0.98701986961391464</v>
      </c>
      <c r="F41" s="110">
        <f t="shared" si="18"/>
        <v>1.8785216873297084</v>
      </c>
    </row>
    <row r="42" spans="1:6" x14ac:dyDescent="0.25">
      <c r="A42" s="89">
        <v>2018</v>
      </c>
      <c r="B42" s="109">
        <f>[16]REKAPITULASI!B13</f>
        <v>4.4777458016986002E-2</v>
      </c>
      <c r="C42" s="109">
        <f t="shared" si="16"/>
        <v>0.94032661835670606</v>
      </c>
      <c r="D42" s="109">
        <f>[16]REKAPITULASI!D13</f>
        <v>3.3583093512739503E-3</v>
      </c>
      <c r="E42" s="109">
        <f t="shared" si="17"/>
        <v>1.0410758988949247</v>
      </c>
      <c r="F42" s="110">
        <f t="shared" si="18"/>
        <v>1.9814025172516307</v>
      </c>
    </row>
    <row r="43" spans="1:6" x14ac:dyDescent="0.25">
      <c r="A43" s="89">
        <v>2019</v>
      </c>
      <c r="B43" s="109">
        <f>[16]REKAPITULASI!B14</f>
        <v>4.7200490965843361E-2</v>
      </c>
      <c r="C43" s="109">
        <f t="shared" si="16"/>
        <v>0.99121031028271056</v>
      </c>
      <c r="D43" s="109">
        <f>[16]REKAPITULASI!D14</f>
        <v>3.5400368224382524E-3</v>
      </c>
      <c r="E43" s="109">
        <f t="shared" si="17"/>
        <v>1.0974114149558583</v>
      </c>
      <c r="F43" s="110">
        <f t="shared" si="18"/>
        <v>2.0886217252385686</v>
      </c>
    </row>
    <row r="44" spans="1:6" x14ac:dyDescent="0.25">
      <c r="A44" s="89">
        <v>2020</v>
      </c>
      <c r="B44" s="109">
        <f>[16]REKAPITULASI!B15</f>
        <v>4.9725266302511305E-2</v>
      </c>
      <c r="C44" s="109">
        <f t="shared" si="16"/>
        <v>1.0442305923527373</v>
      </c>
      <c r="D44" s="109">
        <f>[16]REKAPITULASI!D15</f>
        <v>3.7293949726883479E-3</v>
      </c>
      <c r="E44" s="109">
        <f t="shared" si="17"/>
        <v>1.1561124415333879</v>
      </c>
      <c r="F44" s="110">
        <f t="shared" si="18"/>
        <v>2.2003430338861252</v>
      </c>
    </row>
    <row r="45" spans="1:6" x14ac:dyDescent="0.25">
      <c r="A45" s="89">
        <v>2021</v>
      </c>
      <c r="B45" s="109">
        <f>[16]REKAPITULASI!B16</f>
        <v>5.2355615234582299E-2</v>
      </c>
      <c r="C45" s="109">
        <f t="shared" si="16"/>
        <v>1.0994679199262283</v>
      </c>
      <c r="D45" s="109">
        <f>[16]REKAPITULASI!D16</f>
        <v>3.9266711425936726E-3</v>
      </c>
      <c r="E45" s="109">
        <f t="shared" si="17"/>
        <v>1.2172680542040386</v>
      </c>
      <c r="F45" s="110">
        <f t="shared" si="18"/>
        <v>2.3167359741302667</v>
      </c>
    </row>
    <row r="46" spans="1:6" x14ac:dyDescent="0.25">
      <c r="A46" s="89">
        <v>2022</v>
      </c>
      <c r="B46" s="109">
        <f>[16]REKAPITULASI!B17</f>
        <v>5.5095504708227147E-2</v>
      </c>
      <c r="C46" s="109">
        <f t="shared" ref="C46:C55" si="19">B46*21</f>
        <v>1.1570055988727701</v>
      </c>
      <c r="D46" s="109">
        <f>[16]REKAPITULASI!D17</f>
        <v>4.1321628531170362E-3</v>
      </c>
      <c r="E46" s="109">
        <f t="shared" ref="E46:E55" si="20">D46*310</f>
        <v>1.2809704844662813</v>
      </c>
      <c r="F46" s="110">
        <f t="shared" ref="F46:F55" si="21">E46+C46</f>
        <v>2.4379760833390511</v>
      </c>
    </row>
    <row r="47" spans="1:6" x14ac:dyDescent="0.25">
      <c r="A47" s="89">
        <v>2023</v>
      </c>
      <c r="B47" s="109">
        <f>[16]REKAPITULASI!B18</f>
        <v>5.7949042033395445E-2</v>
      </c>
      <c r="C47" s="109">
        <f t="shared" si="19"/>
        <v>1.2169298827013044</v>
      </c>
      <c r="D47" s="109">
        <f>[16]REKAPITULASI!D18</f>
        <v>4.3461781525046582E-3</v>
      </c>
      <c r="E47" s="109">
        <f t="shared" si="20"/>
        <v>1.3473152272764441</v>
      </c>
      <c r="F47" s="110">
        <f t="shared" si="21"/>
        <v>2.5642451099777483</v>
      </c>
    </row>
    <row r="48" spans="1:6" x14ac:dyDescent="0.25">
      <c r="A48" s="89">
        <v>2024</v>
      </c>
      <c r="B48" s="109">
        <f>[16]REKAPITULASI!B19</f>
        <v>6.092047966239908E-2</v>
      </c>
      <c r="C48" s="109">
        <f t="shared" si="19"/>
        <v>1.2793300729103807</v>
      </c>
      <c r="D48" s="109">
        <f>[16]REKAPITULASI!D19</f>
        <v>4.5690359746799313E-3</v>
      </c>
      <c r="E48" s="109">
        <f t="shared" si="20"/>
        <v>1.4164011521507787</v>
      </c>
      <c r="F48" s="110">
        <f t="shared" si="21"/>
        <v>2.6957312250611594</v>
      </c>
    </row>
    <row r="49" spans="1:10" x14ac:dyDescent="0.25">
      <c r="A49" s="89">
        <v>2025</v>
      </c>
      <c r="B49" s="109">
        <f>[16]REKAPITULASI!B20</f>
        <v>6.4014220126864307E-2</v>
      </c>
      <c r="C49" s="109">
        <f t="shared" si="19"/>
        <v>1.3442986226641505</v>
      </c>
      <c r="D49" s="109">
        <f>[16]REKAPITULASI!D20</f>
        <v>4.8010665095148232E-3</v>
      </c>
      <c r="E49" s="109">
        <f t="shared" si="20"/>
        <v>1.4883306179495952</v>
      </c>
      <c r="F49" s="110">
        <f t="shared" si="21"/>
        <v>2.8326292406137457</v>
      </c>
    </row>
    <row r="50" spans="1:10" x14ac:dyDescent="0.25">
      <c r="A50" s="89">
        <v>2026</v>
      </c>
      <c r="B50" s="109">
        <f>[16]REKAPITULASI!B21</f>
        <v>6.7234821138198231E-2</v>
      </c>
      <c r="C50" s="109">
        <f t="shared" si="19"/>
        <v>1.411931243902163</v>
      </c>
      <c r="D50" s="109">
        <f>[16]REKAPITULASI!D21</f>
        <v>5.0426115853648666E-3</v>
      </c>
      <c r="E50" s="109">
        <f t="shared" si="20"/>
        <v>1.5632095914631086</v>
      </c>
      <c r="F50" s="110">
        <f t="shared" si="21"/>
        <v>2.9751408353652717</v>
      </c>
    </row>
    <row r="51" spans="1:10" x14ac:dyDescent="0.25">
      <c r="A51" s="89">
        <v>2027</v>
      </c>
      <c r="B51" s="109">
        <f>[16]REKAPITULASI!B22</f>
        <v>7.0587000856880175E-2</v>
      </c>
      <c r="C51" s="109">
        <f t="shared" si="19"/>
        <v>1.4823270179944836</v>
      </c>
      <c r="D51" s="109">
        <f>[16]REKAPITULASI!D22</f>
        <v>5.2940250642660135E-3</v>
      </c>
      <c r="E51" s="109">
        <f t="shared" si="20"/>
        <v>1.6411477699224641</v>
      </c>
      <c r="F51" s="110">
        <f t="shared" si="21"/>
        <v>3.1234747879169475</v>
      </c>
    </row>
    <row r="52" spans="1:10" x14ac:dyDescent="0.25">
      <c r="A52" s="89">
        <v>2028</v>
      </c>
      <c r="B52" s="109">
        <f>[16]REKAPITULASI!B23</f>
        <v>7.4075643336057498E-2</v>
      </c>
      <c r="C52" s="109">
        <f t="shared" si="19"/>
        <v>1.5555885100572076</v>
      </c>
      <c r="D52" s="109">
        <f>[16]REKAPITULASI!D23</f>
        <v>5.5556732502043118E-3</v>
      </c>
      <c r="E52" s="109">
        <f t="shared" si="20"/>
        <v>1.7222587075633367</v>
      </c>
      <c r="F52" s="110">
        <f t="shared" si="21"/>
        <v>3.2778472176205442</v>
      </c>
    </row>
    <row r="53" spans="1:10" x14ac:dyDescent="0.25">
      <c r="A53" s="89">
        <v>2029</v>
      </c>
      <c r="B53" s="109">
        <f>[16]REKAPITULASI!B24</f>
        <v>7.770580414510192E-2</v>
      </c>
      <c r="C53" s="109">
        <f t="shared" si="19"/>
        <v>1.6318218870471404</v>
      </c>
      <c r="D53" s="109">
        <f>[16]REKAPITULASI!D24</f>
        <v>5.8279353108826445E-3</v>
      </c>
      <c r="E53" s="109">
        <f t="shared" si="20"/>
        <v>1.8066599463736197</v>
      </c>
      <c r="F53" s="110">
        <f t="shared" si="21"/>
        <v>3.4384818334207603</v>
      </c>
    </row>
    <row r="54" spans="1:10" x14ac:dyDescent="0.25">
      <c r="A54" s="89">
        <v>2030</v>
      </c>
      <c r="B54" s="109">
        <f>[16]REKAPITULASI!B25</f>
        <v>8.1451967680000001E-2</v>
      </c>
      <c r="C54" s="109">
        <f t="shared" si="19"/>
        <v>1.7104913212799999</v>
      </c>
      <c r="D54" s="109">
        <f>[16]REKAPITULASI!D25</f>
        <v>6.1088975759999997E-3</v>
      </c>
      <c r="E54" s="109">
        <f t="shared" si="20"/>
        <v>1.89375824856</v>
      </c>
      <c r="F54" s="110">
        <f t="shared" si="21"/>
        <v>3.6042495698399999</v>
      </c>
    </row>
    <row r="55" spans="1:10" x14ac:dyDescent="0.25">
      <c r="A55" s="89">
        <v>2031</v>
      </c>
      <c r="B55" s="98"/>
      <c r="C55" s="109">
        <f t="shared" si="19"/>
        <v>0</v>
      </c>
      <c r="D55" s="109"/>
      <c r="E55" s="109">
        <f t="shared" si="20"/>
        <v>0</v>
      </c>
      <c r="F55" s="110">
        <f t="shared" si="21"/>
        <v>0</v>
      </c>
    </row>
    <row r="57" spans="1:10" ht="15.75" thickBot="1" x14ac:dyDescent="0.3">
      <c r="A57" s="103" t="s">
        <v>88</v>
      </c>
      <c r="J57" s="94">
        <v>1000</v>
      </c>
    </row>
    <row r="58" spans="1:10" ht="15.75" thickBot="1" x14ac:dyDescent="0.3">
      <c r="A58" s="188" t="s">
        <v>11</v>
      </c>
      <c r="B58" s="190" t="s">
        <v>89</v>
      </c>
      <c r="C58" s="191"/>
      <c r="D58" s="191"/>
      <c r="E58" s="191"/>
      <c r="F58" s="191"/>
    </row>
    <row r="59" spans="1:10" ht="18.75" thickBot="1" x14ac:dyDescent="0.3">
      <c r="A59" s="189"/>
      <c r="B59" s="190" t="s">
        <v>129</v>
      </c>
      <c r="C59" s="192"/>
      <c r="D59" s="190" t="s">
        <v>133</v>
      </c>
      <c r="E59" s="192"/>
      <c r="F59" s="116" t="s">
        <v>135</v>
      </c>
      <c r="H59" s="202" t="s">
        <v>11</v>
      </c>
      <c r="I59" s="202" t="s">
        <v>145</v>
      </c>
      <c r="J59" s="202"/>
    </row>
    <row r="60" spans="1:10" ht="18" x14ac:dyDescent="0.25">
      <c r="A60" s="189"/>
      <c r="B60" s="117" t="s">
        <v>131</v>
      </c>
      <c r="C60" s="117" t="s">
        <v>132</v>
      </c>
      <c r="D60" s="117" t="s">
        <v>134</v>
      </c>
      <c r="E60" s="117" t="s">
        <v>132</v>
      </c>
      <c r="F60" s="117" t="s">
        <v>136</v>
      </c>
      <c r="H60" s="202"/>
      <c r="I60" s="140" t="s">
        <v>146</v>
      </c>
      <c r="J60" s="140" t="s">
        <v>147</v>
      </c>
    </row>
    <row r="61" spans="1:10" x14ac:dyDescent="0.25">
      <c r="A61" s="89">
        <v>2011</v>
      </c>
      <c r="B61" s="135">
        <f>[16]REKAPITULASI!B32</f>
        <v>0.28607750671499999</v>
      </c>
      <c r="C61" s="119">
        <f>B61*21</f>
        <v>6.0076276410149996</v>
      </c>
      <c r="D61" s="135">
        <f>[16]REKAPITULASI!D32</f>
        <v>6.6017886164999994E-3</v>
      </c>
      <c r="E61" s="119">
        <f>D61*310</f>
        <v>2.0465544711149999</v>
      </c>
      <c r="F61" s="120">
        <f>SUM(C61+E61)</f>
        <v>8.0541821121300003</v>
      </c>
      <c r="H61" s="89">
        <v>2011</v>
      </c>
      <c r="I61" s="141">
        <f>D9+I9+N9+S9+F35+F61</f>
        <v>9.6448281280650008</v>
      </c>
      <c r="J61" s="142">
        <f>I61*$J$57</f>
        <v>9644.8281280650008</v>
      </c>
    </row>
    <row r="62" spans="1:10" x14ac:dyDescent="0.25">
      <c r="A62" s="89">
        <v>2012</v>
      </c>
      <c r="B62" s="135">
        <f>[16]REKAPITULASI!B33</f>
        <v>0.29226423226000003</v>
      </c>
      <c r="C62" s="119">
        <f t="shared" ref="C62:C81" si="22">B62*21</f>
        <v>6.1375488774600004</v>
      </c>
      <c r="D62" s="135">
        <f>[16]REKAPITULASI!D33</f>
        <v>6.7445592059999998E-3</v>
      </c>
      <c r="E62" s="119">
        <f t="shared" ref="E62:E81" si="23">D62*310</f>
        <v>2.0908133538599998</v>
      </c>
      <c r="F62" s="120">
        <f t="shared" ref="F62:F81" si="24">SUM(C62+E62)</f>
        <v>8.2283622313200002</v>
      </c>
      <c r="H62" s="89">
        <v>2012</v>
      </c>
      <c r="I62" s="141">
        <f t="shared" ref="I62:I66" si="25">D10+I10+N10+S10+F36+F62</f>
        <v>96.927939257327054</v>
      </c>
      <c r="J62" s="142">
        <f t="shared" ref="J62:J70" si="26">I62*$J$57</f>
        <v>96927.93925732706</v>
      </c>
    </row>
    <row r="63" spans="1:10" x14ac:dyDescent="0.25">
      <c r="A63" s="89">
        <v>2013</v>
      </c>
      <c r="B63" s="135">
        <f>[16]REKAPITULASI!B34</f>
        <v>0.29921968576499997</v>
      </c>
      <c r="C63" s="119">
        <f t="shared" si="22"/>
        <v>6.2836134010649989</v>
      </c>
      <c r="D63" s="135">
        <f>[16]REKAPITULASI!D34</f>
        <v>6.9050696714999995E-3</v>
      </c>
      <c r="E63" s="119">
        <f t="shared" si="23"/>
        <v>2.1405715981649998</v>
      </c>
      <c r="F63" s="120">
        <f t="shared" si="24"/>
        <v>8.4241849992299986</v>
      </c>
      <c r="H63" s="89">
        <v>2013</v>
      </c>
      <c r="I63" s="141">
        <f t="shared" si="25"/>
        <v>160.63320007781712</v>
      </c>
      <c r="J63" s="142">
        <f t="shared" si="26"/>
        <v>160633.20007781714</v>
      </c>
    </row>
    <row r="64" spans="1:10" x14ac:dyDescent="0.25">
      <c r="A64" s="89">
        <v>2014</v>
      </c>
      <c r="B64" s="135">
        <f>[16]REKAPITULASI!B35</f>
        <v>0.30612398817000003</v>
      </c>
      <c r="C64" s="119">
        <f t="shared" si="22"/>
        <v>6.4286037515700007</v>
      </c>
      <c r="D64" s="135">
        <f>[16]REKAPITULASI!D35</f>
        <v>7.064399727E-3</v>
      </c>
      <c r="E64" s="119">
        <f t="shared" si="23"/>
        <v>2.1899639153699999</v>
      </c>
      <c r="F64" s="120">
        <f t="shared" si="24"/>
        <v>8.6185676669400006</v>
      </c>
      <c r="H64" s="89">
        <v>2014</v>
      </c>
      <c r="I64" s="141">
        <f t="shared" si="25"/>
        <v>208.42671932192124</v>
      </c>
      <c r="J64" s="142">
        <f t="shared" si="26"/>
        <v>208426.71932192123</v>
      </c>
    </row>
    <row r="65" spans="1:10" x14ac:dyDescent="0.25">
      <c r="A65" s="89">
        <v>2015</v>
      </c>
      <c r="B65" s="135">
        <f>[16]REKAPITULASI!B36</f>
        <v>0.3129933982175</v>
      </c>
      <c r="C65" s="119">
        <f t="shared" si="22"/>
        <v>6.5728613625675001</v>
      </c>
      <c r="D65" s="135">
        <f>[16]REKAPITULASI!D36</f>
        <v>7.2229245742500003E-3</v>
      </c>
      <c r="E65" s="119">
        <f t="shared" si="23"/>
        <v>2.2391066180174999</v>
      </c>
      <c r="F65" s="120">
        <f t="shared" si="24"/>
        <v>8.8119679805849991</v>
      </c>
      <c r="H65" s="89">
        <v>2015</v>
      </c>
      <c r="I65" s="141">
        <f t="shared" si="25"/>
        <v>245.2636244157826</v>
      </c>
      <c r="J65" s="142">
        <f t="shared" si="26"/>
        <v>245263.6244157826</v>
      </c>
    </row>
    <row r="66" spans="1:10" x14ac:dyDescent="0.25">
      <c r="A66" s="89">
        <v>2016</v>
      </c>
      <c r="B66" s="135">
        <f>[16]REKAPITULASI!B37</f>
        <v>0.31980690742000001</v>
      </c>
      <c r="C66" s="119">
        <f t="shared" si="22"/>
        <v>6.7159450558199998</v>
      </c>
      <c r="D66" s="135">
        <f>[16]REKAPITULASI!D37</f>
        <v>7.380159402E-3</v>
      </c>
      <c r="E66" s="119">
        <f t="shared" si="23"/>
        <v>2.2878494146200001</v>
      </c>
      <c r="F66" s="120">
        <f t="shared" si="24"/>
        <v>9.003794470439999</v>
      </c>
      <c r="H66" s="89">
        <v>2016</v>
      </c>
      <c r="I66" s="141">
        <f t="shared" si="25"/>
        <v>274.50741061523661</v>
      </c>
      <c r="J66" s="142">
        <f t="shared" si="26"/>
        <v>274507.41061523661</v>
      </c>
    </row>
    <row r="67" spans="1:10" x14ac:dyDescent="0.25">
      <c r="A67" s="89">
        <v>2017</v>
      </c>
      <c r="B67" s="135">
        <f>[16]REKAPITULASI!B38</f>
        <v>0.32865031971021247</v>
      </c>
      <c r="C67" s="119">
        <f t="shared" si="22"/>
        <v>6.9016567139144618</v>
      </c>
      <c r="D67" s="135">
        <f>[16]REKAPITULASI!D38</f>
        <v>7.5842381471587497E-3</v>
      </c>
      <c r="E67" s="119">
        <f t="shared" si="23"/>
        <v>2.3511138256192123</v>
      </c>
      <c r="F67" s="120">
        <f t="shared" si="24"/>
        <v>9.2527705395336746</v>
      </c>
      <c r="H67" s="89">
        <v>2017</v>
      </c>
      <c r="I67" s="141">
        <f t="shared" ref="I67:I81" si="27">D15+I15+N15+S15+F41+F67</f>
        <v>272.54657103726686</v>
      </c>
      <c r="J67" s="142">
        <f t="shared" si="26"/>
        <v>272546.57103726687</v>
      </c>
    </row>
    <row r="68" spans="1:10" x14ac:dyDescent="0.25">
      <c r="A68" s="89">
        <v>2018</v>
      </c>
      <c r="B68" s="135">
        <f>[16]REKAPITULASI!B39</f>
        <v>0.33704627222516254</v>
      </c>
      <c r="C68" s="119">
        <f t="shared" si="22"/>
        <v>7.0779717167284133</v>
      </c>
      <c r="D68" s="135">
        <f>[16]REKAPITULASI!D39</f>
        <v>7.7779908975037504E-3</v>
      </c>
      <c r="E68" s="119">
        <f t="shared" si="23"/>
        <v>2.4111771782261626</v>
      </c>
      <c r="F68" s="120">
        <f t="shared" si="24"/>
        <v>9.4891488949545764</v>
      </c>
      <c r="H68" s="89">
        <v>2018</v>
      </c>
      <c r="I68" s="141">
        <f t="shared" si="27"/>
        <v>292.35233792912061</v>
      </c>
      <c r="J68" s="142">
        <f t="shared" si="26"/>
        <v>292352.33792912064</v>
      </c>
    </row>
    <row r="69" spans="1:10" x14ac:dyDescent="0.25">
      <c r="A69" s="89">
        <v>2019</v>
      </c>
      <c r="B69" s="135">
        <f>[16]REKAPITULASI!B40</f>
        <v>0.34544222474011255</v>
      </c>
      <c r="C69" s="119">
        <f t="shared" si="22"/>
        <v>7.2542867195423639</v>
      </c>
      <c r="D69" s="135">
        <f>[16]REKAPITULASI!D40</f>
        <v>7.9717436478487502E-3</v>
      </c>
      <c r="E69" s="119">
        <f t="shared" si="23"/>
        <v>2.4712405308331125</v>
      </c>
      <c r="F69" s="120">
        <f t="shared" si="24"/>
        <v>9.7255272503754764</v>
      </c>
      <c r="H69" s="89">
        <v>2019</v>
      </c>
      <c r="I69" s="141">
        <f t="shared" si="27"/>
        <v>309.98174748453908</v>
      </c>
      <c r="J69" s="142">
        <f t="shared" si="26"/>
        <v>309981.74748453911</v>
      </c>
    </row>
    <row r="70" spans="1:10" x14ac:dyDescent="0.25">
      <c r="A70" s="89">
        <v>2020</v>
      </c>
      <c r="B70" s="135">
        <f>[16]REKAPITULASI!B41</f>
        <v>0.3538381772550625</v>
      </c>
      <c r="C70" s="119">
        <f t="shared" si="22"/>
        <v>7.4306017223563128</v>
      </c>
      <c r="D70" s="135">
        <f>[16]REKAPITULASI!D41</f>
        <v>8.1654963981937501E-3</v>
      </c>
      <c r="E70" s="119">
        <f t="shared" si="23"/>
        <v>2.5313038834400627</v>
      </c>
      <c r="F70" s="120">
        <f t="shared" si="24"/>
        <v>9.9619056057963746</v>
      </c>
      <c r="H70" s="89">
        <v>2020</v>
      </c>
      <c r="I70" s="141">
        <f t="shared" si="27"/>
        <v>326.10650938752872</v>
      </c>
      <c r="J70" s="142">
        <f t="shared" si="26"/>
        <v>326106.5093875287</v>
      </c>
    </row>
    <row r="71" spans="1:10" x14ac:dyDescent="0.25">
      <c r="A71" s="89">
        <v>2021</v>
      </c>
      <c r="B71" s="135">
        <f>[16]REKAPITULASI!B42</f>
        <v>0.36223412977001246</v>
      </c>
      <c r="C71" s="119">
        <f t="shared" si="22"/>
        <v>7.6069167251702616</v>
      </c>
      <c r="D71" s="135">
        <f>[16]REKAPITULASI!D42</f>
        <v>8.3592491485387499E-3</v>
      </c>
      <c r="E71" s="119">
        <f t="shared" si="23"/>
        <v>2.5913672360470126</v>
      </c>
      <c r="F71" s="120">
        <f t="shared" si="24"/>
        <v>10.198283961217275</v>
      </c>
      <c r="H71" s="89">
        <v>2021</v>
      </c>
      <c r="I71" s="141">
        <f>D19+I19+N19+S19+F45+F71</f>
        <v>341.19870282075709</v>
      </c>
      <c r="J71" s="142">
        <f>I71*$J$57</f>
        <v>341198.70282075711</v>
      </c>
    </row>
    <row r="72" spans="1:10" x14ac:dyDescent="0.25">
      <c r="A72" s="89">
        <v>2022</v>
      </c>
      <c r="B72" s="135">
        <f>[16]REKAPITULASI!B43</f>
        <v>0.37063008228496247</v>
      </c>
      <c r="C72" s="119">
        <f t="shared" si="22"/>
        <v>7.7832317279842123</v>
      </c>
      <c r="D72" s="135">
        <f>[16]REKAPITULASI!D43</f>
        <v>8.5530018988837497E-3</v>
      </c>
      <c r="E72" s="119">
        <f t="shared" si="23"/>
        <v>2.6514305886539624</v>
      </c>
      <c r="F72" s="120">
        <f t="shared" si="24"/>
        <v>10.434662316638175</v>
      </c>
      <c r="H72" s="89">
        <v>2022</v>
      </c>
      <c r="I72" s="141">
        <f t="shared" si="27"/>
        <v>355.59434916536117</v>
      </c>
      <c r="J72" s="142">
        <f t="shared" ref="J72:J81" si="28">I72*$J$57</f>
        <v>355594.34916536114</v>
      </c>
    </row>
    <row r="73" spans="1:10" x14ac:dyDescent="0.25">
      <c r="A73" s="89">
        <v>2023</v>
      </c>
      <c r="B73" s="135">
        <f>[16]REKAPITULASI!B44</f>
        <v>0.37902603479991248</v>
      </c>
      <c r="C73" s="119">
        <f t="shared" si="22"/>
        <v>7.959546730798162</v>
      </c>
      <c r="D73" s="135">
        <f>[16]REKAPITULASI!D44</f>
        <v>8.7467546492287496E-3</v>
      </c>
      <c r="E73" s="119">
        <f t="shared" si="23"/>
        <v>2.7114939412609123</v>
      </c>
      <c r="F73" s="120">
        <f t="shared" si="24"/>
        <v>10.671040672059075</v>
      </c>
      <c r="H73" s="89">
        <v>2023</v>
      </c>
      <c r="I73" s="141">
        <f t="shared" si="27"/>
        <v>369.53638107344102</v>
      </c>
      <c r="J73" s="142">
        <f t="shared" si="28"/>
        <v>369536.38107344101</v>
      </c>
    </row>
    <row r="74" spans="1:10" x14ac:dyDescent="0.25">
      <c r="A74" s="89">
        <v>2024</v>
      </c>
      <c r="B74" s="135">
        <f>[16]REKAPITULASI!B45</f>
        <v>0.38742198731486249</v>
      </c>
      <c r="C74" s="119">
        <f t="shared" si="22"/>
        <v>8.1358617336121117</v>
      </c>
      <c r="D74" s="135">
        <f>[16]REKAPITULASI!D45</f>
        <v>8.9405073995737511E-3</v>
      </c>
      <c r="E74" s="119">
        <f t="shared" si="23"/>
        <v>2.771557293867863</v>
      </c>
      <c r="F74" s="120">
        <f t="shared" si="24"/>
        <v>10.907419027479975</v>
      </c>
      <c r="H74" s="89">
        <v>2024</v>
      </c>
      <c r="I74" s="141">
        <f t="shared" si="27"/>
        <v>383.20374674343418</v>
      </c>
      <c r="J74" s="142">
        <f t="shared" si="28"/>
        <v>383203.74674343417</v>
      </c>
    </row>
    <row r="75" spans="1:10" x14ac:dyDescent="0.25">
      <c r="A75" s="89">
        <v>2025</v>
      </c>
      <c r="B75" s="135">
        <f>[16]REKAPITULASI!B46</f>
        <v>0.3958179398298125</v>
      </c>
      <c r="C75" s="119">
        <f t="shared" si="22"/>
        <v>8.3121767364260624</v>
      </c>
      <c r="D75" s="135">
        <f>[16]REKAPITULASI!D46</f>
        <v>9.1342601499187492E-3</v>
      </c>
      <c r="E75" s="119">
        <f t="shared" si="23"/>
        <v>2.8316206464748124</v>
      </c>
      <c r="F75" s="120">
        <f t="shared" si="24"/>
        <v>11.143797382900875</v>
      </c>
      <c r="H75" s="89">
        <v>2025</v>
      </c>
      <c r="I75" s="141">
        <f t="shared" si="27"/>
        <v>396.73117494407751</v>
      </c>
      <c r="J75" s="142">
        <f t="shared" si="28"/>
        <v>396731.1749440775</v>
      </c>
    </row>
    <row r="76" spans="1:10" x14ac:dyDescent="0.25">
      <c r="A76" s="89">
        <v>2026</v>
      </c>
      <c r="B76" s="135">
        <f>[16]REKAPITULASI!B47</f>
        <v>0.4042138923447624</v>
      </c>
      <c r="C76" s="119">
        <f t="shared" si="22"/>
        <v>8.4884917392400112</v>
      </c>
      <c r="D76" s="135">
        <f>[16]REKAPITULASI!D47</f>
        <v>9.3280129002637473E-3</v>
      </c>
      <c r="E76" s="119">
        <f t="shared" si="23"/>
        <v>2.8916839990817618</v>
      </c>
      <c r="F76" s="120">
        <f t="shared" si="24"/>
        <v>11.380175738321773</v>
      </c>
      <c r="H76" s="89">
        <v>2026</v>
      </c>
      <c r="I76" s="141">
        <f t="shared" si="27"/>
        <v>410.22264141881698</v>
      </c>
      <c r="J76" s="142">
        <f t="shared" si="28"/>
        <v>410222.64141881699</v>
      </c>
    </row>
    <row r="77" spans="1:10" x14ac:dyDescent="0.25">
      <c r="A77" s="89">
        <v>2027</v>
      </c>
      <c r="B77" s="135">
        <f>[16]REKAPITULASI!B48</f>
        <v>0.41260984485971253</v>
      </c>
      <c r="C77" s="119">
        <f t="shared" si="22"/>
        <v>8.6648067420539636</v>
      </c>
      <c r="D77" s="135">
        <f>[16]REKAPITULASI!D48</f>
        <v>9.5217656506087506E-3</v>
      </c>
      <c r="E77" s="119">
        <f t="shared" si="23"/>
        <v>2.9517473516887125</v>
      </c>
      <c r="F77" s="120">
        <f t="shared" si="24"/>
        <v>11.616554093742677</v>
      </c>
      <c r="H77" s="89">
        <v>2027</v>
      </c>
      <c r="I77" s="141">
        <f t="shared" si="27"/>
        <v>423.76058083393207</v>
      </c>
      <c r="J77" s="142">
        <f t="shared" si="28"/>
        <v>423760.58083393209</v>
      </c>
    </row>
    <row r="78" spans="1:10" x14ac:dyDescent="0.25">
      <c r="A78" s="89">
        <v>2028</v>
      </c>
      <c r="B78" s="135">
        <f>[16]REKAPITULASI!B49</f>
        <v>0.42100579737466248</v>
      </c>
      <c r="C78" s="119">
        <f t="shared" si="22"/>
        <v>8.8411217448679125</v>
      </c>
      <c r="D78" s="135">
        <f>[16]REKAPITULASI!D49</f>
        <v>9.7155184009537505E-3</v>
      </c>
      <c r="E78" s="119">
        <f t="shared" si="23"/>
        <v>3.0118107042956628</v>
      </c>
      <c r="F78" s="120">
        <f t="shared" si="24"/>
        <v>11.852932449163575</v>
      </c>
      <c r="H78" s="89">
        <v>2028</v>
      </c>
      <c r="I78" s="141">
        <f t="shared" si="27"/>
        <v>437.41221955163275</v>
      </c>
      <c r="J78" s="142">
        <f t="shared" si="28"/>
        <v>437412.21955163276</v>
      </c>
    </row>
    <row r="79" spans="1:10" x14ac:dyDescent="0.25">
      <c r="A79" s="89">
        <v>2029</v>
      </c>
      <c r="B79" s="135">
        <f>[16]REKAPITULASI!B50</f>
        <v>0.42940174988961249</v>
      </c>
      <c r="C79" s="119">
        <f t="shared" si="22"/>
        <v>9.0174367476818631</v>
      </c>
      <c r="D79" s="135">
        <f>[16]REKAPITULASI!D50</f>
        <v>9.9092711512987503E-3</v>
      </c>
      <c r="E79" s="119">
        <f t="shared" si="23"/>
        <v>3.0718740569026126</v>
      </c>
      <c r="F79" s="120">
        <f t="shared" si="24"/>
        <v>12.089310804584475</v>
      </c>
      <c r="H79" s="89">
        <v>2029</v>
      </c>
      <c r="I79" s="141">
        <f t="shared" si="27"/>
        <v>451.23395536031535</v>
      </c>
      <c r="J79" s="142">
        <f t="shared" si="28"/>
        <v>451233.95536031533</v>
      </c>
    </row>
    <row r="80" spans="1:10" x14ac:dyDescent="0.25">
      <c r="A80" s="89">
        <v>2030</v>
      </c>
      <c r="B80" s="135">
        <f>[16]REKAPITULASI!B51</f>
        <v>0.43779770240456251</v>
      </c>
      <c r="C80" s="119">
        <f t="shared" si="22"/>
        <v>9.1937517504958119</v>
      </c>
      <c r="D80" s="135">
        <f>[16]REKAPITULASI!D51</f>
        <v>1.010302390164375E-2</v>
      </c>
      <c r="E80" s="119">
        <f t="shared" si="23"/>
        <v>3.1319374095095625</v>
      </c>
      <c r="F80" s="120">
        <f t="shared" si="24"/>
        <v>12.325689160005375</v>
      </c>
      <c r="H80" s="89">
        <v>2030</v>
      </c>
      <c r="I80" s="141">
        <f t="shared" si="27"/>
        <v>465.24107741828323</v>
      </c>
      <c r="J80" s="142">
        <f t="shared" si="28"/>
        <v>465241.07741828321</v>
      </c>
    </row>
    <row r="81" spans="1:10" x14ac:dyDescent="0.25">
      <c r="A81" s="89">
        <v>2031</v>
      </c>
      <c r="B81" s="118"/>
      <c r="C81" s="119">
        <f t="shared" si="22"/>
        <v>0</v>
      </c>
      <c r="D81" s="118"/>
      <c r="E81" s="119">
        <f t="shared" si="23"/>
        <v>0</v>
      </c>
      <c r="F81" s="120">
        <f t="shared" si="24"/>
        <v>0</v>
      </c>
      <c r="H81" s="89">
        <v>2031</v>
      </c>
      <c r="I81" s="141">
        <f t="shared" si="27"/>
        <v>0</v>
      </c>
      <c r="J81" s="142">
        <f t="shared" si="28"/>
        <v>0</v>
      </c>
    </row>
    <row r="84" spans="1:10" x14ac:dyDescent="0.25">
      <c r="A84" s="121"/>
      <c r="B84" s="99"/>
      <c r="C84" s="100"/>
      <c r="D84" s="99"/>
      <c r="E84" s="100"/>
      <c r="F84" s="100"/>
    </row>
    <row r="85" spans="1:10" ht="15.75" thickBot="1" x14ac:dyDescent="0.3">
      <c r="A85" s="122" t="s">
        <v>144</v>
      </c>
      <c r="B85" s="100"/>
      <c r="C85" s="99"/>
      <c r="D85" s="100"/>
      <c r="G85" s="94">
        <v>1000</v>
      </c>
    </row>
    <row r="86" spans="1:10" ht="18.75" thickBot="1" x14ac:dyDescent="0.3">
      <c r="A86" s="205" t="s">
        <v>11</v>
      </c>
      <c r="B86" s="207" t="s">
        <v>137</v>
      </c>
      <c r="C86" s="208"/>
      <c r="D86" s="200" t="s">
        <v>138</v>
      </c>
      <c r="E86" s="201"/>
      <c r="F86" s="203" t="s">
        <v>95</v>
      </c>
      <c r="G86" s="204"/>
    </row>
    <row r="87" spans="1:10" ht="81.75" thickBot="1" x14ac:dyDescent="0.3">
      <c r="A87" s="206"/>
      <c r="B87" s="123" t="s">
        <v>139</v>
      </c>
      <c r="C87" s="123" t="s">
        <v>140</v>
      </c>
      <c r="D87" s="124" t="s">
        <v>141</v>
      </c>
      <c r="E87" s="124" t="s">
        <v>142</v>
      </c>
      <c r="F87" s="125" t="s">
        <v>143</v>
      </c>
      <c r="G87" s="125" t="s">
        <v>148</v>
      </c>
    </row>
    <row r="88" spans="1:10" ht="15.75" thickBot="1" x14ac:dyDescent="0.3">
      <c r="A88" s="206"/>
      <c r="B88" s="209" t="s">
        <v>101</v>
      </c>
      <c r="C88" s="126" t="s">
        <v>102</v>
      </c>
      <c r="D88" s="127" t="s">
        <v>103</v>
      </c>
      <c r="E88" s="128" t="s">
        <v>104</v>
      </c>
      <c r="F88" s="129" t="s">
        <v>105</v>
      </c>
      <c r="G88" s="129" t="s">
        <v>105</v>
      </c>
    </row>
    <row r="89" spans="1:10" x14ac:dyDescent="0.25">
      <c r="A89" s="206"/>
      <c r="B89" s="210"/>
      <c r="C89" s="130" t="s">
        <v>106</v>
      </c>
      <c r="D89" s="131"/>
      <c r="E89" s="132" t="s">
        <v>107</v>
      </c>
      <c r="F89" s="133" t="s">
        <v>108</v>
      </c>
      <c r="G89" s="133" t="s">
        <v>108</v>
      </c>
    </row>
    <row r="90" spans="1:10" x14ac:dyDescent="0.25">
      <c r="A90" s="89">
        <v>2011</v>
      </c>
      <c r="B90" s="136">
        <f>[16]REKAPITULASI!B59</f>
        <v>3.2657496077664003</v>
      </c>
      <c r="C90" s="139">
        <f>B90*21</f>
        <v>68.580741763094409</v>
      </c>
      <c r="D90" s="138">
        <f>[16]REKAPITULASI!D59</f>
        <v>0.11098690525371428</v>
      </c>
      <c r="E90" s="134">
        <f>D90*310</f>
        <v>34.405940628651429</v>
      </c>
      <c r="F90" s="137">
        <f>C90+E90</f>
        <v>102.98668239174583</v>
      </c>
      <c r="G90" s="143">
        <f>F90*$G$85</f>
        <v>102986.68239174582</v>
      </c>
    </row>
    <row r="91" spans="1:10" x14ac:dyDescent="0.25">
      <c r="A91" s="89">
        <v>2012</v>
      </c>
      <c r="B91" s="136">
        <f>[16]REKAPITULASI!B60</f>
        <v>3.3365104202496005</v>
      </c>
      <c r="C91" s="139">
        <f t="shared" ref="C91:C110" si="29">B91*21</f>
        <v>70.066718825241608</v>
      </c>
      <c r="D91" s="138">
        <f>[16]REKAPITULASI!D60</f>
        <v>0.10930652681142862</v>
      </c>
      <c r="E91" s="134">
        <f t="shared" ref="E91:E110" si="30">D91*310</f>
        <v>33.885023311542874</v>
      </c>
      <c r="F91" s="137">
        <f t="shared" ref="F91:F110" si="31">C91+E91</f>
        <v>103.95174213678447</v>
      </c>
      <c r="G91" s="143">
        <f t="shared" ref="G91:G109" si="32">F91*$G$85</f>
        <v>103951.74213678448</v>
      </c>
    </row>
    <row r="92" spans="1:10" x14ac:dyDescent="0.25">
      <c r="A92" s="89">
        <v>2013</v>
      </c>
      <c r="B92" s="136">
        <f>[16]REKAPITULASI!B61</f>
        <v>3.4160635760544</v>
      </c>
      <c r="C92" s="139">
        <f t="shared" si="29"/>
        <v>71.737335097142406</v>
      </c>
      <c r="D92" s="138">
        <f>[16]REKAPITULASI!D61</f>
        <v>0.11033014200685715</v>
      </c>
      <c r="E92" s="134">
        <f t="shared" si="30"/>
        <v>34.202344022125715</v>
      </c>
      <c r="F92" s="137">
        <f t="shared" si="31"/>
        <v>105.93967911926812</v>
      </c>
      <c r="G92" s="143">
        <f t="shared" si="32"/>
        <v>105939.67911926813</v>
      </c>
    </row>
    <row r="93" spans="1:10" x14ac:dyDescent="0.25">
      <c r="A93" s="89">
        <v>2014</v>
      </c>
      <c r="B93" s="136">
        <f>[16]REKAPITULASI!B62</f>
        <v>3.4950316900031999</v>
      </c>
      <c r="C93" s="139">
        <f t="shared" si="29"/>
        <v>73.395665490067202</v>
      </c>
      <c r="D93" s="138">
        <f>[16]REKAPITULASI!D62</f>
        <v>0.11538649858057144</v>
      </c>
      <c r="E93" s="134">
        <f t="shared" si="30"/>
        <v>35.769814559977149</v>
      </c>
      <c r="F93" s="137">
        <f t="shared" si="31"/>
        <v>109.16548005004435</v>
      </c>
      <c r="G93" s="143">
        <f t="shared" si="32"/>
        <v>109165.48005004435</v>
      </c>
    </row>
    <row r="94" spans="1:10" x14ac:dyDescent="0.25">
      <c r="A94" s="89">
        <v>2015</v>
      </c>
      <c r="B94" s="136">
        <f>[16]REKAPITULASI!B63</f>
        <v>3.5736007218287997</v>
      </c>
      <c r="C94" s="139">
        <f t="shared" si="29"/>
        <v>75.0456151584048</v>
      </c>
      <c r="D94" s="138">
        <f>[16]REKAPITULASI!D63</f>
        <v>0.11798041082038095</v>
      </c>
      <c r="E94" s="134">
        <f t="shared" si="30"/>
        <v>36.573927354318094</v>
      </c>
      <c r="F94" s="137">
        <f t="shared" si="31"/>
        <v>111.61954251272289</v>
      </c>
      <c r="G94" s="143">
        <f t="shared" si="32"/>
        <v>111619.54251272288</v>
      </c>
    </row>
    <row r="95" spans="1:10" x14ac:dyDescent="0.25">
      <c r="A95" s="89">
        <v>2016</v>
      </c>
      <c r="B95" s="136">
        <f>[16]REKAPITULASI!B64</f>
        <v>3.6515303864831998</v>
      </c>
      <c r="C95" s="139">
        <f t="shared" si="29"/>
        <v>76.6821381161472</v>
      </c>
      <c r="D95" s="138">
        <f>[16]REKAPITULASI!D64</f>
        <v>0.12055321471390479</v>
      </c>
      <c r="E95" s="134">
        <f t="shared" si="30"/>
        <v>37.371496561310487</v>
      </c>
      <c r="F95" s="137">
        <f t="shared" si="31"/>
        <v>114.05363467745769</v>
      </c>
      <c r="G95" s="143">
        <f t="shared" si="32"/>
        <v>114053.6346774577</v>
      </c>
    </row>
    <row r="96" spans="1:10" x14ac:dyDescent="0.25">
      <c r="A96" s="89">
        <v>2017</v>
      </c>
      <c r="B96" s="136">
        <f>[16]REKAPITULASI!B65</f>
        <v>3.7526771133305035</v>
      </c>
      <c r="C96" s="139">
        <f t="shared" si="29"/>
        <v>78.806219379940572</v>
      </c>
      <c r="D96" s="138">
        <f>[16]REKAPITULASI!D65</f>
        <v>0.12389251681155906</v>
      </c>
      <c r="E96" s="134">
        <f t="shared" si="30"/>
        <v>38.406680211583307</v>
      </c>
      <c r="F96" s="137">
        <f t="shared" si="31"/>
        <v>117.21289959152388</v>
      </c>
      <c r="G96" s="143">
        <f t="shared" si="32"/>
        <v>117212.89959152388</v>
      </c>
    </row>
    <row r="97" spans="1:7" x14ac:dyDescent="0.25">
      <c r="A97" s="89">
        <v>2018</v>
      </c>
      <c r="B97" s="136">
        <f>[16]REKAPITULASI!B66</f>
        <v>3.8487060089404563</v>
      </c>
      <c r="C97" s="139">
        <f t="shared" si="29"/>
        <v>80.822826187749584</v>
      </c>
      <c r="D97" s="138">
        <f>[16]REKAPITULASI!D66</f>
        <v>0.12706285659951719</v>
      </c>
      <c r="E97" s="134">
        <f t="shared" si="30"/>
        <v>39.389485545850327</v>
      </c>
      <c r="F97" s="137">
        <f t="shared" si="31"/>
        <v>120.2123117335999</v>
      </c>
      <c r="G97" s="143">
        <f t="shared" si="32"/>
        <v>120212.3117335999</v>
      </c>
    </row>
    <row r="98" spans="1:7" x14ac:dyDescent="0.25">
      <c r="A98" s="89">
        <v>2019</v>
      </c>
      <c r="B98" s="136">
        <f>[16]REKAPITULASI!B67</f>
        <v>3.9447349045504083</v>
      </c>
      <c r="C98" s="139">
        <f t="shared" si="29"/>
        <v>82.839432995558582</v>
      </c>
      <c r="D98" s="138">
        <f>[16]REKAPITULASI!D67</f>
        <v>0.13023319638747527</v>
      </c>
      <c r="E98" s="134">
        <f t="shared" si="30"/>
        <v>40.372290880117333</v>
      </c>
      <c r="F98" s="137">
        <f t="shared" si="31"/>
        <v>123.21172387567591</v>
      </c>
      <c r="G98" s="143">
        <f t="shared" si="32"/>
        <v>123211.72387567592</v>
      </c>
    </row>
    <row r="99" spans="1:7" x14ac:dyDescent="0.25">
      <c r="A99" s="89">
        <v>2020</v>
      </c>
      <c r="B99" s="136">
        <f>[16]REKAPITULASI!B68</f>
        <v>4.0407638001603603</v>
      </c>
      <c r="C99" s="139">
        <f t="shared" si="29"/>
        <v>84.856039803367565</v>
      </c>
      <c r="D99" s="138">
        <f>[16]REKAPITULASI!D68</f>
        <v>0.13340353617543338</v>
      </c>
      <c r="E99" s="134">
        <f t="shared" si="30"/>
        <v>41.355096214384346</v>
      </c>
      <c r="F99" s="137">
        <f t="shared" si="31"/>
        <v>126.21113601775191</v>
      </c>
      <c r="G99" s="143">
        <f t="shared" si="32"/>
        <v>126211.13601775191</v>
      </c>
    </row>
    <row r="100" spans="1:7" x14ac:dyDescent="0.25">
      <c r="A100" s="89">
        <v>2021</v>
      </c>
      <c r="B100" s="136">
        <f>[16]REKAPITULASI!B69</f>
        <v>4.1367926957703114</v>
      </c>
      <c r="C100" s="139">
        <f t="shared" si="29"/>
        <v>86.872646611176535</v>
      </c>
      <c r="D100" s="138">
        <f>[16]REKAPITULASI!D69</f>
        <v>0.13657387596339141</v>
      </c>
      <c r="E100" s="134">
        <f t="shared" si="30"/>
        <v>42.337901548651338</v>
      </c>
      <c r="F100" s="137">
        <f t="shared" si="31"/>
        <v>129.21054815982788</v>
      </c>
      <c r="G100" s="143">
        <f t="shared" si="32"/>
        <v>129210.54815982789</v>
      </c>
    </row>
    <row r="101" spans="1:7" x14ac:dyDescent="0.25">
      <c r="A101" s="89">
        <v>2022</v>
      </c>
      <c r="B101" s="136">
        <f>[16]REKAPITULASI!B70</f>
        <v>4.2328215913802634</v>
      </c>
      <c r="C101" s="139">
        <f t="shared" si="29"/>
        <v>88.889253418985533</v>
      </c>
      <c r="D101" s="138">
        <f>[16]REKAPITULASI!D70</f>
        <v>0.13974421575134954</v>
      </c>
      <c r="E101" s="134">
        <f t="shared" si="30"/>
        <v>43.320706882918358</v>
      </c>
      <c r="F101" s="137">
        <f t="shared" si="31"/>
        <v>132.20996030190389</v>
      </c>
      <c r="G101" s="143">
        <f t="shared" si="32"/>
        <v>132209.96030190389</v>
      </c>
    </row>
    <row r="102" spans="1:7" x14ac:dyDescent="0.25">
      <c r="A102" s="89">
        <v>2023</v>
      </c>
      <c r="B102" s="136">
        <f>[16]REKAPITULASI!B71</f>
        <v>4.3288504869902162</v>
      </c>
      <c r="C102" s="139">
        <f t="shared" si="29"/>
        <v>90.905860226794545</v>
      </c>
      <c r="D102" s="138">
        <f>[16]REKAPITULASI!D71</f>
        <v>0.14291455553930763</v>
      </c>
      <c r="E102" s="134">
        <f t="shared" si="30"/>
        <v>44.303512217185364</v>
      </c>
      <c r="F102" s="137">
        <f t="shared" si="31"/>
        <v>135.2093724439799</v>
      </c>
      <c r="G102" s="143">
        <f t="shared" si="32"/>
        <v>135209.3724439799</v>
      </c>
    </row>
    <row r="103" spans="1:7" x14ac:dyDescent="0.25">
      <c r="A103" s="89">
        <v>2024</v>
      </c>
      <c r="B103" s="136">
        <f>[16]REKAPITULASI!B72</f>
        <v>4.4248793826001682</v>
      </c>
      <c r="C103" s="139">
        <f t="shared" si="29"/>
        <v>92.922467034603528</v>
      </c>
      <c r="D103" s="138">
        <f>[16]REKAPITULASI!D72</f>
        <v>0.14608489532726576</v>
      </c>
      <c r="E103" s="134">
        <f t="shared" si="30"/>
        <v>45.286317551452385</v>
      </c>
      <c r="F103" s="137">
        <f t="shared" si="31"/>
        <v>138.20878458605591</v>
      </c>
      <c r="G103" s="143">
        <f t="shared" si="32"/>
        <v>138208.7845860559</v>
      </c>
    </row>
    <row r="104" spans="1:7" x14ac:dyDescent="0.25">
      <c r="A104" s="89">
        <v>2025</v>
      </c>
      <c r="B104" s="136">
        <f>[16]REKAPITULASI!B73</f>
        <v>4.515893633730121</v>
      </c>
      <c r="C104" s="139">
        <f t="shared" si="29"/>
        <v>94.833766308332542</v>
      </c>
      <c r="D104" s="138">
        <f>[16]REKAPITULASI!D73</f>
        <v>0.14908967945808096</v>
      </c>
      <c r="E104" s="134">
        <f t="shared" si="30"/>
        <v>46.217800632005101</v>
      </c>
      <c r="F104" s="137">
        <f t="shared" si="31"/>
        <v>141.05156694033764</v>
      </c>
      <c r="G104" s="143">
        <f t="shared" si="32"/>
        <v>141051.56694033762</v>
      </c>
    </row>
    <row r="105" spans="1:7" x14ac:dyDescent="0.25">
      <c r="A105" s="89">
        <v>2026</v>
      </c>
      <c r="B105" s="136">
        <f>[16]REKAPITULASI!B74</f>
        <v>4.6119225293400721</v>
      </c>
      <c r="C105" s="139">
        <f t="shared" si="29"/>
        <v>96.850373116141512</v>
      </c>
      <c r="D105" s="138">
        <f>[16]REKAPITULASI!D74</f>
        <v>0.15226001924603905</v>
      </c>
      <c r="E105" s="134">
        <f t="shared" si="30"/>
        <v>47.200605966272107</v>
      </c>
      <c r="F105" s="137">
        <f t="shared" si="31"/>
        <v>144.05097908241362</v>
      </c>
      <c r="G105" s="143">
        <f t="shared" si="32"/>
        <v>144050.97908241363</v>
      </c>
    </row>
    <row r="106" spans="1:7" x14ac:dyDescent="0.25">
      <c r="A106" s="89">
        <v>2027</v>
      </c>
      <c r="B106" s="136">
        <f>[16]REKAPITULASI!B75</f>
        <v>4.7079514249500241</v>
      </c>
      <c r="C106" s="139">
        <f t="shared" si="29"/>
        <v>98.86697992395051</v>
      </c>
      <c r="D106" s="138">
        <f>[16]REKAPITULASI!D75</f>
        <v>0.15543035903399718</v>
      </c>
      <c r="E106" s="134">
        <f t="shared" si="30"/>
        <v>48.183411300539127</v>
      </c>
      <c r="F106" s="137">
        <f t="shared" si="31"/>
        <v>147.05039122448963</v>
      </c>
      <c r="G106" s="143">
        <f t="shared" si="32"/>
        <v>147050.39122448963</v>
      </c>
    </row>
    <row r="107" spans="1:7" x14ac:dyDescent="0.25">
      <c r="A107" s="89">
        <v>2028</v>
      </c>
      <c r="B107" s="136">
        <f>[16]REKAPITULASI!B76</f>
        <v>4.8039803205599751</v>
      </c>
      <c r="C107" s="139">
        <f t="shared" si="29"/>
        <v>100.88358673175948</v>
      </c>
      <c r="D107" s="138">
        <f>[16]REKAPITULASI!D76</f>
        <v>0.15860069882195524</v>
      </c>
      <c r="E107" s="134">
        <f t="shared" si="30"/>
        <v>49.166216634806126</v>
      </c>
      <c r="F107" s="137">
        <f t="shared" si="31"/>
        <v>150.04980336656561</v>
      </c>
      <c r="G107" s="143">
        <f t="shared" si="32"/>
        <v>150049.80336656561</v>
      </c>
    </row>
    <row r="108" spans="1:7" x14ac:dyDescent="0.25">
      <c r="A108" s="89">
        <v>2029</v>
      </c>
      <c r="B108" s="136">
        <f>[16]REKAPITULASI!B77</f>
        <v>4.9000092161699289</v>
      </c>
      <c r="C108" s="139">
        <f t="shared" si="29"/>
        <v>102.90019353956851</v>
      </c>
      <c r="D108" s="138">
        <f>[16]REKAPITULASI!D77</f>
        <v>0.16177103860991338</v>
      </c>
      <c r="E108" s="134">
        <f t="shared" si="30"/>
        <v>50.149021969073146</v>
      </c>
      <c r="F108" s="137">
        <f t="shared" si="31"/>
        <v>153.04921550864165</v>
      </c>
      <c r="G108" s="143">
        <f t="shared" si="32"/>
        <v>153049.21550864165</v>
      </c>
    </row>
    <row r="109" spans="1:7" x14ac:dyDescent="0.25">
      <c r="A109" s="89">
        <v>2030</v>
      </c>
      <c r="B109" s="136">
        <f>[16]REKAPITULASI!B78</f>
        <v>4.99603811177988</v>
      </c>
      <c r="C109" s="139">
        <f t="shared" si="29"/>
        <v>104.91680034737747</v>
      </c>
      <c r="D109" s="138">
        <f>[16]REKAPITULASI!D78</f>
        <v>0.16494137839787149</v>
      </c>
      <c r="E109" s="134">
        <f t="shared" si="30"/>
        <v>51.13182730334016</v>
      </c>
      <c r="F109" s="137">
        <f t="shared" si="31"/>
        <v>156.04862765071763</v>
      </c>
      <c r="G109" s="143">
        <f t="shared" si="32"/>
        <v>156048.62765071762</v>
      </c>
    </row>
    <row r="110" spans="1:7" x14ac:dyDescent="0.25">
      <c r="A110" s="89">
        <v>2031</v>
      </c>
      <c r="B110" s="136"/>
      <c r="C110" s="139">
        <f t="shared" si="29"/>
        <v>0</v>
      </c>
      <c r="D110" s="138"/>
      <c r="E110" s="134">
        <f t="shared" si="30"/>
        <v>0</v>
      </c>
      <c r="F110" s="137">
        <f t="shared" si="31"/>
        <v>0</v>
      </c>
      <c r="G110" s="97"/>
    </row>
  </sheetData>
  <mergeCells count="32">
    <mergeCell ref="D86:E86"/>
    <mergeCell ref="H59:H60"/>
    <mergeCell ref="I59:J59"/>
    <mergeCell ref="F86:G86"/>
    <mergeCell ref="A86:A89"/>
    <mergeCell ref="B86:C86"/>
    <mergeCell ref="B88:B89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D21" sqref="D21"/>
    </sheetView>
  </sheetViews>
  <sheetFormatPr defaultRowHeight="12.75" x14ac:dyDescent="0.25"/>
  <cols>
    <col min="1" max="2" width="9.140625" style="145"/>
    <col min="3" max="3" width="14.5703125" style="145" customWidth="1"/>
    <col min="4" max="4" width="19.140625" style="145" customWidth="1"/>
    <col min="5" max="16384" width="9.140625" style="145"/>
  </cols>
  <sheetData>
    <row r="3" spans="2:4" x14ac:dyDescent="0.25">
      <c r="B3" s="211" t="s">
        <v>11</v>
      </c>
      <c r="C3" s="211" t="s">
        <v>152</v>
      </c>
      <c r="D3" s="211"/>
    </row>
    <row r="4" spans="2:4" x14ac:dyDescent="0.25">
      <c r="B4" s="211"/>
      <c r="C4" s="146" t="s">
        <v>151</v>
      </c>
      <c r="D4" s="146" t="s">
        <v>147</v>
      </c>
    </row>
    <row r="5" spans="2:4" ht="15" x14ac:dyDescent="0.25">
      <c r="B5" s="89">
        <v>2011</v>
      </c>
      <c r="C5" s="147"/>
      <c r="D5" s="147">
        <f>(C5*21)/1000</f>
        <v>0</v>
      </c>
    </row>
    <row r="6" spans="2:4" ht="15" x14ac:dyDescent="0.25">
      <c r="B6" s="89">
        <v>2012</v>
      </c>
      <c r="C6" s="147"/>
      <c r="D6" s="147">
        <f t="shared" ref="D6:D15" si="0">(C6*21)/1000</f>
        <v>0</v>
      </c>
    </row>
    <row r="7" spans="2:4" ht="15" x14ac:dyDescent="0.25">
      <c r="B7" s="89">
        <v>2013</v>
      </c>
      <c r="C7" s="147"/>
      <c r="D7" s="147">
        <f t="shared" si="0"/>
        <v>0</v>
      </c>
    </row>
    <row r="8" spans="2:4" ht="15" x14ac:dyDescent="0.25">
      <c r="B8" s="89">
        <v>2014</v>
      </c>
      <c r="C8" s="147"/>
      <c r="D8" s="147">
        <f t="shared" si="0"/>
        <v>0</v>
      </c>
    </row>
    <row r="9" spans="2:4" ht="15" x14ac:dyDescent="0.25">
      <c r="B9" s="89">
        <v>2015</v>
      </c>
      <c r="C9" s="147"/>
      <c r="D9" s="147">
        <f t="shared" si="0"/>
        <v>0</v>
      </c>
    </row>
    <row r="10" spans="2:4" ht="15" x14ac:dyDescent="0.25">
      <c r="B10" s="89">
        <v>2016</v>
      </c>
      <c r="C10" s="147"/>
      <c r="D10" s="147">
        <f t="shared" si="0"/>
        <v>0</v>
      </c>
    </row>
    <row r="11" spans="2:4" ht="15" x14ac:dyDescent="0.25">
      <c r="B11" s="89">
        <v>2017</v>
      </c>
      <c r="C11" s="147"/>
      <c r="D11" s="147">
        <f t="shared" si="0"/>
        <v>0</v>
      </c>
    </row>
    <row r="12" spans="2:4" ht="15" x14ac:dyDescent="0.25">
      <c r="B12" s="89">
        <v>2018</v>
      </c>
      <c r="C12" s="147"/>
      <c r="D12" s="147">
        <f t="shared" si="0"/>
        <v>0</v>
      </c>
    </row>
    <row r="13" spans="2:4" ht="15" x14ac:dyDescent="0.25">
      <c r="B13" s="89">
        <v>2019</v>
      </c>
      <c r="C13" s="147"/>
      <c r="D13" s="147">
        <f t="shared" si="0"/>
        <v>0</v>
      </c>
    </row>
    <row r="14" spans="2:4" ht="15" x14ac:dyDescent="0.25">
      <c r="B14" s="89">
        <v>2020</v>
      </c>
      <c r="C14" s="147"/>
      <c r="D14" s="147">
        <f t="shared" si="0"/>
        <v>0</v>
      </c>
    </row>
    <row r="15" spans="2:4" ht="15" x14ac:dyDescent="0.25">
      <c r="B15" s="89">
        <v>2021</v>
      </c>
      <c r="C15" s="147"/>
      <c r="D15" s="147">
        <f t="shared" si="0"/>
        <v>0</v>
      </c>
    </row>
    <row r="16" spans="2:4" ht="15" x14ac:dyDescent="0.25">
      <c r="B16" s="89">
        <v>2022</v>
      </c>
      <c r="C16" s="147"/>
      <c r="D16" s="147">
        <f t="shared" ref="D16:D25" si="1">(C16*21)/1000</f>
        <v>0</v>
      </c>
    </row>
    <row r="17" spans="2:4" ht="15" x14ac:dyDescent="0.25">
      <c r="B17" s="89">
        <v>2023</v>
      </c>
      <c r="C17" s="147"/>
      <c r="D17" s="147">
        <f t="shared" si="1"/>
        <v>0</v>
      </c>
    </row>
    <row r="18" spans="2:4" ht="15" x14ac:dyDescent="0.25">
      <c r="B18" s="89">
        <v>2024</v>
      </c>
      <c r="C18" s="147"/>
      <c r="D18" s="147">
        <f t="shared" si="1"/>
        <v>0</v>
      </c>
    </row>
    <row r="19" spans="2:4" ht="15" x14ac:dyDescent="0.25">
      <c r="B19" s="89">
        <v>2025</v>
      </c>
      <c r="C19" s="147"/>
      <c r="D19" s="147">
        <f t="shared" si="1"/>
        <v>0</v>
      </c>
    </row>
    <row r="20" spans="2:4" ht="15" x14ac:dyDescent="0.25">
      <c r="B20" s="89">
        <v>2026</v>
      </c>
      <c r="C20" s="147"/>
      <c r="D20" s="147">
        <f t="shared" si="1"/>
        <v>0</v>
      </c>
    </row>
    <row r="21" spans="2:4" ht="15" x14ac:dyDescent="0.25">
      <c r="B21" s="89">
        <v>2027</v>
      </c>
      <c r="C21" s="147"/>
      <c r="D21" s="147">
        <f t="shared" si="1"/>
        <v>0</v>
      </c>
    </row>
    <row r="22" spans="2:4" ht="15" x14ac:dyDescent="0.25">
      <c r="B22" s="89">
        <v>2028</v>
      </c>
      <c r="C22" s="147"/>
      <c r="D22" s="147">
        <f t="shared" si="1"/>
        <v>0</v>
      </c>
    </row>
    <row r="23" spans="2:4" ht="15" x14ac:dyDescent="0.25">
      <c r="B23" s="89">
        <v>2029</v>
      </c>
      <c r="C23" s="147"/>
      <c r="D23" s="147">
        <f t="shared" si="1"/>
        <v>0</v>
      </c>
    </row>
    <row r="24" spans="2:4" ht="15" x14ac:dyDescent="0.25">
      <c r="B24" s="89">
        <v>2030</v>
      </c>
      <c r="C24" s="147"/>
      <c r="D24" s="147">
        <f t="shared" si="1"/>
        <v>0</v>
      </c>
    </row>
    <row r="25" spans="2:4" ht="15" x14ac:dyDescent="0.25">
      <c r="B25" s="89">
        <v>2031</v>
      </c>
      <c r="C25" s="147"/>
      <c r="D25" s="147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18" t="s">
        <v>54</v>
      </c>
      <c r="E5" s="218"/>
      <c r="F5" s="219" t="s">
        <v>64</v>
      </c>
      <c r="G5" s="219"/>
      <c r="H5" s="219"/>
      <c r="I5" s="219"/>
    </row>
    <row r="6" spans="1:9" s="20" customFormat="1" ht="16.5" customHeight="1" x14ac:dyDescent="0.25">
      <c r="A6" s="235" t="s">
        <v>48</v>
      </c>
      <c r="B6" s="235" t="s">
        <v>50</v>
      </c>
      <c r="C6" s="236"/>
      <c r="D6" s="225" t="s">
        <v>70</v>
      </c>
      <c r="E6" s="225"/>
      <c r="F6" s="220" t="s">
        <v>56</v>
      </c>
      <c r="G6" s="220"/>
      <c r="H6" s="220"/>
      <c r="I6" s="220"/>
    </row>
    <row r="7" spans="1:9" s="20" customFormat="1" ht="29.25" customHeight="1" x14ac:dyDescent="0.25">
      <c r="A7" s="235"/>
      <c r="B7" s="235"/>
      <c r="C7" s="236"/>
      <c r="D7" s="225"/>
      <c r="E7" s="225"/>
      <c r="F7" s="220" t="s">
        <v>57</v>
      </c>
      <c r="G7" s="220"/>
      <c r="H7" s="220"/>
      <c r="I7" s="220"/>
    </row>
    <row r="8" spans="1:9" s="20" customFormat="1" ht="51" customHeight="1" x14ac:dyDescent="0.25">
      <c r="A8" s="235"/>
      <c r="B8" s="29" t="s">
        <v>59</v>
      </c>
      <c r="C8" s="22"/>
      <c r="D8" s="225" t="s">
        <v>58</v>
      </c>
      <c r="E8" s="225"/>
      <c r="F8" s="220" t="s">
        <v>61</v>
      </c>
      <c r="G8" s="220"/>
      <c r="H8" s="220"/>
      <c r="I8" s="220"/>
    </row>
    <row r="9" spans="1:9" s="20" customFormat="1" ht="31.5" customHeight="1" x14ac:dyDescent="0.25">
      <c r="A9" s="235"/>
      <c r="B9" s="224" t="s">
        <v>51</v>
      </c>
      <c r="C9" s="22"/>
      <c r="D9" s="225" t="s">
        <v>60</v>
      </c>
      <c r="E9" s="225"/>
      <c r="F9" s="232" t="s">
        <v>66</v>
      </c>
      <c r="G9" s="233"/>
      <c r="H9" s="233"/>
      <c r="I9" s="234"/>
    </row>
    <row r="10" spans="1:9" s="20" customFormat="1" ht="20.25" customHeight="1" x14ac:dyDescent="0.25">
      <c r="A10" s="235"/>
      <c r="B10" s="224"/>
      <c r="C10" s="22"/>
      <c r="D10" s="225"/>
      <c r="E10" s="225"/>
      <c r="F10" s="220" t="s">
        <v>62</v>
      </c>
      <c r="G10" s="220"/>
      <c r="H10" s="220"/>
      <c r="I10" s="220"/>
    </row>
    <row r="11" spans="1:9" s="20" customFormat="1" ht="17.25" customHeight="1" x14ac:dyDescent="0.25">
      <c r="A11" s="235"/>
      <c r="B11" s="224"/>
      <c r="C11" s="22"/>
      <c r="D11" s="225"/>
      <c r="E11" s="225"/>
      <c r="F11" s="220" t="s">
        <v>63</v>
      </c>
      <c r="G11" s="220"/>
      <c r="H11" s="220"/>
      <c r="I11" s="220"/>
    </row>
    <row r="12" spans="1:9" s="20" customFormat="1" ht="60" customHeight="1" x14ac:dyDescent="0.25">
      <c r="A12" s="235" t="s">
        <v>49</v>
      </c>
      <c r="B12" s="27" t="s">
        <v>52</v>
      </c>
      <c r="C12" s="23"/>
      <c r="D12" s="24"/>
      <c r="E12" s="22"/>
      <c r="F12" s="226" t="s">
        <v>67</v>
      </c>
      <c r="G12" s="227"/>
      <c r="H12" s="227"/>
      <c r="I12" s="228"/>
    </row>
    <row r="13" spans="1:9" s="20" customFormat="1" ht="30" x14ac:dyDescent="0.25">
      <c r="A13" s="235"/>
      <c r="B13" s="28" t="s">
        <v>53</v>
      </c>
      <c r="C13" s="23"/>
      <c r="D13" s="24"/>
      <c r="E13" s="22"/>
      <c r="F13" s="229"/>
      <c r="G13" s="230"/>
      <c r="H13" s="230"/>
      <c r="I13" s="231"/>
    </row>
    <row r="18" spans="1:22" ht="21" x14ac:dyDescent="0.35">
      <c r="A18" s="237" t="s">
        <v>74</v>
      </c>
      <c r="B18" s="237"/>
      <c r="C18" s="237"/>
      <c r="D18" s="237"/>
      <c r="E18" s="237"/>
      <c r="F18" s="237"/>
      <c r="G18" s="237"/>
      <c r="H18" s="237"/>
      <c r="I18" s="237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21" t="s">
        <v>8</v>
      </c>
      <c r="B21" s="222" t="s">
        <v>40</v>
      </c>
      <c r="C21" s="222"/>
      <c r="D21" s="222"/>
      <c r="E21" s="222"/>
      <c r="F21" s="222"/>
      <c r="G21" s="222"/>
      <c r="H21" s="222"/>
      <c r="I21" s="223"/>
      <c r="K21" t="s">
        <v>22</v>
      </c>
      <c r="L21" t="s">
        <v>25</v>
      </c>
    </row>
    <row r="22" spans="1:22" ht="38.25" x14ac:dyDescent="0.25">
      <c r="A22" s="22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23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43" t="s">
        <v>71</v>
      </c>
      <c r="C24" s="35">
        <v>0</v>
      </c>
      <c r="D24" s="243" t="s">
        <v>73</v>
      </c>
      <c r="E24" s="243" t="s">
        <v>79</v>
      </c>
      <c r="F24" s="243"/>
      <c r="G24" s="243"/>
      <c r="H24" s="243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43"/>
      <c r="C25" s="35">
        <v>0</v>
      </c>
      <c r="D25" s="243"/>
      <c r="E25" s="243"/>
      <c r="F25" s="243"/>
      <c r="G25" s="243"/>
      <c r="H25" s="243"/>
      <c r="I25" s="34"/>
      <c r="K25" t="s">
        <v>27</v>
      </c>
      <c r="L25" s="241">
        <v>1000</v>
      </c>
      <c r="M25" s="241"/>
      <c r="N25" s="241"/>
      <c r="O25" s="8" t="s">
        <v>28</v>
      </c>
      <c r="R25" s="242">
        <f>L25*1000/365</f>
        <v>2739.7260273972602</v>
      </c>
      <c r="S25" s="242"/>
      <c r="T25" s="242"/>
      <c r="U25" s="11" t="s">
        <v>45</v>
      </c>
    </row>
    <row r="26" spans="1:22" x14ac:dyDescent="0.25">
      <c r="A26" s="2">
        <v>2013</v>
      </c>
      <c r="B26" s="243"/>
      <c r="C26" s="35">
        <v>0</v>
      </c>
      <c r="D26" s="243"/>
      <c r="E26" s="243"/>
      <c r="F26" s="243"/>
      <c r="G26" s="243"/>
      <c r="H26" s="243"/>
      <c r="I26" s="34"/>
      <c r="K26" t="s">
        <v>29</v>
      </c>
      <c r="L26" s="241">
        <v>3000</v>
      </c>
      <c r="M26" s="241"/>
      <c r="N26" s="241"/>
      <c r="O26" s="8" t="s">
        <v>28</v>
      </c>
    </row>
    <row r="27" spans="1:22" x14ac:dyDescent="0.25">
      <c r="A27" s="2">
        <v>2014</v>
      </c>
      <c r="B27" s="243"/>
      <c r="C27" s="35">
        <v>0</v>
      </c>
      <c r="D27" s="243"/>
      <c r="E27" s="243"/>
      <c r="F27" s="243"/>
      <c r="G27" s="243"/>
      <c r="H27" s="243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43"/>
      <c r="C28" s="35">
        <v>0</v>
      </c>
      <c r="D28" s="243"/>
      <c r="E28" s="243"/>
      <c r="F28" s="243"/>
      <c r="G28" s="243"/>
      <c r="H28" s="243"/>
      <c r="I28" s="34"/>
    </row>
    <row r="29" spans="1:22" x14ac:dyDescent="0.25">
      <c r="A29" s="2">
        <v>2016</v>
      </c>
      <c r="B29" s="243"/>
      <c r="C29" s="35">
        <v>0</v>
      </c>
      <c r="D29" s="243"/>
      <c r="E29" s="243"/>
      <c r="F29" s="243"/>
      <c r="G29" s="243"/>
      <c r="H29" s="243"/>
      <c r="I29" s="34"/>
    </row>
    <row r="30" spans="1:22" x14ac:dyDescent="0.25">
      <c r="A30" s="2">
        <v>2017</v>
      </c>
      <c r="B30" s="243"/>
      <c r="C30" s="35">
        <v>0</v>
      </c>
      <c r="D30" s="243"/>
      <c r="E30" s="243"/>
      <c r="F30" s="243"/>
      <c r="G30" s="243"/>
      <c r="H30" s="243"/>
      <c r="I30" s="34"/>
    </row>
    <row r="31" spans="1:22" ht="25.5" x14ac:dyDescent="0.25">
      <c r="A31" s="2">
        <v>2018</v>
      </c>
      <c r="B31" s="243"/>
      <c r="C31" s="35">
        <v>0</v>
      </c>
      <c r="D31" s="243"/>
      <c r="E31" s="243"/>
      <c r="F31" s="243"/>
      <c r="G31" s="243"/>
      <c r="H31" s="243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43"/>
      <c r="C32" s="35">
        <v>0</v>
      </c>
      <c r="D32" s="243"/>
      <c r="E32" s="243"/>
      <c r="F32" s="243"/>
      <c r="G32" s="243"/>
      <c r="H32" s="243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43"/>
      <c r="C33" s="35">
        <v>0</v>
      </c>
      <c r="D33" s="243"/>
      <c r="E33" s="243"/>
      <c r="F33" s="243"/>
      <c r="G33" s="243"/>
      <c r="H33" s="243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21" t="s">
        <v>8</v>
      </c>
      <c r="B37" s="244" t="s">
        <v>78</v>
      </c>
      <c r="C37" s="245"/>
      <c r="D37" s="245"/>
      <c r="E37" s="245"/>
      <c r="F37" s="245"/>
      <c r="G37" s="245"/>
      <c r="H37" s="246"/>
      <c r="I37" s="239" t="s">
        <v>40</v>
      </c>
    </row>
    <row r="38" spans="1:20" ht="38.25" x14ac:dyDescent="0.25">
      <c r="A38" s="22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40"/>
    </row>
    <row r="39" spans="1:20" x14ac:dyDescent="0.25">
      <c r="A39" s="2">
        <v>2010</v>
      </c>
      <c r="B39" s="212" t="s">
        <v>75</v>
      </c>
      <c r="C39" s="212" t="s">
        <v>76</v>
      </c>
      <c r="D39" s="212" t="s">
        <v>75</v>
      </c>
      <c r="E39" s="212" t="s">
        <v>76</v>
      </c>
      <c r="F39" s="212" t="s">
        <v>76</v>
      </c>
      <c r="G39" s="212" t="s">
        <v>76</v>
      </c>
      <c r="H39" s="212" t="s">
        <v>76</v>
      </c>
      <c r="I39" s="14">
        <f>'timbulan sampah'!E5</f>
        <v>689.03207999999995</v>
      </c>
    </row>
    <row r="40" spans="1:20" x14ac:dyDescent="0.25">
      <c r="A40" s="2">
        <v>2011</v>
      </c>
      <c r="B40" s="213"/>
      <c r="C40" s="213"/>
      <c r="D40" s="213"/>
      <c r="E40" s="213"/>
      <c r="F40" s="213"/>
      <c r="G40" s="213"/>
      <c r="H40" s="213"/>
      <c r="I40" s="14">
        <f>'timbulan sampah'!E6</f>
        <v>703.93312000000003</v>
      </c>
      <c r="K40" t="s">
        <v>20</v>
      </c>
      <c r="O40" s="8" t="s">
        <v>21</v>
      </c>
    </row>
    <row r="41" spans="1:20" x14ac:dyDescent="0.25">
      <c r="A41" s="2">
        <v>2012</v>
      </c>
      <c r="B41" s="213"/>
      <c r="C41" s="213"/>
      <c r="D41" s="213"/>
      <c r="E41" s="213"/>
      <c r="F41" s="213"/>
      <c r="G41" s="213"/>
      <c r="H41" s="213"/>
      <c r="I41" s="14">
        <f>'timbulan sampah'!E7</f>
        <v>720.68568000000005</v>
      </c>
      <c r="K41" t="s">
        <v>23</v>
      </c>
      <c r="O41" s="8" t="s">
        <v>24</v>
      </c>
    </row>
    <row r="42" spans="1:20" x14ac:dyDescent="0.25">
      <c r="A42" s="2">
        <v>2013</v>
      </c>
      <c r="B42" s="213"/>
      <c r="C42" s="213"/>
      <c r="D42" s="213"/>
      <c r="E42" s="213"/>
      <c r="F42" s="213"/>
      <c r="G42" s="213"/>
      <c r="H42" s="213"/>
      <c r="I42" s="14">
        <f>'timbulan sampah'!E8</f>
        <v>737.31504000000007</v>
      </c>
    </row>
    <row r="43" spans="1:20" x14ac:dyDescent="0.25">
      <c r="A43" s="2">
        <v>2014</v>
      </c>
      <c r="B43" s="213"/>
      <c r="C43" s="213"/>
      <c r="D43" s="213"/>
      <c r="E43" s="213"/>
      <c r="F43" s="213"/>
      <c r="G43" s="213"/>
      <c r="H43" s="213"/>
      <c r="I43" s="14">
        <f>'timbulan sampah'!E9</f>
        <v>753.86036000000001</v>
      </c>
    </row>
    <row r="44" spans="1:20" x14ac:dyDescent="0.25">
      <c r="A44" s="2">
        <v>2015</v>
      </c>
      <c r="B44" s="213"/>
      <c r="C44" s="213"/>
      <c r="D44" s="213"/>
      <c r="E44" s="213"/>
      <c r="F44" s="213"/>
      <c r="G44" s="213"/>
      <c r="H44" s="213"/>
      <c r="I44" s="14">
        <f>'timbulan sampah'!E10</f>
        <v>770.27104000000008</v>
      </c>
    </row>
    <row r="45" spans="1:20" x14ac:dyDescent="0.25">
      <c r="A45" s="2">
        <v>2016</v>
      </c>
      <c r="B45" s="213"/>
      <c r="C45" s="213"/>
      <c r="D45" s="213"/>
      <c r="E45" s="213"/>
      <c r="F45" s="213"/>
      <c r="G45" s="213"/>
      <c r="H45" s="213"/>
      <c r="I45" s="14">
        <f>'timbulan sampah'!E11</f>
        <v>791.57084380000003</v>
      </c>
    </row>
    <row r="46" spans="1:20" x14ac:dyDescent="0.25">
      <c r="A46" s="2">
        <v>2017</v>
      </c>
      <c r="B46" s="213"/>
      <c r="C46" s="213"/>
      <c r="D46" s="213"/>
      <c r="E46" s="213"/>
      <c r="F46" s="213"/>
      <c r="G46" s="213"/>
      <c r="H46" s="213"/>
      <c r="I46" s="14">
        <f>'timbulan sampah'!E12</f>
        <v>811.79291820000003</v>
      </c>
    </row>
    <row r="47" spans="1:20" x14ac:dyDescent="0.25">
      <c r="A47" s="2">
        <v>2018</v>
      </c>
      <c r="B47" s="213"/>
      <c r="C47" s="213"/>
      <c r="D47" s="213"/>
      <c r="E47" s="213"/>
      <c r="F47" s="213"/>
      <c r="G47" s="213"/>
      <c r="H47" s="213"/>
      <c r="I47" s="14">
        <f>'timbulan sampah'!E13</f>
        <v>832.01499260000003</v>
      </c>
    </row>
    <row r="48" spans="1:20" x14ac:dyDescent="0.25">
      <c r="A48" s="2">
        <v>2019</v>
      </c>
      <c r="B48" s="213"/>
      <c r="C48" s="213"/>
      <c r="D48" s="213"/>
      <c r="E48" s="213"/>
      <c r="F48" s="213"/>
      <c r="G48" s="213"/>
      <c r="H48" s="213"/>
      <c r="I48" s="14">
        <f>'timbulan sampah'!E14</f>
        <v>852.23706700000002</v>
      </c>
    </row>
    <row r="49" spans="1:21" x14ac:dyDescent="0.25">
      <c r="A49" s="2">
        <v>2020</v>
      </c>
      <c r="B49" s="214"/>
      <c r="C49" s="214"/>
      <c r="D49" s="214"/>
      <c r="E49" s="214"/>
      <c r="F49" s="214"/>
      <c r="G49" s="214"/>
      <c r="H49" s="214"/>
      <c r="I49" s="14">
        <f>'timbulan sampah'!E15</f>
        <v>872.45914139999991</v>
      </c>
    </row>
    <row r="52" spans="1:21" x14ac:dyDescent="0.25">
      <c r="A52" s="221" t="s">
        <v>8</v>
      </c>
      <c r="B52" s="238" t="s">
        <v>0</v>
      </c>
      <c r="C52" s="238"/>
      <c r="D52" s="238"/>
      <c r="E52" s="238"/>
      <c r="F52" s="238"/>
      <c r="G52" s="238"/>
      <c r="H52" s="238"/>
      <c r="I52" s="239" t="s">
        <v>10</v>
      </c>
    </row>
    <row r="53" spans="1:21" ht="42.75" customHeight="1" x14ac:dyDescent="0.25">
      <c r="A53" s="221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40"/>
    </row>
    <row r="54" spans="1:21" ht="17.25" customHeight="1" x14ac:dyDescent="0.25">
      <c r="A54" s="2">
        <v>2010</v>
      </c>
      <c r="B54" s="215" t="s">
        <v>77</v>
      </c>
      <c r="C54" s="215" t="s">
        <v>77</v>
      </c>
      <c r="D54" s="215" t="s">
        <v>77</v>
      </c>
      <c r="E54" s="215" t="s">
        <v>77</v>
      </c>
      <c r="F54" s="215" t="s">
        <v>77</v>
      </c>
      <c r="G54" s="215" t="s">
        <v>77</v>
      </c>
      <c r="H54" s="215" t="s">
        <v>77</v>
      </c>
      <c r="I54" s="3">
        <v>1</v>
      </c>
    </row>
    <row r="55" spans="1:21" x14ac:dyDescent="0.25">
      <c r="A55" s="2">
        <v>2011</v>
      </c>
      <c r="B55" s="216"/>
      <c r="C55" s="216"/>
      <c r="D55" s="216"/>
      <c r="E55" s="216"/>
      <c r="F55" s="216"/>
      <c r="G55" s="216"/>
      <c r="H55" s="216"/>
      <c r="I55" s="3">
        <v>1</v>
      </c>
    </row>
    <row r="56" spans="1:21" x14ac:dyDescent="0.25">
      <c r="A56" s="2">
        <v>2012</v>
      </c>
      <c r="B56" s="216"/>
      <c r="C56" s="216"/>
      <c r="D56" s="216"/>
      <c r="E56" s="216"/>
      <c r="F56" s="216"/>
      <c r="G56" s="216"/>
      <c r="H56" s="216"/>
      <c r="I56" s="3">
        <v>1</v>
      </c>
    </row>
    <row r="57" spans="1:21" x14ac:dyDescent="0.25">
      <c r="A57" s="2">
        <v>2013</v>
      </c>
      <c r="B57" s="216"/>
      <c r="C57" s="216"/>
      <c r="D57" s="216"/>
      <c r="E57" s="216"/>
      <c r="F57" s="216"/>
      <c r="G57" s="216"/>
      <c r="H57" s="216"/>
      <c r="I57" s="3">
        <v>1</v>
      </c>
    </row>
    <row r="58" spans="1:21" x14ac:dyDescent="0.25">
      <c r="A58" s="2">
        <v>2014</v>
      </c>
      <c r="B58" s="216"/>
      <c r="C58" s="216"/>
      <c r="D58" s="216"/>
      <c r="E58" s="216"/>
      <c r="F58" s="216"/>
      <c r="G58" s="216"/>
      <c r="H58" s="216"/>
      <c r="I58" s="3">
        <v>1</v>
      </c>
    </row>
    <row r="59" spans="1:21" x14ac:dyDescent="0.25">
      <c r="A59" s="2">
        <v>2015</v>
      </c>
      <c r="B59" s="216"/>
      <c r="C59" s="216"/>
      <c r="D59" s="216"/>
      <c r="E59" s="216"/>
      <c r="F59" s="216"/>
      <c r="G59" s="216"/>
      <c r="H59" s="216"/>
      <c r="I59" s="3">
        <v>1</v>
      </c>
    </row>
    <row r="60" spans="1:21" x14ac:dyDescent="0.25">
      <c r="A60" s="2">
        <v>2016</v>
      </c>
      <c r="B60" s="216"/>
      <c r="C60" s="216"/>
      <c r="D60" s="216"/>
      <c r="E60" s="216"/>
      <c r="F60" s="216"/>
      <c r="G60" s="216"/>
      <c r="H60" s="216"/>
      <c r="I60" s="3">
        <v>1</v>
      </c>
    </row>
    <row r="61" spans="1:21" x14ac:dyDescent="0.25">
      <c r="A61" s="2">
        <v>2017</v>
      </c>
      <c r="B61" s="216"/>
      <c r="C61" s="216"/>
      <c r="D61" s="216"/>
      <c r="E61" s="216"/>
      <c r="F61" s="216"/>
      <c r="G61" s="216"/>
      <c r="H61" s="216"/>
      <c r="I61" s="3">
        <v>1</v>
      </c>
    </row>
    <row r="62" spans="1:21" x14ac:dyDescent="0.25">
      <c r="A62" s="2">
        <v>2018</v>
      </c>
      <c r="B62" s="216"/>
      <c r="C62" s="216"/>
      <c r="D62" s="216"/>
      <c r="E62" s="216"/>
      <c r="F62" s="216"/>
      <c r="G62" s="216"/>
      <c r="H62" s="216"/>
      <c r="I62" s="3">
        <v>1</v>
      </c>
    </row>
    <row r="63" spans="1:21" x14ac:dyDescent="0.25">
      <c r="A63" s="2">
        <v>2019</v>
      </c>
      <c r="B63" s="216"/>
      <c r="C63" s="216"/>
      <c r="D63" s="216"/>
      <c r="E63" s="216"/>
      <c r="F63" s="216"/>
      <c r="G63" s="216"/>
      <c r="H63" s="216"/>
      <c r="I63" s="3">
        <v>1</v>
      </c>
      <c r="U63" s="4"/>
    </row>
    <row r="64" spans="1:21" x14ac:dyDescent="0.25">
      <c r="A64" s="2">
        <v>2020</v>
      </c>
      <c r="B64" s="217"/>
      <c r="C64" s="217"/>
      <c r="D64" s="217"/>
      <c r="E64" s="217"/>
      <c r="F64" s="217"/>
      <c r="G64" s="217"/>
      <c r="H64" s="217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62" t="s">
        <v>11</v>
      </c>
      <c r="B6" s="263" t="s">
        <v>110</v>
      </c>
      <c r="C6" s="263"/>
      <c r="D6" s="263"/>
      <c r="E6" s="71" t="s">
        <v>114</v>
      </c>
      <c r="F6" s="262" t="s">
        <v>11</v>
      </c>
      <c r="G6" s="263" t="s">
        <v>111</v>
      </c>
      <c r="H6" s="263"/>
      <c r="I6" s="263"/>
      <c r="J6" s="72" t="s">
        <v>115</v>
      </c>
      <c r="K6" s="262" t="s">
        <v>11</v>
      </c>
      <c r="L6" s="263" t="s">
        <v>112</v>
      </c>
      <c r="M6" s="263"/>
      <c r="N6" s="263"/>
      <c r="O6" s="72" t="s">
        <v>115</v>
      </c>
      <c r="P6" s="262" t="s">
        <v>11</v>
      </c>
      <c r="Q6" s="263" t="s">
        <v>113</v>
      </c>
      <c r="R6" s="263"/>
      <c r="S6" s="263"/>
    </row>
    <row r="7" spans="1:19" x14ac:dyDescent="0.25">
      <c r="A7" s="262"/>
      <c r="B7" s="262" t="s">
        <v>82</v>
      </c>
      <c r="C7" s="262"/>
      <c r="D7" s="263" t="s">
        <v>84</v>
      </c>
      <c r="E7" s="69"/>
      <c r="F7" s="262"/>
      <c r="G7" s="262" t="s">
        <v>82</v>
      </c>
      <c r="H7" s="262"/>
      <c r="I7" s="263" t="s">
        <v>84</v>
      </c>
      <c r="K7" s="262"/>
      <c r="L7" s="262" t="s">
        <v>82</v>
      </c>
      <c r="M7" s="262"/>
      <c r="N7" s="263" t="s">
        <v>84</v>
      </c>
      <c r="P7" s="262"/>
      <c r="Q7" s="262" t="s">
        <v>82</v>
      </c>
      <c r="R7" s="262"/>
      <c r="S7" s="263" t="s">
        <v>84</v>
      </c>
    </row>
    <row r="8" spans="1:19" x14ac:dyDescent="0.25">
      <c r="A8" s="262"/>
      <c r="B8" s="74" t="s">
        <v>85</v>
      </c>
      <c r="C8" s="74" t="s">
        <v>86</v>
      </c>
      <c r="D8" s="263"/>
      <c r="E8" s="6"/>
      <c r="F8" s="262"/>
      <c r="G8" s="74" t="s">
        <v>85</v>
      </c>
      <c r="H8" s="74" t="s">
        <v>86</v>
      </c>
      <c r="I8" s="263"/>
      <c r="K8" s="262"/>
      <c r="L8" s="74" t="s">
        <v>85</v>
      </c>
      <c r="M8" s="74" t="s">
        <v>86</v>
      </c>
      <c r="N8" s="263"/>
      <c r="P8" s="262"/>
      <c r="Q8" s="74" t="s">
        <v>85</v>
      </c>
      <c r="R8" s="74" t="s">
        <v>86</v>
      </c>
      <c r="S8" s="263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53" t="s">
        <v>11</v>
      </c>
      <c r="B23" s="255" t="s">
        <v>81</v>
      </c>
      <c r="C23" s="256"/>
      <c r="D23" s="256"/>
      <c r="E23" s="256"/>
      <c r="F23" s="257"/>
      <c r="K23" t="s">
        <v>121</v>
      </c>
      <c r="L23">
        <v>280</v>
      </c>
      <c r="M23" t="s">
        <v>123</v>
      </c>
    </row>
    <row r="24" spans="1:19" ht="15.75" thickBot="1" x14ac:dyDescent="0.3">
      <c r="A24" s="254"/>
      <c r="B24" s="255" t="s">
        <v>82</v>
      </c>
      <c r="C24" s="257"/>
      <c r="D24" s="255" t="s">
        <v>83</v>
      </c>
      <c r="E24" s="257"/>
      <c r="F24" s="258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54"/>
      <c r="B25" s="36" t="s">
        <v>85</v>
      </c>
      <c r="C25" s="36" t="s">
        <v>86</v>
      </c>
      <c r="D25" s="36" t="s">
        <v>87</v>
      </c>
      <c r="E25" s="36" t="s">
        <v>86</v>
      </c>
      <c r="F25" s="259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60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61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61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'[16]4C2_CO2_OpenBurning'!M14</f>
        <v>7.7937403810658097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'[16]4C2_CO2_OpenBurning'!M15</f>
        <v>7.9792197961531786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'[16]4C2_CO2_OpenBurning'!M16</f>
        <v>8.1633351770906213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'[16]4C2_CO2_OpenBurning'!M17</f>
        <v>8.3465200918757869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'[16]4C2_CO2_OpenBurning'!M18</f>
        <v>8.5282143121970968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'[16]4C2_CO2_OpenBurning'!M19</f>
        <v>8.7640394726680793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'[16]4C2_CO2_OpenBurning'!M20</f>
        <v>8.9879323303307466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'[16]4C2_CO2_OpenBurning'!M21</f>
        <v>9.2118251879934139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'[16]4C2_CO2_OpenBurning'!M22</f>
        <v>9.4357180456560794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'[16]4C2_CO2_OpenBurning'!M23</f>
        <v>9.6596109033187485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'[16]4C2_CO2_OpenBurning'!M24</f>
        <v>9.8835037609814158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47" t="s">
        <v>11</v>
      </c>
      <c r="B58" s="249" t="s">
        <v>93</v>
      </c>
      <c r="C58" s="250"/>
      <c r="D58" s="53" t="s">
        <v>94</v>
      </c>
      <c r="E58" s="54"/>
      <c r="F58" s="55" t="s">
        <v>95</v>
      </c>
    </row>
    <row r="59" spans="1:6" ht="63.75" thickBot="1" x14ac:dyDescent="0.3">
      <c r="A59" s="248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8"/>
      <c r="B60" s="251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8"/>
      <c r="B61" s="252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2017-10-16T13:53:09Z</dcterms:modified>
</cp:coreProperties>
</file>