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Balikpapan\"/>
    </mc:Choice>
  </mc:AlternateContent>
  <bookViews>
    <workbookView xWindow="360" yWindow="45" windowWidth="21015" windowHeight="9975" tabRatio="843" activeTab="4"/>
  </bookViews>
  <sheets>
    <sheet name="timbulan sampah" sheetId="4" r:id="rId1"/>
    <sheet name="Fraksi pengelolaan sampah BaU" sheetId="1" r:id="rId2"/>
    <sheet name="Sheet1" sheetId="7" r:id="rId3"/>
    <sheet name="Rekapitulasi BaU Emisi GRK" sheetId="3" r:id="rId4"/>
    <sheet name="Rekap BAU Emisi Industri Sawitt" sheetId="6" r:id="rId5"/>
    <sheet name="Frksi pengelolaan smph Mitigasi" sheetId="2" state="hidden" r:id="rId6"/>
    <sheet name="Rekaptlasi Mitigasi Emisi GRK" sheetId="5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calcPr calcId="152511"/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11" i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12" i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13" i="1"/>
  <c r="F26" i="1"/>
  <c r="E26" i="1"/>
  <c r="I81" i="3" l="1"/>
  <c r="I7" i="1" l="1"/>
  <c r="I8" i="1"/>
  <c r="I9" i="1"/>
  <c r="I10" i="1"/>
  <c r="I25" i="1"/>
  <c r="I6" i="1"/>
  <c r="E13" i="1" l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C13" i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E12" i="1"/>
  <c r="D26" i="1"/>
  <c r="C12" i="1"/>
  <c r="C11" i="1"/>
  <c r="C10" i="1"/>
  <c r="C9" i="1"/>
  <c r="C8" i="1"/>
  <c r="C7" i="1"/>
  <c r="C6" i="1"/>
  <c r="B26" i="1" l="1"/>
  <c r="G26" i="1" l="1"/>
  <c r="D12" i="1"/>
  <c r="C26" i="1"/>
  <c r="H26" i="1" l="1"/>
  <c r="Q28" i="3" l="1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B6" i="4" l="1"/>
  <c r="D6" i="4" s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5" i="4"/>
  <c r="D5" i="4" l="1"/>
  <c r="E5" i="4" s="1"/>
  <c r="I29" i="1" s="1"/>
  <c r="D16" i="6"/>
  <c r="D17" i="6"/>
  <c r="D18" i="6"/>
  <c r="D19" i="6"/>
  <c r="D20" i="6"/>
  <c r="D21" i="6"/>
  <c r="D22" i="6"/>
  <c r="D23" i="6"/>
  <c r="D24" i="6"/>
  <c r="D25" i="6"/>
  <c r="J81" i="3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/>
  <c r="M29" i="3"/>
  <c r="N29" i="3"/>
  <c r="H29" i="3"/>
  <c r="I29" i="3"/>
  <c r="C29" i="3"/>
  <c r="D29" i="3"/>
  <c r="G29" i="1" l="1"/>
  <c r="H29" i="1"/>
  <c r="F29" i="1"/>
  <c r="B29" i="1"/>
  <c r="B50" i="1" s="1"/>
  <c r="D6" i="6"/>
  <c r="D7" i="6"/>
  <c r="D8" i="6"/>
  <c r="D9" i="6"/>
  <c r="D10" i="6"/>
  <c r="D11" i="6"/>
  <c r="D12" i="6"/>
  <c r="D13" i="6"/>
  <c r="D14" i="6"/>
  <c r="D15" i="6"/>
  <c r="D5" i="6"/>
  <c r="E110" i="3" l="1"/>
  <c r="C110" i="3"/>
  <c r="F110" i="3" l="1"/>
  <c r="E81" i="3" l="1"/>
  <c r="C81" i="3"/>
  <c r="F81" i="3" s="1"/>
  <c r="C55" i="3"/>
  <c r="E55" i="3"/>
  <c r="F55" i="3" l="1"/>
  <c r="D16" i="4" l="1"/>
  <c r="E16" i="4" s="1"/>
  <c r="I40" i="1" s="1"/>
  <c r="D17" i="4"/>
  <c r="E17" i="4" s="1"/>
  <c r="I41" i="1" s="1"/>
  <c r="D18" i="4"/>
  <c r="E18" i="4" s="1"/>
  <c r="I42" i="1" s="1"/>
  <c r="D19" i="4"/>
  <c r="E19" i="4" s="1"/>
  <c r="I43" i="1" s="1"/>
  <c r="D20" i="4"/>
  <c r="E20" i="4" s="1"/>
  <c r="I44" i="1" s="1"/>
  <c r="D21" i="4"/>
  <c r="E21" i="4" s="1"/>
  <c r="I45" i="1" s="1"/>
  <c r="D22" i="4"/>
  <c r="E22" i="4" s="1"/>
  <c r="I46" i="1" s="1"/>
  <c r="D23" i="4"/>
  <c r="E23" i="4" s="1"/>
  <c r="I47" i="1" s="1"/>
  <c r="D24" i="4"/>
  <c r="E24" i="4" s="1"/>
  <c r="I48" i="1" s="1"/>
  <c r="G41" i="1" l="1"/>
  <c r="F41" i="1"/>
  <c r="B41" i="1" s="1"/>
  <c r="B62" i="1" s="1"/>
  <c r="G48" i="1"/>
  <c r="F48" i="1"/>
  <c r="B48" i="1" s="1"/>
  <c r="B69" i="1" s="1"/>
  <c r="G47" i="1"/>
  <c r="F47" i="1"/>
  <c r="B47" i="1" s="1"/>
  <c r="B68" i="1" s="1"/>
  <c r="G44" i="1"/>
  <c r="F44" i="1"/>
  <c r="B44" i="1" s="1"/>
  <c r="B65" i="1" s="1"/>
  <c r="G43" i="1"/>
  <c r="F43" i="1"/>
  <c r="B43" i="1" s="1"/>
  <c r="B64" i="1" s="1"/>
  <c r="F40" i="1"/>
  <c r="B40" i="1" s="1"/>
  <c r="B61" i="1" s="1"/>
  <c r="G46" i="1"/>
  <c r="F46" i="1"/>
  <c r="B46" i="1" s="1"/>
  <c r="B67" i="1" s="1"/>
  <c r="G45" i="1"/>
  <c r="F45" i="1"/>
  <c r="B45" i="1" s="1"/>
  <c r="B66" i="1" s="1"/>
  <c r="G42" i="1"/>
  <c r="F42" i="1"/>
  <c r="B42" i="1" s="1"/>
  <c r="B63" i="1" s="1"/>
  <c r="G40" i="1"/>
  <c r="H41" i="1"/>
  <c r="E41" i="1"/>
  <c r="C41" i="1"/>
  <c r="D41" i="1"/>
  <c r="D40" i="1"/>
  <c r="H40" i="1"/>
  <c r="E40" i="1"/>
  <c r="C40" i="1"/>
  <c r="E47" i="1"/>
  <c r="C47" i="1"/>
  <c r="D47" i="1"/>
  <c r="H47" i="1"/>
  <c r="E43" i="1"/>
  <c r="C43" i="1"/>
  <c r="D43" i="1"/>
  <c r="H43" i="1"/>
  <c r="H45" i="1"/>
  <c r="D45" i="1"/>
  <c r="E45" i="1"/>
  <c r="C45" i="1"/>
  <c r="D48" i="1"/>
  <c r="H48" i="1"/>
  <c r="E48" i="1"/>
  <c r="C48" i="1"/>
  <c r="D44" i="1"/>
  <c r="H44" i="1"/>
  <c r="E44" i="1"/>
  <c r="C44" i="1"/>
  <c r="E46" i="1"/>
  <c r="C46" i="1"/>
  <c r="H46" i="1"/>
  <c r="D46" i="1"/>
  <c r="E42" i="1"/>
  <c r="C42" i="1"/>
  <c r="D42" i="1"/>
  <c r="H42" i="1"/>
  <c r="J41" i="1" l="1"/>
  <c r="J47" i="1"/>
  <c r="J40" i="1"/>
  <c r="J48" i="1"/>
  <c r="J42" i="1"/>
  <c r="J43" i="1"/>
  <c r="J45" i="1"/>
  <c r="J46" i="1"/>
  <c r="J44" i="1"/>
  <c r="F59" i="1"/>
  <c r="F58" i="1"/>
  <c r="F65" i="1"/>
  <c r="F63" i="1"/>
  <c r="F62" i="1"/>
  <c r="F64" i="1"/>
  <c r="F66" i="1"/>
  <c r="F61" i="1"/>
  <c r="F60" i="1"/>
  <c r="M15" i="1"/>
  <c r="M14" i="1" s="1"/>
  <c r="M13" i="1" s="1"/>
  <c r="M12" i="1" s="1"/>
  <c r="M11" i="1" s="1"/>
  <c r="M10" i="1" s="1"/>
  <c r="M9" i="1" s="1"/>
  <c r="M8" i="1" s="1"/>
  <c r="M7" i="1" s="1"/>
  <c r="R14" i="3" l="1"/>
  <c r="S14" i="3" s="1"/>
  <c r="R13" i="3"/>
  <c r="S13" i="3" s="1"/>
  <c r="R12" i="3"/>
  <c r="S12" i="3" s="1"/>
  <c r="R11" i="3"/>
  <c r="S11" i="3" s="1"/>
  <c r="R10" i="3"/>
  <c r="S10" i="3" s="1"/>
  <c r="R9" i="3"/>
  <c r="S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E6" i="4"/>
  <c r="I30" i="1" s="1"/>
  <c r="G30" i="1" s="1"/>
  <c r="D7" i="4"/>
  <c r="E7" i="4" s="1"/>
  <c r="I41" i="2" s="1"/>
  <c r="D8" i="4"/>
  <c r="E8" i="4" s="1"/>
  <c r="I32" i="1" s="1"/>
  <c r="D9" i="4"/>
  <c r="E9" i="4" s="1"/>
  <c r="I33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L7" i="4"/>
  <c r="L8" i="4" s="1"/>
  <c r="J7" i="4"/>
  <c r="J8" i="4" s="1"/>
  <c r="C33" i="1" l="1"/>
  <c r="G33" i="1"/>
  <c r="C32" i="1"/>
  <c r="G32" i="1"/>
  <c r="I39" i="2"/>
  <c r="F27" i="5"/>
  <c r="F29" i="5"/>
  <c r="F65" i="5"/>
  <c r="F69" i="5"/>
  <c r="I49" i="2"/>
  <c r="I39" i="1"/>
  <c r="F26" i="5"/>
  <c r="F30" i="5"/>
  <c r="F70" i="5"/>
  <c r="F72" i="5"/>
  <c r="D30" i="1"/>
  <c r="C30" i="1"/>
  <c r="I31" i="1"/>
  <c r="G31" i="1" s="1"/>
  <c r="I40" i="2"/>
  <c r="I36" i="1"/>
  <c r="I35" i="1"/>
  <c r="F32" i="1"/>
  <c r="E32" i="1"/>
  <c r="I42" i="2"/>
  <c r="B30" i="1"/>
  <c r="B51" i="1" s="1"/>
  <c r="F30" i="1"/>
  <c r="E30" i="1"/>
  <c r="I34" i="1"/>
  <c r="G34" i="1" s="1"/>
  <c r="I37" i="1"/>
  <c r="I47" i="2"/>
  <c r="F33" i="1"/>
  <c r="B33" i="1"/>
  <c r="B54" i="1" s="1"/>
  <c r="D33" i="1"/>
  <c r="H33" i="1"/>
  <c r="I43" i="2"/>
  <c r="F31" i="5"/>
  <c r="F33" i="5"/>
  <c r="F63" i="5"/>
  <c r="I38" i="1"/>
  <c r="F35" i="5"/>
  <c r="F67" i="5"/>
  <c r="F36" i="5"/>
  <c r="F66" i="5"/>
  <c r="F71" i="5"/>
  <c r="B32" i="1"/>
  <c r="B53" i="1" s="1"/>
  <c r="E33" i="1"/>
  <c r="H32" i="1"/>
  <c r="D32" i="1"/>
  <c r="H30" i="1"/>
  <c r="J33" i="1" l="1"/>
  <c r="F38" i="1"/>
  <c r="B38" i="1" s="1"/>
  <c r="B59" i="1" s="1"/>
  <c r="J32" i="1"/>
  <c r="F37" i="1"/>
  <c r="B37" i="1" s="1"/>
  <c r="B58" i="1" s="1"/>
  <c r="G35" i="1"/>
  <c r="F35" i="1"/>
  <c r="F53" i="1" s="1"/>
  <c r="G36" i="1"/>
  <c r="F36" i="1"/>
  <c r="B36" i="1" s="1"/>
  <c r="B57" i="1" s="1"/>
  <c r="F39" i="1"/>
  <c r="B39" i="1" s="1"/>
  <c r="B60" i="1" s="1"/>
  <c r="J30" i="1"/>
  <c r="C38" i="1"/>
  <c r="G38" i="1"/>
  <c r="C37" i="1"/>
  <c r="G37" i="1"/>
  <c r="C39" i="1"/>
  <c r="G39" i="1"/>
  <c r="E29" i="1"/>
  <c r="F34" i="1"/>
  <c r="C34" i="1"/>
  <c r="C36" i="1"/>
  <c r="E31" i="1"/>
  <c r="C31" i="1"/>
  <c r="E35" i="1"/>
  <c r="C35" i="1"/>
  <c r="H36" i="1"/>
  <c r="E36" i="1"/>
  <c r="D35" i="1"/>
  <c r="D31" i="1"/>
  <c r="H35" i="1"/>
  <c r="D29" i="1"/>
  <c r="H34" i="1"/>
  <c r="F31" i="1"/>
  <c r="H31" i="1"/>
  <c r="D36" i="1"/>
  <c r="B31" i="1"/>
  <c r="B52" i="1" s="1"/>
  <c r="E34" i="1"/>
  <c r="D34" i="1"/>
  <c r="B34" i="1"/>
  <c r="B55" i="1" s="1"/>
  <c r="D38" i="1"/>
  <c r="E38" i="1"/>
  <c r="D37" i="1"/>
  <c r="E37" i="1"/>
  <c r="H37" i="1"/>
  <c r="C29" i="1"/>
  <c r="H38" i="1"/>
  <c r="E39" i="1"/>
  <c r="H39" i="1"/>
  <c r="D39" i="1"/>
  <c r="J34" i="1" l="1"/>
  <c r="J36" i="1"/>
  <c r="J37" i="1"/>
  <c r="J39" i="1"/>
  <c r="J38" i="1"/>
  <c r="J29" i="1"/>
  <c r="J31" i="1"/>
  <c r="B35" i="1"/>
  <c r="F55" i="1"/>
  <c r="F57" i="1"/>
  <c r="F54" i="1"/>
  <c r="F56" i="1"/>
  <c r="M9" i="3"/>
  <c r="N9" i="3" s="1"/>
  <c r="J35" i="1" l="1"/>
  <c r="B56" i="1"/>
  <c r="B70" i="1" s="1"/>
  <c r="B71" i="1" s="1"/>
  <c r="F67" i="1"/>
  <c r="F68" i="1" s="1"/>
  <c r="M10" i="3"/>
  <c r="N10" i="3" s="1"/>
  <c r="M11" i="3" l="1"/>
  <c r="N11" i="3" s="1"/>
  <c r="M12" i="3" l="1"/>
  <c r="N12" i="3" s="1"/>
  <c r="M13" i="3" l="1"/>
  <c r="N13" i="3" s="1"/>
  <c r="M14" i="3" l="1"/>
  <c r="N14" i="3" s="1"/>
  <c r="M15" i="3" l="1"/>
  <c r="N15" i="3" s="1"/>
  <c r="M16" i="3" l="1"/>
  <c r="N16" i="3" s="1"/>
  <c r="M17" i="3" l="1"/>
  <c r="N17" i="3" s="1"/>
  <c r="M18" i="3" l="1"/>
  <c r="N18" i="3" s="1"/>
  <c r="M19" i="3" l="1"/>
  <c r="N19" i="3" s="1"/>
  <c r="M20" i="3" l="1"/>
  <c r="N20" i="3" s="1"/>
  <c r="M21" i="3" l="1"/>
  <c r="N21" i="3" s="1"/>
  <c r="M22" i="3" l="1"/>
  <c r="N22" i="3" s="1"/>
  <c r="M23" i="3" l="1"/>
  <c r="N23" i="3" s="1"/>
  <c r="M24" i="3" l="1"/>
  <c r="N24" i="3" s="1"/>
  <c r="M25" i="3" l="1"/>
  <c r="N25" i="3" s="1"/>
  <c r="M26" i="3" l="1"/>
  <c r="N26" i="3" s="1"/>
  <c r="M27" i="3" l="1"/>
  <c r="N27" i="3" s="1"/>
  <c r="M28" i="3" l="1"/>
  <c r="N28" i="3" s="1"/>
  <c r="D101" i="3" l="1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54" i="3"/>
  <c r="C54" i="3" s="1"/>
  <c r="B72" i="3"/>
  <c r="C72" i="3" s="1"/>
  <c r="B73" i="3"/>
  <c r="C73" i="3" s="1"/>
  <c r="B74" i="3"/>
  <c r="C74" i="3" s="1"/>
  <c r="D76" i="3"/>
  <c r="E76" i="3" s="1"/>
  <c r="B77" i="3"/>
  <c r="C77" i="3" s="1"/>
  <c r="D79" i="3"/>
  <c r="E79" i="3" s="1"/>
  <c r="B80" i="3"/>
  <c r="C80" i="3" s="1"/>
  <c r="F53" i="3" l="1"/>
  <c r="F45" i="3"/>
  <c r="F51" i="3"/>
  <c r="F47" i="3"/>
  <c r="F46" i="3"/>
  <c r="F52" i="3"/>
  <c r="F50" i="3"/>
  <c r="F49" i="3"/>
  <c r="F48" i="3"/>
  <c r="D80" i="3"/>
  <c r="E80" i="3" s="1"/>
  <c r="F80" i="3" s="1"/>
  <c r="D75" i="3"/>
  <c r="E75" i="3" s="1"/>
  <c r="D72" i="3"/>
  <c r="E72" i="3" s="1"/>
  <c r="F72" i="3" s="1"/>
  <c r="D74" i="3"/>
  <c r="E74" i="3" s="1"/>
  <c r="F74" i="3" s="1"/>
  <c r="D77" i="3"/>
  <c r="E77" i="3" s="1"/>
  <c r="F77" i="3" s="1"/>
  <c r="D78" i="3"/>
  <c r="E78" i="3" s="1"/>
  <c r="B78" i="3"/>
  <c r="C78" i="3" s="1"/>
  <c r="B76" i="3"/>
  <c r="C76" i="3" s="1"/>
  <c r="F76" i="3" s="1"/>
  <c r="B75" i="3"/>
  <c r="C75" i="3" s="1"/>
  <c r="D73" i="3"/>
  <c r="E73" i="3" s="1"/>
  <c r="F73" i="3" s="1"/>
  <c r="B79" i="3"/>
  <c r="C79" i="3" s="1"/>
  <c r="F79" i="3" s="1"/>
  <c r="D43" i="3"/>
  <c r="E43" i="3" s="1"/>
  <c r="D41" i="3"/>
  <c r="E41" i="3" s="1"/>
  <c r="D40" i="3"/>
  <c r="E40" i="3" s="1"/>
  <c r="D39" i="3"/>
  <c r="E39" i="3" s="1"/>
  <c r="D37" i="3"/>
  <c r="E37" i="3" s="1"/>
  <c r="D36" i="3"/>
  <c r="E36" i="3" s="1"/>
  <c r="D35" i="3"/>
  <c r="E35" i="3" s="1"/>
  <c r="D91" i="3"/>
  <c r="E91" i="3" s="1"/>
  <c r="D92" i="3"/>
  <c r="E92" i="3" s="1"/>
  <c r="D93" i="3"/>
  <c r="E93" i="3" s="1"/>
  <c r="D94" i="3"/>
  <c r="E94" i="3" s="1"/>
  <c r="D97" i="3"/>
  <c r="E97" i="3" s="1"/>
  <c r="D98" i="3"/>
  <c r="E98" i="3" s="1"/>
  <c r="D99" i="3"/>
  <c r="E99" i="3" s="1"/>
  <c r="D100" i="3"/>
  <c r="E100" i="3" s="1"/>
  <c r="D90" i="3"/>
  <c r="E90" i="3" s="1"/>
  <c r="D38" i="3"/>
  <c r="E38" i="3" s="1"/>
  <c r="D42" i="3"/>
  <c r="E42" i="3" s="1"/>
  <c r="B36" i="3"/>
  <c r="C36" i="3" s="1"/>
  <c r="B37" i="3"/>
  <c r="C37" i="3" s="1"/>
  <c r="B38" i="3"/>
  <c r="C38" i="3" s="1"/>
  <c r="B41" i="3"/>
  <c r="C41" i="3" s="1"/>
  <c r="B42" i="3"/>
  <c r="C42" i="3" s="1"/>
  <c r="B44" i="3"/>
  <c r="C44" i="3" s="1"/>
  <c r="F44" i="3" s="1"/>
  <c r="B43" i="3"/>
  <c r="C43" i="3" s="1"/>
  <c r="B40" i="3"/>
  <c r="C40" i="3" s="1"/>
  <c r="B39" i="3"/>
  <c r="C39" i="3" s="1"/>
  <c r="F40" i="3" l="1"/>
  <c r="F37" i="3"/>
  <c r="F75" i="3"/>
  <c r="F39" i="3"/>
  <c r="F78" i="3"/>
  <c r="F38" i="3"/>
  <c r="F43" i="3"/>
  <c r="F41" i="3"/>
  <c r="F42" i="3"/>
  <c r="F36" i="3"/>
  <c r="D54" i="3"/>
  <c r="E54" i="3" s="1"/>
  <c r="F54" i="3" s="1"/>
  <c r="D61" i="3"/>
  <c r="E61" i="3" s="1"/>
  <c r="B35" i="3"/>
  <c r="C35" i="3" s="1"/>
  <c r="F35" i="3" s="1"/>
  <c r="D66" i="3"/>
  <c r="E66" i="3" s="1"/>
  <c r="B66" i="3"/>
  <c r="C66" i="3" s="1"/>
  <c r="D65" i="3"/>
  <c r="E65" i="3" s="1"/>
  <c r="B65" i="3"/>
  <c r="C65" i="3" s="1"/>
  <c r="D69" i="3"/>
  <c r="E69" i="3" s="1"/>
  <c r="B69" i="3"/>
  <c r="C69" i="3" s="1"/>
  <c r="D68" i="3"/>
  <c r="E68" i="3" s="1"/>
  <c r="B68" i="3"/>
  <c r="C68" i="3" s="1"/>
  <c r="D63" i="3"/>
  <c r="E63" i="3" s="1"/>
  <c r="B63" i="3"/>
  <c r="C63" i="3" s="1"/>
  <c r="D67" i="3"/>
  <c r="E67" i="3" s="1"/>
  <c r="B67" i="3"/>
  <c r="C67" i="3" s="1"/>
  <c r="D64" i="3"/>
  <c r="E64" i="3" s="1"/>
  <c r="B64" i="3"/>
  <c r="C64" i="3" s="1"/>
  <c r="B70" i="3"/>
  <c r="C70" i="3" s="1"/>
  <c r="D70" i="3"/>
  <c r="E70" i="3" s="1"/>
  <c r="B61" i="3"/>
  <c r="C61" i="3" s="1"/>
  <c r="B62" i="3"/>
  <c r="C62" i="3" s="1"/>
  <c r="D95" i="3"/>
  <c r="E95" i="3" s="1"/>
  <c r="D71" i="3"/>
  <c r="E71" i="3" s="1"/>
  <c r="B71" i="3"/>
  <c r="C71" i="3" s="1"/>
  <c r="D96" i="3"/>
  <c r="E96" i="3" s="1"/>
  <c r="F63" i="3" l="1"/>
  <c r="F66" i="3"/>
  <c r="F67" i="3"/>
  <c r="F65" i="3"/>
  <c r="F71" i="3"/>
  <c r="F69" i="3"/>
  <c r="F64" i="3"/>
  <c r="B101" i="3"/>
  <c r="C101" i="3" s="1"/>
  <c r="F101" i="3" s="1"/>
  <c r="G101" i="3" s="1"/>
  <c r="B107" i="3"/>
  <c r="C107" i="3" s="1"/>
  <c r="F107" i="3" s="1"/>
  <c r="G107" i="3" s="1"/>
  <c r="B109" i="3"/>
  <c r="C109" i="3" s="1"/>
  <c r="F109" i="3" s="1"/>
  <c r="G109" i="3" s="1"/>
  <c r="B105" i="3"/>
  <c r="C105" i="3" s="1"/>
  <c r="F105" i="3" s="1"/>
  <c r="G105" i="3" s="1"/>
  <c r="B102" i="3"/>
  <c r="C102" i="3" s="1"/>
  <c r="F102" i="3" s="1"/>
  <c r="G102" i="3" s="1"/>
  <c r="B106" i="3"/>
  <c r="C106" i="3" s="1"/>
  <c r="F106" i="3" s="1"/>
  <c r="G106" i="3" s="1"/>
  <c r="B108" i="3"/>
  <c r="C108" i="3" s="1"/>
  <c r="F108" i="3" s="1"/>
  <c r="G108" i="3" s="1"/>
  <c r="F70" i="3"/>
  <c r="B104" i="3"/>
  <c r="C104" i="3" s="1"/>
  <c r="F104" i="3" s="1"/>
  <c r="G104" i="3" s="1"/>
  <c r="B103" i="3"/>
  <c r="C103" i="3" s="1"/>
  <c r="F103" i="3" s="1"/>
  <c r="G103" i="3" s="1"/>
  <c r="F61" i="3"/>
  <c r="F68" i="3"/>
  <c r="B95" i="3"/>
  <c r="C95" i="3" s="1"/>
  <c r="F95" i="3" s="1"/>
  <c r="G95" i="3" s="1"/>
  <c r="B92" i="3"/>
  <c r="C92" i="3" s="1"/>
  <c r="F92" i="3" s="1"/>
  <c r="G92" i="3" s="1"/>
  <c r="D62" i="3"/>
  <c r="E62" i="3" s="1"/>
  <c r="F62" i="3" s="1"/>
  <c r="B97" i="3" l="1"/>
  <c r="C97" i="3" s="1"/>
  <c r="F97" i="3" s="1"/>
  <c r="G97" i="3" s="1"/>
  <c r="B98" i="3" l="1"/>
  <c r="C98" i="3" s="1"/>
  <c r="F98" i="3" s="1"/>
  <c r="G98" i="3" s="1"/>
  <c r="B96" i="3"/>
  <c r="C96" i="3" s="1"/>
  <c r="F96" i="3" s="1"/>
  <c r="G96" i="3" s="1"/>
  <c r="B100" i="3"/>
  <c r="C100" i="3" s="1"/>
  <c r="F100" i="3" s="1"/>
  <c r="G100" i="3" s="1"/>
  <c r="B94" i="3"/>
  <c r="C94" i="3" s="1"/>
  <c r="F94" i="3" s="1"/>
  <c r="G94" i="3" s="1"/>
  <c r="B91" i="3"/>
  <c r="C91" i="3" s="1"/>
  <c r="F91" i="3" s="1"/>
  <c r="G91" i="3" s="1"/>
  <c r="B93" i="3"/>
  <c r="C93" i="3" s="1"/>
  <c r="F93" i="3" s="1"/>
  <c r="G93" i="3" s="1"/>
  <c r="B99" i="3"/>
  <c r="C99" i="3" s="1"/>
  <c r="F99" i="3" s="1"/>
  <c r="G99" i="3" s="1"/>
  <c r="B90" i="3" l="1"/>
  <c r="C90" i="3" s="1"/>
  <c r="F90" i="3" s="1"/>
  <c r="G90" i="3" s="1"/>
  <c r="G9" i="3" l="1"/>
  <c r="H9" i="3" s="1"/>
  <c r="I9" i="3" s="1"/>
  <c r="G10" i="3" l="1"/>
  <c r="H10" i="3" s="1"/>
  <c r="I10" i="3" s="1"/>
  <c r="G11" i="3" l="1"/>
  <c r="H11" i="3" s="1"/>
  <c r="I11" i="3" s="1"/>
  <c r="G12" i="3" l="1"/>
  <c r="H12" i="3" s="1"/>
  <c r="I12" i="3" s="1"/>
  <c r="G13" i="3" l="1"/>
  <c r="H13" i="3" s="1"/>
  <c r="I13" i="3" s="1"/>
  <c r="G14" i="3" l="1"/>
  <c r="H14" i="3" s="1"/>
  <c r="I14" i="3" s="1"/>
  <c r="G15" i="3" l="1"/>
  <c r="H15" i="3" s="1"/>
  <c r="I15" i="3" s="1"/>
  <c r="G16" i="3" l="1"/>
  <c r="H16" i="3" s="1"/>
  <c r="I16" i="3" s="1"/>
  <c r="G17" i="3" l="1"/>
  <c r="H17" i="3" s="1"/>
  <c r="I17" i="3" s="1"/>
  <c r="G18" i="3" l="1"/>
  <c r="H18" i="3" s="1"/>
  <c r="I18" i="3" s="1"/>
  <c r="G19" i="3" l="1"/>
  <c r="H19" i="3" s="1"/>
  <c r="I19" i="3" s="1"/>
  <c r="G20" i="3" l="1"/>
  <c r="H20" i="3" s="1"/>
  <c r="I20" i="3" s="1"/>
  <c r="G21" i="3" l="1"/>
  <c r="H21" i="3" s="1"/>
  <c r="I21" i="3" s="1"/>
  <c r="G22" i="3" l="1"/>
  <c r="H22" i="3" s="1"/>
  <c r="I22" i="3" s="1"/>
  <c r="G23" i="3" l="1"/>
  <c r="H23" i="3" s="1"/>
  <c r="I23" i="3" s="1"/>
  <c r="G24" i="3" l="1"/>
  <c r="H24" i="3" s="1"/>
  <c r="I24" i="3" s="1"/>
  <c r="G25" i="3" l="1"/>
  <c r="H25" i="3" s="1"/>
  <c r="I25" i="3" s="1"/>
  <c r="G26" i="3" l="1"/>
  <c r="H26" i="3" s="1"/>
  <c r="I26" i="3" s="1"/>
  <c r="G27" i="3" l="1"/>
  <c r="H27" i="3" s="1"/>
  <c r="I27" i="3" s="1"/>
  <c r="G28" i="3" l="1"/>
  <c r="H28" i="3" s="1"/>
  <c r="I28" i="3" s="1"/>
  <c r="B9" i="3" l="1"/>
  <c r="C9" i="3" s="1"/>
  <c r="D9" i="3" s="1"/>
  <c r="I61" i="3" s="1"/>
  <c r="J61" i="3" s="1"/>
  <c r="B10" i="3" l="1"/>
  <c r="C10" i="3" s="1"/>
  <c r="D10" i="3" s="1"/>
  <c r="I62" i="3" s="1"/>
  <c r="J62" i="3" s="1"/>
  <c r="B11" i="3" l="1"/>
  <c r="C11" i="3" s="1"/>
  <c r="D11" i="3" s="1"/>
  <c r="I63" i="3" s="1"/>
  <c r="J63" i="3" s="1"/>
  <c r="B12" i="3" l="1"/>
  <c r="C12" i="3" s="1"/>
  <c r="D12" i="3" s="1"/>
  <c r="I64" i="3" s="1"/>
  <c r="J64" i="3" s="1"/>
  <c r="B13" i="3" l="1"/>
  <c r="C13" i="3" s="1"/>
  <c r="D13" i="3" s="1"/>
  <c r="I65" i="3" s="1"/>
  <c r="J65" i="3" s="1"/>
  <c r="B15" i="3" l="1"/>
  <c r="C15" i="3" s="1"/>
  <c r="D15" i="3" s="1"/>
  <c r="I67" i="3" s="1"/>
  <c r="J67" i="3" s="1"/>
  <c r="B14" i="3"/>
  <c r="C14" i="3" s="1"/>
  <c r="D14" i="3" s="1"/>
  <c r="I66" i="3" s="1"/>
  <c r="J66" i="3" s="1"/>
  <c r="B16" i="3" l="1"/>
  <c r="C16" i="3" s="1"/>
  <c r="D16" i="3" s="1"/>
  <c r="I68" i="3" s="1"/>
  <c r="J68" i="3" s="1"/>
  <c r="B17" i="3" l="1"/>
  <c r="C17" i="3" s="1"/>
  <c r="D17" i="3" s="1"/>
  <c r="I69" i="3" s="1"/>
  <c r="J69" i="3" s="1"/>
  <c r="B18" i="3" l="1"/>
  <c r="C18" i="3" s="1"/>
  <c r="D18" i="3" s="1"/>
  <c r="I70" i="3" s="1"/>
  <c r="J70" i="3" s="1"/>
  <c r="B19" i="3" l="1"/>
  <c r="C19" i="3" s="1"/>
  <c r="D19" i="3" s="1"/>
  <c r="I71" i="3" s="1"/>
  <c r="J71" i="3" s="1"/>
  <c r="B20" i="3" l="1"/>
  <c r="C20" i="3" s="1"/>
  <c r="D20" i="3" s="1"/>
  <c r="I72" i="3" s="1"/>
  <c r="J72" i="3" s="1"/>
  <c r="B21" i="3" l="1"/>
  <c r="C21" i="3" s="1"/>
  <c r="D21" i="3" s="1"/>
  <c r="I73" i="3" s="1"/>
  <c r="J73" i="3" s="1"/>
  <c r="B23" i="3" l="1"/>
  <c r="C23" i="3" s="1"/>
  <c r="D23" i="3" s="1"/>
  <c r="I75" i="3" s="1"/>
  <c r="J75" i="3" s="1"/>
  <c r="B22" i="3"/>
  <c r="C22" i="3" s="1"/>
  <c r="D22" i="3" s="1"/>
  <c r="I74" i="3" s="1"/>
  <c r="J74" i="3" s="1"/>
  <c r="B24" i="3" l="1"/>
  <c r="C24" i="3" s="1"/>
  <c r="D24" i="3" s="1"/>
  <c r="I76" i="3" s="1"/>
  <c r="J76" i="3" s="1"/>
  <c r="B25" i="3" l="1"/>
  <c r="C25" i="3" s="1"/>
  <c r="D25" i="3" s="1"/>
  <c r="I77" i="3" s="1"/>
  <c r="J77" i="3" s="1"/>
  <c r="B26" i="3" l="1"/>
  <c r="C26" i="3" s="1"/>
  <c r="D26" i="3" s="1"/>
  <c r="I78" i="3" s="1"/>
  <c r="J78" i="3" s="1"/>
  <c r="B27" i="3" l="1"/>
  <c r="C27" i="3" s="1"/>
  <c r="D27" i="3" s="1"/>
  <c r="I79" i="3" s="1"/>
  <c r="J79" i="3" s="1"/>
  <c r="B28" i="3" l="1"/>
  <c r="C28" i="3" s="1"/>
  <c r="D28" i="3" s="1"/>
  <c r="I80" i="3" s="1"/>
  <c r="J80" i="3" s="1"/>
</calcChain>
</file>

<file path=xl/comments1.xml><?xml version="1.0" encoding="utf-8"?>
<comments xmlns="http://schemas.openxmlformats.org/spreadsheetml/2006/main">
  <authors>
    <author>Iwied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Mengurangi jumlah sampah yang masuk ke TPA melalui Kegiatan 3R sebesar 2% dari sampah yang masuk ke TPA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Mengurangi jumlah sampah yang masuk ke TPA melalui Kegiatan 3R sebesar 3% dari fraksi sampah yang masuk ke TPA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</commentList>
</comments>
</file>

<file path=xl/sharedStrings.xml><?xml version="1.0" encoding="utf-8"?>
<sst xmlns="http://schemas.openxmlformats.org/spreadsheetml/2006/main" count="317" uniqueCount="156">
  <si>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</si>
  <si>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</si>
  <si>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</si>
  <si>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</si>
  <si>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</si>
  <si>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</si>
  <si>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</si>
  <si>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</si>
  <si>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</si>
  <si>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</si>
  <si>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</si>
  <si>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</si>
  <si>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</si>
  <si>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</si>
  <si>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</si>
  <si>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</si>
  <si>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</si>
  <si>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</si>
  <si>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</si>
  <si>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</si>
  <si>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</si>
  <si>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</si>
  <si>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</si>
  <si>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</si>
  <si>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</si>
  <si>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</si>
  <si>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</si>
  <si>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</si>
  <si>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</si>
  <si>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</si>
  <si>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</si>
  <si>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</si>
  <si>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</si>
  <si>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</si>
  <si>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</si>
  <si>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</si>
  <si>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</si>
  <si>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</si>
  <si>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</si>
  <si>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</si>
  <si>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</si>
  <si>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</si>
  <si>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</si>
  <si>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</si>
  <si>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</si>
  <si>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</si>
  <si>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</si>
  <si>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</si>
  <si>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</si>
  <si>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</si>
  <si>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</si>
  <si>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</si>
  <si>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</si>
  <si>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</si>
  <si>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</si>
  <si>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</si>
  <si>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</si>
  <si>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</si>
  <si>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</si>
  <si>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</si>
  <si>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</si>
  <si>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</si>
  <si>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</si>
  <si>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</si>
  <si>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</si>
  <si>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</si>
  <si>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</si>
  <si>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</si>
  <si>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</si>
  <si>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</si>
  <si>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</si>
  <si>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</si>
  <si>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</si>
  <si>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</si>
  <si>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</si>
  <si>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</si>
  <si>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</si>
  <si>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</si>
  <si>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</si>
  <si>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</si>
  <si>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</si>
  <si>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</si>
  <si>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</si>
  <si>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</si>
  <si>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</si>
  <si>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</si>
  <si>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</si>
  <si>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</si>
  <si>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</si>
  <si>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</si>
  <si>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</si>
  <si>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</si>
  <si>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</si>
  <si>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</si>
  <si>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</si>
  <si>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</si>
  <si>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</si>
  <si>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</si>
  <si>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</si>
  <si>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</si>
  <si>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</si>
  <si>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</si>
  <si>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</si>
  <si>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</si>
  <si>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</si>
  <si>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</si>
  <si>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</si>
  <si>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</si>
  <si>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</si>
  <si>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</si>
  <si>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</si>
  <si>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</si>
  <si>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</si>
  <si>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</si>
  <si>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</si>
  <si>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</si>
  <si>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</si>
  <si>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</si>
  <si>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</si>
  <si>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</si>
  <si>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</si>
  <si>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</si>
  <si>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</si>
  <si>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>KOTA BALIKPAPAN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</si>
  <si>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</si>
  <si>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</si>
  <si>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</si>
  <si>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</si>
  <si>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</si>
  <si>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</si>
  <si>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</si>
  <si>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</si>
  <si>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</si>
  <si>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</si>
  <si>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</si>
  <si>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</si>
  <si>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</si>
  <si>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</si>
  <si>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</si>
  <si>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</si>
  <si>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</si>
  <si>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</si>
  <si>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</si>
  <si>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</si>
  <si>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Emisi CO</t>
    </r>
    <r>
      <rPr>
        <vertAlign val="subscript"/>
        <sz val="11"/>
        <rFont val="Calibri"/>
        <family val="2"/>
        <scheme val="minor"/>
      </rPr>
      <t>2</t>
    </r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</si>
  <si>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</si>
  <si>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</si>
  <si>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</si>
  <si>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Kompos</t>
  </si>
  <si>
    <t>Total timbulan sampah (Gg/tahun)</t>
  </si>
  <si>
    <t>kg CH4</t>
  </si>
  <si>
    <t>Emisi GRK dari Limbah Cair Industri Sawit</t>
  </si>
  <si>
    <t>KONDISI MITIGASI</t>
  </si>
  <si>
    <t>AM1: Meningkatkan jumlah sampah yang diangkut ke TPA dan mengurangi jumlah fraksi lainnya</t>
  </si>
  <si>
    <t xml:space="preserve">3R </t>
  </si>
  <si>
    <t xml:space="preserve"> Emisi GRK dari sampah yang dilakukan 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</si>
</sst>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  <numFmt numFmtId="172" formatCode="_-* #,##0.0_-;\-* #,##0.0_-;_-* &quot;-&quot;??_-;_-@_-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Sans Unicode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charset val="1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269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1" fillId="16" borderId="10" xfId="0" applyFont="1" applyFill="1" applyBorder="1" applyAlignment="1">
      <alignment horizontal="center" vertical="center" wrapText="1"/>
    </xf>
    <xf numFmtId="0" fontId="41" fillId="10" borderId="10" xfId="0" applyFont="1" applyFill="1" applyBorder="1" applyAlignment="1">
      <alignment horizontal="center" vertical="center" wrapText="1"/>
    </xf>
    <xf numFmtId="0" fontId="41" fillId="13" borderId="10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50" fillId="13" borderId="10" xfId="0" applyFont="1" applyFill="1" applyBorder="1" applyAlignment="1">
      <alignment horizontal="center" vertical="center" wrapText="1"/>
    </xf>
    <xf numFmtId="0" fontId="18" fillId="16" borderId="1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50" fillId="13" borderId="11" xfId="0" applyFont="1" applyFill="1" applyBorder="1" applyAlignment="1">
      <alignment horizontal="center" vertical="center" wrapText="1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43" fontId="1" fillId="0" borderId="1" xfId="0" applyNumberFormat="1" applyFont="1" applyBorder="1" applyAlignment="1">
      <alignment vertical="center"/>
    </xf>
    <xf numFmtId="0" fontId="14" fillId="8" borderId="1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3" fillId="18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164" fontId="1" fillId="8" borderId="21" xfId="0" applyNumberFormat="1" applyFont="1" applyFill="1" applyBorder="1" applyAlignment="1">
      <alignment vertical="center"/>
    </xf>
    <xf numFmtId="166" fontId="41" fillId="8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right" vertical="center"/>
    </xf>
    <xf numFmtId="0" fontId="54" fillId="0" borderId="0" xfId="0" applyFont="1" applyFill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Fill="1" applyAlignment="1">
      <alignment vertical="center"/>
    </xf>
    <xf numFmtId="0" fontId="54" fillId="7" borderId="1" xfId="0" applyFont="1" applyFill="1" applyBorder="1" applyAlignment="1">
      <alignment horizontal="center" vertical="center"/>
    </xf>
    <xf numFmtId="9" fontId="54" fillId="7" borderId="1" xfId="0" applyNumberFormat="1" applyFont="1" applyFill="1" applyBorder="1" applyAlignment="1">
      <alignment horizontal="center" vertical="center"/>
    </xf>
    <xf numFmtId="3" fontId="54" fillId="0" borderId="0" xfId="0" applyNumberFormat="1" applyFont="1" applyFill="1" applyAlignment="1">
      <alignment vertical="center"/>
    </xf>
    <xf numFmtId="0" fontId="54" fillId="0" borderId="0" xfId="0" quotePrefix="1" applyFont="1" applyFill="1" applyAlignment="1">
      <alignment vertical="center"/>
    </xf>
    <xf numFmtId="3" fontId="54" fillId="0" borderId="0" xfId="0" applyNumberFormat="1" applyFont="1" applyFill="1" applyAlignment="1">
      <alignment horizontal="center" vertical="center"/>
    </xf>
    <xf numFmtId="2" fontId="54" fillId="0" borderId="1" xfId="0" applyNumberFormat="1" applyFont="1" applyBorder="1" applyAlignment="1">
      <alignment horizontal="center" vertical="center"/>
    </xf>
    <xf numFmtId="2" fontId="54" fillId="8" borderId="1" xfId="0" applyNumberFormat="1" applyFont="1" applyFill="1" applyBorder="1" applyAlignment="1">
      <alignment horizontal="center" vertical="center"/>
    </xf>
    <xf numFmtId="2" fontId="59" fillId="8" borderId="1" xfId="0" applyNumberFormat="1" applyFont="1" applyFill="1" applyBorder="1" applyAlignment="1">
      <alignment horizontal="center" vertical="center"/>
    </xf>
    <xf numFmtId="168" fontId="1" fillId="8" borderId="1" xfId="1" applyNumberFormat="1" applyFont="1" applyFill="1" applyBorder="1" applyAlignment="1">
      <alignment vertical="center" wrapText="1"/>
    </xf>
    <xf numFmtId="10" fontId="6" fillId="8" borderId="1" xfId="2" applyNumberFormat="1" applyFont="1" applyFill="1" applyBorder="1" applyAlignment="1">
      <alignment horizontal="center" vertical="center" wrapText="1"/>
    </xf>
    <xf numFmtId="10" fontId="0" fillId="19" borderId="0" xfId="2" applyNumberFormat="1" applyFont="1" applyFill="1" applyAlignment="1">
      <alignment vertical="center"/>
    </xf>
    <xf numFmtId="0" fontId="60" fillId="8" borderId="0" xfId="0" applyFont="1" applyFill="1" applyAlignment="1">
      <alignment vertical="center" wrapText="1"/>
    </xf>
    <xf numFmtId="43" fontId="41" fillId="8" borderId="1" xfId="1" applyFont="1" applyFill="1" applyBorder="1" applyAlignment="1">
      <alignment vertical="center" wrapText="1"/>
    </xf>
    <xf numFmtId="43" fontId="41" fillId="0" borderId="1" xfId="1" applyFont="1" applyBorder="1" applyAlignment="1">
      <alignment vertical="center"/>
    </xf>
    <xf numFmtId="43" fontId="1" fillId="8" borderId="21" xfId="1" applyFont="1" applyFill="1" applyBorder="1" applyAlignment="1">
      <alignment vertical="center"/>
    </xf>
    <xf numFmtId="43" fontId="41" fillId="0" borderId="1" xfId="1" applyNumberFormat="1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171" fontId="6" fillId="8" borderId="1" xfId="2" applyNumberFormat="1" applyFont="1" applyFill="1" applyBorder="1" applyAlignment="1">
      <alignment horizontal="center" vertical="center" wrapText="1"/>
    </xf>
    <xf numFmtId="0" fontId="14" fillId="20" borderId="1" xfId="0" applyFont="1" applyFill="1" applyBorder="1" applyAlignment="1">
      <alignment horizontal="center" vertical="center" wrapText="1"/>
    </xf>
    <xf numFmtId="2" fontId="54" fillId="20" borderId="1" xfId="0" applyNumberFormat="1" applyFont="1" applyFill="1" applyBorder="1" applyAlignment="1">
      <alignment horizontal="center" vertical="center"/>
    </xf>
    <xf numFmtId="172" fontId="54" fillId="0" borderId="1" xfId="1" applyNumberFormat="1" applyFont="1" applyFill="1" applyBorder="1" applyAlignment="1">
      <alignment horizontal="center" vertical="center"/>
    </xf>
    <xf numFmtId="172" fontId="54" fillId="0" borderId="0" xfId="1" applyNumberFormat="1" applyFont="1" applyAlignment="1">
      <alignment vertical="center"/>
    </xf>
    <xf numFmtId="168" fontId="54" fillId="0" borderId="0" xfId="1" applyNumberFormat="1" applyFont="1" applyAlignment="1">
      <alignment vertical="center"/>
    </xf>
    <xf numFmtId="168" fontId="54" fillId="0" borderId="0" xfId="0" applyNumberFormat="1" applyFont="1" applyAlignment="1">
      <alignment vertical="center"/>
    </xf>
    <xf numFmtId="43" fontId="54" fillId="0" borderId="0" xfId="0" applyNumberFormat="1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5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8" fillId="3" borderId="6" xfId="0" applyFont="1" applyFill="1" applyBorder="1" applyAlignment="1">
      <alignment horizontal="center" vertical="center"/>
    </xf>
    <xf numFmtId="0" fontId="58" fillId="3" borderId="7" xfId="0" applyFont="1" applyFill="1" applyBorder="1" applyAlignment="1">
      <alignment horizontal="center" vertical="center"/>
    </xf>
    <xf numFmtId="0" fontId="58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1" fillId="10" borderId="19" xfId="0" applyFont="1" applyFill="1" applyBorder="1" applyAlignment="1">
      <alignment horizontal="center" vertical="center" wrapText="1"/>
    </xf>
    <xf numFmtId="0" fontId="41" fillId="10" borderId="9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9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41" fillId="16" borderId="19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53" fillId="1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'Fraksi pengelolaan sampah BaU'!$B$5</c:f>
              <c:strCache>
                <c:ptCount val="1"/>
                <c:pt idx="0">
                  <c:v>Diangkut ke TPA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'Fraksi pengelolaan sampah BaU'!$A$6:$A$25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'Fraksi pengelolaan sampah BaU'!$B$6:$B$25</c:f>
              <c:numCache>
                <c:formatCode>0.0%</c:formatCode>
                <c:ptCount val="20"/>
                <c:pt idx="0">
                  <c:v>0.31609999999999999</c:v>
                </c:pt>
                <c:pt idx="1">
                  <c:v>0.31609999999999999</c:v>
                </c:pt>
                <c:pt idx="2">
                  <c:v>0.31609999999999999</c:v>
                </c:pt>
                <c:pt idx="3">
                  <c:v>0.31609999999999999</c:v>
                </c:pt>
                <c:pt idx="4">
                  <c:v>0.31609999999999999</c:v>
                </c:pt>
                <c:pt idx="5">
                  <c:v>0.31609999999999999</c:v>
                </c:pt>
                <c:pt idx="6">
                  <c:v>0.32416054999999999</c:v>
                </c:pt>
                <c:pt idx="7">
                  <c:v>0.332426644025</c:v>
                </c:pt>
                <c:pt idx="8">
                  <c:v>0.34090352344763752</c:v>
                </c:pt>
                <c:pt idx="9">
                  <c:v>0.34959656329555233</c:v>
                </c:pt>
                <c:pt idx="10">
                  <c:v>0.35851127565958896</c:v>
                </c:pt>
                <c:pt idx="11">
                  <c:v>0.36765331318890848</c:v>
                </c:pt>
                <c:pt idx="12">
                  <c:v>0.37702847267522566</c:v>
                </c:pt>
                <c:pt idx="13">
                  <c:v>0.38664269872844392</c:v>
                </c:pt>
                <c:pt idx="14">
                  <c:v>0.39650208754601929</c:v>
                </c:pt>
                <c:pt idx="15">
                  <c:v>0.40661289077844281</c:v>
                </c:pt>
                <c:pt idx="16">
                  <c:v>0.41698151949329315</c:v>
                </c:pt>
                <c:pt idx="17">
                  <c:v>0.42761454824037215</c:v>
                </c:pt>
                <c:pt idx="18">
                  <c:v>0.43851871922050167</c:v>
                </c:pt>
                <c:pt idx="19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'Fraksi pengelolaan sampah BaU'!$C$5</c:f>
              <c:strCache>
                <c:ptCount val="1"/>
                <c:pt idx="0">
                  <c:v>Open dumping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'Fraksi pengelolaan sampah BaU'!$A$6:$A$25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'Fraksi pengelolaan sampah BaU'!$C$6:$C$25</c:f>
              <c:numCache>
                <c:formatCode>0.0%</c:formatCode>
                <c:ptCount val="20"/>
                <c:pt idx="0">
                  <c:v>0.2802</c:v>
                </c:pt>
                <c:pt idx="1">
                  <c:v>0.2802</c:v>
                </c:pt>
                <c:pt idx="2">
                  <c:v>0.2802</c:v>
                </c:pt>
                <c:pt idx="3">
                  <c:v>0.2802</c:v>
                </c:pt>
                <c:pt idx="4">
                  <c:v>0.2802</c:v>
                </c:pt>
                <c:pt idx="5">
                  <c:v>0.2802</c:v>
                </c:pt>
                <c:pt idx="6">
                  <c:v>0.27353124000000001</c:v>
                </c:pt>
                <c:pt idx="7">
                  <c:v>0.26702119648799999</c:v>
                </c:pt>
                <c:pt idx="8">
                  <c:v>0.26066609201158558</c:v>
                </c:pt>
                <c:pt idx="9">
                  <c:v>0.25446223902170984</c:v>
                </c:pt>
                <c:pt idx="10">
                  <c:v>0.24840603773299313</c:v>
                </c:pt>
                <c:pt idx="11">
                  <c:v>0.24249397403494788</c:v>
                </c:pt>
                <c:pt idx="12">
                  <c:v>0.23672261745291612</c:v>
                </c:pt>
                <c:pt idx="13">
                  <c:v>0.2310886191575367</c:v>
                </c:pt>
                <c:pt idx="14">
                  <c:v>0.22558871002158731</c:v>
                </c:pt>
                <c:pt idx="15">
                  <c:v>0.22021969872307354</c:v>
                </c:pt>
                <c:pt idx="16">
                  <c:v>0.21497846989346436</c:v>
                </c:pt>
                <c:pt idx="17">
                  <c:v>0.20986198230999989</c:v>
                </c:pt>
                <c:pt idx="18">
                  <c:v>0.20486726713102188</c:v>
                </c:pt>
                <c:pt idx="19">
                  <c:v>0.2</c:v>
                </c:pt>
              </c:numCache>
            </c:numRef>
          </c:val>
        </c:ser>
        <c:ser>
          <c:idx val="2"/>
          <c:order val="2"/>
          <c:tx>
            <c:strRef>
              <c:f>'Fraksi pengelolaan sampah BaU'!$D$5</c:f>
              <c:strCache>
                <c:ptCount val="1"/>
                <c:pt idx="0">
                  <c:v>Kompos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'Fraksi pengelolaan sampah BaU'!$A$6:$A$25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'Fraksi pengelolaan sampah BaU'!$D$6:$D$25</c:f>
              <c:numCache>
                <c:formatCode>0.0%</c:formatCode>
                <c:ptCount val="20"/>
                <c:pt idx="0">
                  <c:v>1.35E-2</c:v>
                </c:pt>
                <c:pt idx="1">
                  <c:v>1.35E-2</c:v>
                </c:pt>
                <c:pt idx="2">
                  <c:v>1.35E-2</c:v>
                </c:pt>
                <c:pt idx="3">
                  <c:v>1.35E-2</c:v>
                </c:pt>
                <c:pt idx="4">
                  <c:v>1.35E-2</c:v>
                </c:pt>
                <c:pt idx="5">
                  <c:v>1.35E-2</c:v>
                </c:pt>
                <c:pt idx="6">
                  <c:v>1.388475E-2</c:v>
                </c:pt>
                <c:pt idx="7">
                  <c:v>1.4280465374999999E-2</c:v>
                </c:pt>
                <c:pt idx="8">
                  <c:v>1.4687458638187498E-2</c:v>
                </c:pt>
                <c:pt idx="9">
                  <c:v>1.5106051209375842E-2</c:v>
                </c:pt>
                <c:pt idx="10">
                  <c:v>1.5536573668843054E-2</c:v>
                </c:pt>
                <c:pt idx="11">
                  <c:v>1.5979366018405081E-2</c:v>
                </c:pt>
                <c:pt idx="12">
                  <c:v>1.6434777949929626E-2</c:v>
                </c:pt>
                <c:pt idx="13">
                  <c:v>1.690316912150262E-2</c:v>
                </c:pt>
                <c:pt idx="14">
                  <c:v>1.7384909441465445E-2</c:v>
                </c:pt>
                <c:pt idx="15">
                  <c:v>1.7880379360547208E-2</c:v>
                </c:pt>
                <c:pt idx="16">
                  <c:v>1.8389970172322804E-2</c:v>
                </c:pt>
                <c:pt idx="17">
                  <c:v>1.8914084322234005E-2</c:v>
                </c:pt>
                <c:pt idx="18">
                  <c:v>1.9453135725417674E-2</c:v>
                </c:pt>
                <c:pt idx="19">
                  <c:v>0.02</c:v>
                </c:pt>
              </c:numCache>
            </c:numRef>
          </c:val>
        </c:ser>
        <c:ser>
          <c:idx val="3"/>
          <c:order val="3"/>
          <c:tx>
            <c:strRef>
              <c:f>'Fraksi pengelolaan sampah BaU'!$E$5</c:f>
              <c:strCache>
                <c:ptCount val="1"/>
                <c:pt idx="0">
                  <c:v>Dibakar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'Fraksi pengelolaan sampah BaU'!$A$6:$A$25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'Fraksi pengelolaan sampah BaU'!$E$6:$E$25</c:f>
              <c:numCache>
                <c:formatCode>0.0%</c:formatCode>
                <c:ptCount val="20"/>
                <c:pt idx="0">
                  <c:v>0.39019999999999999</c:v>
                </c:pt>
                <c:pt idx="1">
                  <c:v>0.39019999999999999</c:v>
                </c:pt>
                <c:pt idx="2">
                  <c:v>0.39019999999999999</c:v>
                </c:pt>
                <c:pt idx="3">
                  <c:v>0.39019999999999999</c:v>
                </c:pt>
                <c:pt idx="4">
                  <c:v>0.39019999999999999</c:v>
                </c:pt>
                <c:pt idx="5">
                  <c:v>0.39019999999999999</c:v>
                </c:pt>
                <c:pt idx="6">
                  <c:v>0.38555661999999996</c:v>
                </c:pt>
                <c:pt idx="7">
                  <c:v>0.38096849622199996</c:v>
                </c:pt>
                <c:pt idx="8">
                  <c:v>0.37643497111695817</c:v>
                </c:pt>
                <c:pt idx="9">
                  <c:v>0.37195539496066637</c:v>
                </c:pt>
                <c:pt idx="10">
                  <c:v>0.36752912576063446</c:v>
                </c:pt>
                <c:pt idx="11">
                  <c:v>0.36315552916408289</c:v>
                </c:pt>
                <c:pt idx="12">
                  <c:v>0.35883397836703029</c:v>
                </c:pt>
                <c:pt idx="13">
                  <c:v>0.35456385402446261</c:v>
                </c:pt>
                <c:pt idx="14">
                  <c:v>0.35034454416157151</c:v>
                </c:pt>
                <c:pt idx="15">
                  <c:v>0.34617544408604878</c:v>
                </c:pt>
                <c:pt idx="16">
                  <c:v>0.34205595630142477</c:v>
                </c:pt>
                <c:pt idx="17">
                  <c:v>0.33798549042143783</c:v>
                </c:pt>
                <c:pt idx="18">
                  <c:v>0.33396346308542268</c:v>
                </c:pt>
                <c:pt idx="19">
                  <c:v>0.33</c:v>
                </c:pt>
              </c:numCache>
            </c:numRef>
          </c:val>
        </c:ser>
        <c:ser>
          <c:idx val="4"/>
          <c:order val="4"/>
          <c:tx>
            <c:strRef>
              <c:f>'Fraksi pengelolaan sampah BaU'!$F$5</c:f>
              <c:strCache>
                <c:ptCount val="1"/>
                <c:pt idx="0">
                  <c:v>3R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'Fraksi pengelolaan sampah BaU'!$A$6:$A$25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'Fraksi pengelolaan sampah BaU'!$F$6:$F$25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2.146E-2</c:v>
                </c:pt>
                <c:pt idx="8">
                  <c:v>2.3026579999999998E-2</c:v>
                </c:pt>
                <c:pt idx="9">
                  <c:v>2.4707520339999997E-2</c:v>
                </c:pt>
                <c:pt idx="10">
                  <c:v>2.6511169324819995E-2</c:v>
                </c:pt>
                <c:pt idx="11">
                  <c:v>2.8446484685531855E-2</c:v>
                </c:pt>
                <c:pt idx="12">
                  <c:v>3.052307806757568E-2</c:v>
                </c:pt>
                <c:pt idx="13">
                  <c:v>3.27512627665087E-2</c:v>
                </c:pt>
                <c:pt idx="14">
                  <c:v>3.5142104948463836E-2</c:v>
                </c:pt>
                <c:pt idx="15">
                  <c:v>3.7707478609701695E-2</c:v>
                </c:pt>
                <c:pt idx="16">
                  <c:v>4.0460124548209915E-2</c:v>
                </c:pt>
                <c:pt idx="17">
                  <c:v>4.3413713640229237E-2</c:v>
                </c:pt>
                <c:pt idx="18">
                  <c:v>4.6582914735965972E-2</c:v>
                </c:pt>
                <c:pt idx="19">
                  <c:v>0.05</c:v>
                </c:pt>
              </c:numCache>
            </c:numRef>
          </c:val>
        </c:ser>
        <c:ser>
          <c:idx val="5"/>
          <c:order val="5"/>
          <c:tx>
            <c:strRef>
              <c:f>'Fraksi pengelolaan sampah BaU'!$G$5</c:f>
              <c:strCache>
                <c:ptCount val="1"/>
                <c:pt idx="0">
                  <c:v>Dibuang sembarangan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'Fraksi pengelolaan sampah BaU'!$A$6:$A$25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'Fraksi pengelolaan sampah BaU'!$G$6:$G$25</c:f>
              <c:numCache>
                <c:formatCode>0.00%</c:formatCode>
                <c:ptCount val="20"/>
              </c:numCache>
            </c:numRef>
          </c:val>
        </c:ser>
        <c:ser>
          <c:idx val="6"/>
          <c:order val="6"/>
          <c:tx>
            <c:strRef>
              <c:f>'Fraksi pengelolaan sampah BaU'!$H$5</c:f>
              <c:strCache>
                <c:ptCount val="1"/>
                <c:pt idx="0">
                  <c:v>Lainnya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'Fraksi pengelolaan sampah BaU'!$A$6:$A$25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'Fraksi pengelolaan sampah BaU'!$H$6:$H$25</c:f>
              <c:numCache>
                <c:formatCode>0.00%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45272"/>
        <c:axId val="136045664"/>
      </c:barChart>
      <c:catAx>
        <c:axId val="13604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5664"/>
        <c:crosses val="autoZero"/>
        <c:auto val="1"/>
        <c:lblAlgn val="ctr"/>
        <c:lblOffset val="100"/>
        <c:noMultiLvlLbl val="0"/>
      </c:catAx>
      <c:valAx>
        <c:axId val="1360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GRK'!$B$32:$F$32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GRK'!$F$35:$F$54</c:f>
              <c:numCache>
                <c:formatCode>_(* #,##0.00_);_(* \(#,##0.00\);_(* "-"??_);_(@_)</c:formatCode>
                <c:ptCount val="20"/>
                <c:pt idx="0">
                  <c:v>0.30079140695999995</c:v>
                </c:pt>
                <c:pt idx="1">
                  <c:v>0.30662025767999995</c:v>
                </c:pt>
                <c:pt idx="2">
                  <c:v>0.31242913218000001</c:v>
                </c:pt>
                <c:pt idx="3">
                  <c:v>0.31809291623999991</c:v>
                </c:pt>
                <c:pt idx="4">
                  <c:v>0.32360109605999998</c:v>
                </c:pt>
                <c:pt idx="5">
                  <c:v>0.32906511791999993</c:v>
                </c:pt>
                <c:pt idx="6">
                  <c:v>0.351430959856185</c:v>
                </c:pt>
                <c:pt idx="7">
                  <c:v>0.36984301408847231</c:v>
                </c:pt>
                <c:pt idx="8">
                  <c:v>0.38901910561485681</c:v>
                </c:pt>
                <c:pt idx="9">
                  <c:v>0.40898782937005196</c:v>
                </c:pt>
                <c:pt idx="10">
                  <c:v>0.42977878961075738</c:v>
                </c:pt>
                <c:pt idx="11">
                  <c:v>0.45142263422077733</c:v>
                </c:pt>
                <c:pt idx="12">
                  <c:v>0.473951090151707</c:v>
                </c:pt>
                <c:pt idx="13">
                  <c:v>0.49739700003605392</c:v>
                </c:pt>
                <c:pt idx="14">
                  <c:v>0.52179436001083279</c:v>
                </c:pt>
                <c:pt idx="15">
                  <c:v>0.54717835879089471</c:v>
                </c:pt>
                <c:pt idx="16">
                  <c:v>0.57358541803250152</c:v>
                </c:pt>
                <c:pt idx="17">
                  <c:v>0.60105323402895205</c:v>
                </c:pt>
                <c:pt idx="18">
                  <c:v>0.62962082078140313</c:v>
                </c:pt>
                <c:pt idx="19" formatCode="0.00000">
                  <c:v>0.65907974879999998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0"/>
          <c:order val="1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GRK'!$D$9:$D$28</c:f>
              <c:numCache>
                <c:formatCode>_(* #,##0.00_);_(* \(#,##0.00\);_(* "-"??_);_(@_)</c:formatCode>
                <c:ptCount val="20"/>
                <c:pt idx="0">
                  <c:v>34.94452452656639</c:v>
                </c:pt>
                <c:pt idx="1">
                  <c:v>36.651144206788132</c:v>
                </c:pt>
                <c:pt idx="2">
                  <c:v>38.162890625184616</c:v>
                </c:pt>
                <c:pt idx="3">
                  <c:v>39.53456374376605</c:v>
                </c:pt>
                <c:pt idx="4">
                  <c:v>40.799406105279935</c:v>
                </c:pt>
                <c:pt idx="5">
                  <c:v>41.980082850959448</c:v>
                </c:pt>
                <c:pt idx="6">
                  <c:v>38.52961838061492</c:v>
                </c:pt>
                <c:pt idx="7">
                  <c:v>39.176423790872278</c:v>
                </c:pt>
                <c:pt idx="8">
                  <c:v>40.19642208638146</c:v>
                </c:pt>
                <c:pt idx="9">
                  <c:v>41.491142689887958</c:v>
                </c:pt>
                <c:pt idx="10">
                  <c:v>42.994111813257533</c:v>
                </c:pt>
                <c:pt idx="11">
                  <c:v>44.660389652385767</c:v>
                </c:pt>
                <c:pt idx="12">
                  <c:v>46.459536008048417</c:v>
                </c:pt>
                <c:pt idx="13">
                  <c:v>48.370876378257663</c:v>
                </c:pt>
                <c:pt idx="14">
                  <c:v>50.380311983635607</c:v>
                </c:pt>
                <c:pt idx="15">
                  <c:v>52.478166217705656</c:v>
                </c:pt>
                <c:pt idx="16">
                  <c:v>54.657726996501992</c:v>
                </c:pt>
                <c:pt idx="17">
                  <c:v>56.914256457232284</c:v>
                </c:pt>
                <c:pt idx="18">
                  <c:v>59.244314551166646</c:v>
                </c:pt>
                <c:pt idx="19">
                  <c:v>61.6397704484786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2"/>
          <c:tx>
            <c:strRef>
              <c:f>'Rekapitulasi BaU Emisi GRK'!$B$58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GRK'!$F$61:$F$80</c:f>
              <c:numCache>
                <c:formatCode>_(* #,##0.00_);_(* \(#,##0.00\);_(* "-"??_);_(@_)</c:formatCode>
                <c:ptCount val="20"/>
                <c:pt idx="0">
                  <c:v>1.4714326657799996</c:v>
                </c:pt>
                <c:pt idx="1">
                  <c:v>1.4999466497399998</c:v>
                </c:pt>
                <c:pt idx="2">
                  <c:v>1.5283629126149998</c:v>
                </c:pt>
                <c:pt idx="3">
                  <c:v>1.5560694118199998</c:v>
                </c:pt>
                <c:pt idx="4">
                  <c:v>1.5830147152049998</c:v>
                </c:pt>
                <c:pt idx="5">
                  <c:v>1.6097440035599999</c:v>
                </c:pt>
                <c:pt idx="6">
                  <c:v>1.6715165873174997</c:v>
                </c:pt>
                <c:pt idx="7">
                  <c:v>1.7103452889599997</c:v>
                </c:pt>
                <c:pt idx="8">
                  <c:v>1.7491739906024997</c:v>
                </c:pt>
                <c:pt idx="9">
                  <c:v>1.7880026922449994</c:v>
                </c:pt>
                <c:pt idx="10">
                  <c:v>1.8268313938874994</c:v>
                </c:pt>
                <c:pt idx="11">
                  <c:v>1.8656600955300002</c:v>
                </c:pt>
                <c:pt idx="12">
                  <c:v>1.9044887971724997</c:v>
                </c:pt>
                <c:pt idx="13">
                  <c:v>1.9433174988150002</c:v>
                </c:pt>
                <c:pt idx="14">
                  <c:v>1.9821462004575001</c:v>
                </c:pt>
                <c:pt idx="15">
                  <c:v>2.0209749020999999</c:v>
                </c:pt>
                <c:pt idx="16">
                  <c:v>2.0598036037425</c:v>
                </c:pt>
                <c:pt idx="17">
                  <c:v>2.0986323053850002</c:v>
                </c:pt>
                <c:pt idx="18">
                  <c:v>2.1374610070274995</c:v>
                </c:pt>
                <c:pt idx="19">
                  <c:v>2.1762897086699997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046448"/>
        <c:axId val="136046840"/>
        <c:axId val="0"/>
      </c:bar3DChart>
      <c:catAx>
        <c:axId val="13604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6046840"/>
        <c:crosses val="autoZero"/>
        <c:auto val="1"/>
        <c:lblAlgn val="ctr"/>
        <c:lblOffset val="100"/>
        <c:noMultiLvlLbl val="0"/>
      </c:catAx>
      <c:valAx>
        <c:axId val="13604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6046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Baseline </a:t>
            </a:r>
            <a:r>
              <a:rPr lang="id-ID" baseline="0"/>
              <a:t> Emisi GRK dari </a:t>
            </a:r>
            <a:r>
              <a:rPr lang="en-US" baseline="0"/>
              <a:t>Pengelolaan Air Limbah Domestik</a:t>
            </a:r>
            <a:endParaRPr lang="id-ID" baseline="0"/>
          </a:p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aseline="0"/>
              <a:t>Periode 2000 - 2010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GRK'!$D$86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GRK'!$E$90:$E$100</c:f>
              <c:numCache>
                <c:formatCode>_(* #,##0.00_);_(* \(#,##0.00\);_(* "-"??_);_(@_)</c:formatCode>
                <c:ptCount val="11"/>
                <c:pt idx="0">
                  <c:v>6.1656683970514283</c:v>
                </c:pt>
                <c:pt idx="1">
                  <c:v>6.0611795979428571</c:v>
                </c:pt>
                <c:pt idx="2">
                  <c:v>6.0910481893485713</c:v>
                </c:pt>
                <c:pt idx="3">
                  <c:v>6.3414632060266687</c:v>
                </c:pt>
                <c:pt idx="4">
                  <c:v>6.4534954090304781</c:v>
                </c:pt>
                <c:pt idx="5">
                  <c:v>6.5646294725942864</c:v>
                </c:pt>
                <c:pt idx="6">
                  <c:v>6.821465276025716</c:v>
                </c:pt>
                <c:pt idx="7">
                  <c:v>6.9829058403657154</c:v>
                </c:pt>
                <c:pt idx="8">
                  <c:v>7.144346404705713</c:v>
                </c:pt>
                <c:pt idx="9">
                  <c:v>7.3057869690457133</c:v>
                </c:pt>
                <c:pt idx="10">
                  <c:v>7.4672275333857154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GRK'!$B$86:$C$86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GRK'!$C$90:$C$100</c:f>
              <c:numCache>
                <c:formatCode>_(* #,##0.00_);_(* \(#,##0.00\);_(* "-"??_);_(@_)</c:formatCode>
                <c:ptCount val="11"/>
                <c:pt idx="0">
                  <c:v>12.289915764806398</c:v>
                </c:pt>
                <c:pt idx="1">
                  <c:v>12.533176168531204</c:v>
                </c:pt>
                <c:pt idx="2">
                  <c:v>12.775602887611198</c:v>
                </c:pt>
                <c:pt idx="3">
                  <c:v>13.0119744234816</c:v>
                </c:pt>
                <c:pt idx="4">
                  <c:v>13.241851994750402</c:v>
                </c:pt>
                <c:pt idx="5">
                  <c:v>13.469886684172801</c:v>
                </c:pt>
                <c:pt idx="6">
                  <c:v>13.996885075034401</c:v>
                </c:pt>
                <c:pt idx="7">
                  <c:v>14.328143086924802</c:v>
                </c:pt>
                <c:pt idx="8">
                  <c:v>14.6594010988152</c:v>
                </c:pt>
                <c:pt idx="9">
                  <c:v>14.990659110705598</c:v>
                </c:pt>
                <c:pt idx="10">
                  <c:v>15.321917122596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048016"/>
        <c:axId val="136048408"/>
        <c:axId val="0"/>
      </c:bar3DChart>
      <c:catAx>
        <c:axId val="1360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8408"/>
        <c:crosses val="autoZero"/>
        <c:auto val="1"/>
        <c:lblAlgn val="ctr"/>
        <c:lblOffset val="100"/>
        <c:noMultiLvlLbl val="0"/>
      </c:catAx>
      <c:valAx>
        <c:axId val="13604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8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Cair Domestik</a:t>
            </a:r>
            <a:r>
              <a:rPr lang="id-ID" baseline="0"/>
              <a:t> </a:t>
            </a:r>
          </a:p>
          <a:p>
            <a:pPr>
              <a:defRPr/>
            </a:pPr>
            <a:r>
              <a:rPr lang="id-ID" baseline="0"/>
              <a:t>Periode 2011 - 2030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'Rekapitulasi BaU Emisi GRK'!$A$86:$A$89</c:f>
              <c:strCache>
                <c:ptCount val="4"/>
                <c:pt idx="0">
                  <c:v>Tahun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GRK'!$G$90:$G$109</c:f>
              <c:numCache>
                <c:formatCode>_(* #,##0.00_);_(* \(#,##0.00\);_(* "-"??_);_(@_)</c:formatCode>
                <c:ptCount val="20"/>
                <c:pt idx="0">
                  <c:v>18455.584161857827</c:v>
                </c:pt>
                <c:pt idx="1">
                  <c:v>18594.355766474058</c:v>
                </c:pt>
                <c:pt idx="2">
                  <c:v>18866.65107695977</c:v>
                </c:pt>
                <c:pt idx="3">
                  <c:v>19353.437629508269</c:v>
                </c:pt>
                <c:pt idx="4">
                  <c:v>19695.347403780877</c:v>
                </c:pt>
                <c:pt idx="5">
                  <c:v>20034.516156767088</c:v>
                </c:pt>
                <c:pt idx="6">
                  <c:v>20818.350351060119</c:v>
                </c:pt>
                <c:pt idx="7">
                  <c:v>21311.048927290518</c:v>
                </c:pt>
                <c:pt idx="8">
                  <c:v>21803.747503520914</c:v>
                </c:pt>
                <c:pt idx="9">
                  <c:v>22296.446079751313</c:v>
                </c:pt>
                <c:pt idx="10">
                  <c:v>22789.144655981716</c:v>
                </c:pt>
                <c:pt idx="11">
                  <c:v>23281.843232212119</c:v>
                </c:pt>
                <c:pt idx="12">
                  <c:v>23774.541808442511</c:v>
                </c:pt>
                <c:pt idx="13">
                  <c:v>24267.24038467291</c:v>
                </c:pt>
                <c:pt idx="14">
                  <c:v>24759.938960903321</c:v>
                </c:pt>
                <c:pt idx="15">
                  <c:v>25252.637537133716</c:v>
                </c:pt>
                <c:pt idx="16">
                  <c:v>25745.336113364119</c:v>
                </c:pt>
                <c:pt idx="17">
                  <c:v>26238.034689594515</c:v>
                </c:pt>
                <c:pt idx="18">
                  <c:v>26730.733265824918</c:v>
                </c:pt>
                <c:pt idx="19">
                  <c:v>27223.431842055314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49584"/>
        <c:axId val="136049976"/>
      </c:lineChart>
      <c:catAx>
        <c:axId val="1360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9976"/>
        <c:crosses val="autoZero"/>
        <c:auto val="1"/>
        <c:lblAlgn val="ctr"/>
        <c:lblOffset val="100"/>
        <c:noMultiLvlLbl val="0"/>
      </c:catAx>
      <c:valAx>
        <c:axId val="13604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Emisi GRK 2011 - 2030 Limbah Padat Domestik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GRK'!$H$61:$H$80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GRK'!$J$61:$J$80</c:f>
              <c:numCache>
                <c:formatCode>_-* #,##0_-;\-* #,##0_-;_-* "-"??_-;_-@_-</c:formatCode>
                <c:ptCount val="20"/>
                <c:pt idx="0">
                  <c:v>61497.40224649122</c:v>
                </c:pt>
                <c:pt idx="1">
                  <c:v>64448.601608968107</c:v>
                </c:pt>
                <c:pt idx="2">
                  <c:v>67066.617065871382</c:v>
                </c:pt>
                <c:pt idx="3">
                  <c:v>69444.372414131009</c:v>
                </c:pt>
                <c:pt idx="4">
                  <c:v>71638.62195627777</c:v>
                </c:pt>
                <c:pt idx="5">
                  <c:v>73688.760279529204</c:v>
                </c:pt>
                <c:pt idx="6">
                  <c:v>71114.141613502507</c:v>
                </c:pt>
                <c:pt idx="7">
                  <c:v>72075.03117066031</c:v>
                </c:pt>
                <c:pt idx="8">
                  <c:v>73331.49530772648</c:v>
                </c:pt>
                <c:pt idx="9">
                  <c:v>74794.121114316731</c:v>
                </c:pt>
                <c:pt idx="10">
                  <c:v>76402.979266750612</c:v>
                </c:pt>
                <c:pt idx="11">
                  <c:v>78117.858893364159</c:v>
                </c:pt>
                <c:pt idx="12">
                  <c:v>79911.710330086673</c:v>
                </c:pt>
                <c:pt idx="13">
                  <c:v>81766.238360435513</c:v>
                </c:pt>
                <c:pt idx="14">
                  <c:v>83668.93696349638</c:v>
                </c:pt>
                <c:pt idx="15">
                  <c:v>85611.090168158931</c:v>
                </c:pt>
                <c:pt idx="16">
                  <c:v>87586.420193755141</c:v>
                </c:pt>
                <c:pt idx="17">
                  <c:v>89590.169026340896</c:v>
                </c:pt>
                <c:pt idx="18">
                  <c:v>91618.469949290404</c:v>
                </c:pt>
                <c:pt idx="19">
                  <c:v>93662.140920327685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037576"/>
        <c:axId val="306037968"/>
      </c:lineChart>
      <c:catAx>
        <c:axId val="30603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37968"/>
        <c:crosses val="autoZero"/>
        <c:auto val="1"/>
        <c:lblAlgn val="ctr"/>
        <c:lblOffset val="100"/>
        <c:noMultiLvlLbl val="0"/>
      </c:catAx>
      <c:valAx>
        <c:axId val="3060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3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274862</xdr:colOff>
      <xdr:row>4</xdr:row>
      <xdr:rowOff>324529</xdr:rowOff>
    </xdr:from>
    <xdr:to>
      <xdr:col>18</xdr:col>
      <xdr:colOff>358588</xdr:colOff>
      <xdr:row>23</xdr:row>
      <xdr:rowOff>125185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29</xdr:row>
      <xdr:rowOff>118581</xdr:rowOff>
    </xdr:from>
    <xdr:to>
      <xdr:col>18</xdr:col>
      <xdr:colOff>95757</xdr:colOff>
      <xdr:row>47</xdr:row>
      <xdr:rowOff>156881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201706</xdr:colOff>
      <xdr:row>84</xdr:row>
      <xdr:rowOff>134472</xdr:rowOff>
    </xdr:from>
    <xdr:to>
      <xdr:col>18</xdr:col>
      <xdr:colOff>129378</xdr:colOff>
      <xdr:row>97</xdr:row>
      <xdr:rowOff>159939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219314</xdr:colOff>
      <xdr:row>98</xdr:row>
      <xdr:rowOff>112779</xdr:rowOff>
    </xdr:from>
    <xdr:to>
      <xdr:col>18</xdr:col>
      <xdr:colOff>212912</xdr:colOff>
      <xdr:row>115</xdr:row>
      <xdr:rowOff>156882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112057</xdr:colOff>
      <xdr:row>57</xdr:row>
      <xdr:rowOff>169209</xdr:rowOff>
    </xdr:from>
    <xdr:to>
      <xdr:col>18</xdr:col>
      <xdr:colOff>44823</xdr:colOff>
      <xdr:row>71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1_Data%20Jumlah%20Penduduk%20dan%20Pertumbu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PP_IPCC%204A-TPA%20-%201_Diangkut%20TPA_Mitig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PP_IPCC%204A-TPA%20-%203_Dibuang%20Sembarangan_Mitigas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PP_IPCC%204A-TPA%20-%202_Open%20Dumping_Mitigas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PP_IPCC%204A-TPA%20-%204_Buang%20ke%20sungai_Mitigas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PP_IPCC%204A-TPA%20-%205_Air%20Limbah_Mitig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14">
          <cell r="I14">
            <v>572184</v>
          </cell>
        </row>
        <row r="15">
          <cell r="I15">
            <v>583272</v>
          </cell>
        </row>
        <row r="16">
          <cell r="I16">
            <v>594322</v>
          </cell>
        </row>
        <row r="17">
          <cell r="I17">
            <v>605096</v>
          </cell>
        </row>
        <row r="18">
          <cell r="I18">
            <v>615574</v>
          </cell>
        </row>
        <row r="19">
          <cell r="I19">
            <v>625968</v>
          </cell>
        </row>
        <row r="20">
          <cell r="I20">
            <v>649989</v>
          </cell>
        </row>
        <row r="21">
          <cell r="I21">
            <v>665088</v>
          </cell>
        </row>
        <row r="22">
          <cell r="I22">
            <v>680187</v>
          </cell>
        </row>
        <row r="23">
          <cell r="I23">
            <v>695286</v>
          </cell>
        </row>
        <row r="24">
          <cell r="I24">
            <v>710385</v>
          </cell>
        </row>
        <row r="25">
          <cell r="I25">
            <v>725484</v>
          </cell>
        </row>
        <row r="26">
          <cell r="I26">
            <v>740583</v>
          </cell>
        </row>
        <row r="27">
          <cell r="I27">
            <v>755682</v>
          </cell>
        </row>
        <row r="28">
          <cell r="I28">
            <v>770781</v>
          </cell>
        </row>
        <row r="29">
          <cell r="I29">
            <v>785880</v>
          </cell>
        </row>
        <row r="30">
          <cell r="I30">
            <v>800979</v>
          </cell>
        </row>
        <row r="31">
          <cell r="I31">
            <v>816078</v>
          </cell>
        </row>
        <row r="32">
          <cell r="I32">
            <v>831177</v>
          </cell>
        </row>
        <row r="33">
          <cell r="I33">
            <v>846276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1.6640249774555425</v>
          </cell>
        </row>
        <row r="29">
          <cell r="O29">
            <v>1.7452925812756255</v>
          </cell>
        </row>
        <row r="30">
          <cell r="O30">
            <v>1.8172805059611721</v>
          </cell>
        </row>
        <row r="31">
          <cell r="O31">
            <v>1.8825982735126692</v>
          </cell>
        </row>
        <row r="32">
          <cell r="O32">
            <v>1.9428288621561873</v>
          </cell>
        </row>
        <row r="33">
          <cell r="O33">
            <v>1.9990515643314024</v>
          </cell>
        </row>
        <row r="34">
          <cell r="O34">
            <v>1.8347437324102343</v>
          </cell>
        </row>
        <row r="35">
          <cell r="O35">
            <v>1.8655439900415369</v>
          </cell>
        </row>
        <row r="36">
          <cell r="O36">
            <v>1.9141153374467361</v>
          </cell>
        </row>
        <row r="37">
          <cell r="O37">
            <v>1.9757686995184742</v>
          </cell>
        </row>
        <row r="38">
          <cell r="O38">
            <v>2.0473386577741683</v>
          </cell>
        </row>
        <row r="39">
          <cell r="O39">
            <v>2.1266852215421794</v>
          </cell>
        </row>
        <row r="40">
          <cell r="O40">
            <v>2.2123588575261151</v>
          </cell>
        </row>
        <row r="41">
          <cell r="O41">
            <v>2.3033750656313172</v>
          </cell>
        </row>
        <row r="42">
          <cell r="O42">
            <v>2.3990624754112195</v>
          </cell>
        </row>
        <row r="43">
          <cell r="O43">
            <v>2.4989602960812216</v>
          </cell>
        </row>
        <row r="44">
          <cell r="O44">
            <v>2.6027489045953329</v>
          </cell>
        </row>
        <row r="45">
          <cell r="O45">
            <v>2.7102026884396326</v>
          </cell>
        </row>
        <row r="46">
          <cell r="O46">
            <v>2.8211578357698404</v>
          </cell>
        </row>
        <row r="47">
          <cell r="O47">
            <v>2.9352271642132668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1.1800311260564202</v>
          </cell>
        </row>
        <row r="29">
          <cell r="O29">
            <v>1.2376614521314273</v>
          </cell>
        </row>
        <row r="30">
          <cell r="O30">
            <v>1.2887111617091314</v>
          </cell>
        </row>
        <row r="31">
          <cell r="O31">
            <v>1.3350307782049984</v>
          </cell>
        </row>
        <row r="32">
          <cell r="O32">
            <v>1.377742859034897</v>
          </cell>
        </row>
        <row r="33">
          <cell r="O33">
            <v>1.4176127765280835</v>
          </cell>
        </row>
        <row r="34">
          <cell r="O34">
            <v>1.455313127891138</v>
          </cell>
        </row>
        <row r="35">
          <cell r="O35">
            <v>1.4901745780154605</v>
          </cell>
        </row>
        <row r="36">
          <cell r="O36">
            <v>1.5168996648993924</v>
          </cell>
        </row>
        <row r="37">
          <cell r="O37">
            <v>1.5375518240765631</v>
          </cell>
        </row>
        <row r="38">
          <cell r="O38">
            <v>1.5535657832992498</v>
          </cell>
        </row>
        <row r="39">
          <cell r="O39">
            <v>1.5659491274324704</v>
          </cell>
        </row>
        <row r="40">
          <cell r="O40">
            <v>1.5754182071830742</v>
          </cell>
        </row>
        <row r="41">
          <cell r="O41">
            <v>1.5824899167267656</v>
          </cell>
        </row>
        <row r="42">
          <cell r="O42">
            <v>1.5875437875669891</v>
          </cell>
        </row>
        <row r="43">
          <cell r="O43">
            <v>1.5908640987093261</v>
          </cell>
        </row>
        <row r="44">
          <cell r="O44">
            <v>1.5926685186051959</v>
          </cell>
        </row>
        <row r="45">
          <cell r="O45">
            <v>1.5931276575275579</v>
          </cell>
        </row>
        <row r="46">
          <cell r="O46">
            <v>1.5923784749606198</v>
          </cell>
        </row>
        <row r="47">
          <cell r="O47">
            <v>1.5905335238183915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2.2630812456433513E-2</v>
          </cell>
        </row>
        <row r="36">
          <cell r="O36">
            <v>4.0857754179027199E-2</v>
          </cell>
        </row>
        <row r="37">
          <cell r="O37">
            <v>5.6314304894957104E-2</v>
          </cell>
        </row>
        <row r="38">
          <cell r="O38">
            <v>7.0124960918543963E-2</v>
          </cell>
        </row>
        <row r="39">
          <cell r="O39">
            <v>8.3073579278774623E-2</v>
          </cell>
        </row>
        <row r="40">
          <cell r="O40">
            <v>9.5716567434785862E-2</v>
          </cell>
        </row>
        <row r="41">
          <cell r="O41">
            <v>0.10845908418739407</v>
          </cell>
        </row>
        <row r="42">
          <cell r="O42">
            <v>0.12160643426258676</v>
          </cell>
        </row>
        <row r="43">
          <cell r="O43">
            <v>0.13539882777778425</v>
          </cell>
        </row>
        <row r="44">
          <cell r="O44">
            <v>0.15003498643956908</v>
          </cell>
        </row>
        <row r="45">
          <cell r="O45">
            <v>0.1656882751611454</v>
          </cell>
        </row>
        <row r="46">
          <cell r="O46">
            <v>0.18251782875515055</v>
          </cell>
        </row>
        <row r="47">
          <cell r="O47">
            <v>0.20067633265748222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4C1_Amount_Waste_OpenBurned"/>
      <sheetName val="4C2_CO2_OpenBurning"/>
      <sheetName val="4C2_CH4_OpenBurning"/>
      <sheetName val="4C2_N2O_OpenBurning"/>
      <sheetName val="REKAPITULASI"/>
      <sheetName val="4D1_TOW_DomesticWastewater"/>
      <sheetName val="4D1_CH4_EF_DomesticWastewater"/>
      <sheetName val="4D1_CH4_Domestic_Wastewater"/>
      <sheetName val="4D1_N_effluent"/>
      <sheetName val="4D1_Indirect_N2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B6">
            <v>6.7975459199999992E-3</v>
          </cell>
          <cell r="D6">
            <v>5.0981594399999997E-4</v>
          </cell>
        </row>
        <row r="7">
          <cell r="B7">
            <v>6.9292713599999993E-3</v>
          </cell>
          <cell r="D7">
            <v>5.1969535199999993E-4</v>
          </cell>
        </row>
        <row r="8">
          <cell r="B8">
            <v>7.0605453599999991E-3</v>
          </cell>
          <cell r="D8">
            <v>5.2954090199999998E-4</v>
          </cell>
        </row>
        <row r="9">
          <cell r="B9">
            <v>7.1885404799999992E-3</v>
          </cell>
          <cell r="D9">
            <v>5.3914053599999994E-4</v>
          </cell>
        </row>
        <row r="10">
          <cell r="B10">
            <v>7.31301912E-3</v>
          </cell>
          <cell r="D10">
            <v>5.48476434E-4</v>
          </cell>
        </row>
        <row r="11">
          <cell r="B11">
            <v>7.4364998399999984E-3</v>
          </cell>
          <cell r="D11">
            <v>5.5773748799999988E-4</v>
          </cell>
        </row>
        <row r="12">
          <cell r="B12">
            <v>7.9419425956199999E-3</v>
          </cell>
          <cell r="D12">
            <v>5.9564569467150002E-4</v>
          </cell>
        </row>
        <row r="13">
          <cell r="B13">
            <v>8.3580342166886396E-3</v>
          </cell>
          <cell r="D13">
            <v>6.2685256625164801E-4</v>
          </cell>
        </row>
        <row r="14">
          <cell r="B14">
            <v>8.7913922172848987E-3</v>
          </cell>
          <cell r="D14">
            <v>6.5935441629636751E-4</v>
          </cell>
        </row>
        <row r="15">
          <cell r="B15">
            <v>9.2426628106226424E-3</v>
          </cell>
          <cell r="D15">
            <v>6.9319971079669822E-4</v>
          </cell>
        </row>
        <row r="16">
          <cell r="B16">
            <v>9.7125150194521444E-3</v>
          </cell>
          <cell r="D16">
            <v>7.2843862645891077E-4</v>
          </cell>
        </row>
        <row r="17">
          <cell r="B17">
            <v>1.0201641451317002E-2</v>
          </cell>
          <cell r="D17">
            <v>7.6512310884877509E-4</v>
          </cell>
        </row>
        <row r="18">
          <cell r="B18">
            <v>1.0710759099473605E-2</v>
          </cell>
          <cell r="D18">
            <v>8.0330693246052041E-4</v>
          </cell>
        </row>
        <row r="19">
          <cell r="B19">
            <v>1.1240610170306302E-2</v>
          </cell>
          <cell r="D19">
            <v>8.4304576277297277E-4</v>
          </cell>
        </row>
        <row r="20">
          <cell r="B20">
            <v>1.1791962938097915E-2</v>
          </cell>
          <cell r="D20">
            <v>8.8439722035734368E-4</v>
          </cell>
        </row>
        <row r="21">
          <cell r="B21">
            <v>1.2365612628042819E-2</v>
          </cell>
          <cell r="D21">
            <v>9.2742094710321138E-4</v>
          </cell>
        </row>
        <row r="22">
          <cell r="B22">
            <v>1.2962382328418114E-2</v>
          </cell>
          <cell r="D22">
            <v>9.7217867463135856E-4</v>
          </cell>
        </row>
        <row r="23">
          <cell r="B23">
            <v>1.3583123932857672E-2</v>
          </cell>
          <cell r="D23">
            <v>1.0187342949643254E-3</v>
          </cell>
        </row>
        <row r="24">
          <cell r="B24">
            <v>1.4228719113704028E-2</v>
          </cell>
          <cell r="D24">
            <v>1.0671539335278019E-3</v>
          </cell>
        </row>
        <row r="25">
          <cell r="B25">
            <v>1.4894457600000001E-2</v>
          </cell>
          <cell r="D25">
            <v>1.11708432E-3</v>
          </cell>
        </row>
        <row r="32">
          <cell r="B32">
            <v>5.2264001789999986E-2</v>
          </cell>
          <cell r="D32">
            <v>1.2060923489999999E-3</v>
          </cell>
        </row>
        <row r="33">
          <cell r="B33">
            <v>5.3276793569999994E-2</v>
          </cell>
          <cell r="D33">
            <v>1.2294644669999999E-3</v>
          </cell>
        </row>
        <row r="34">
          <cell r="B34">
            <v>5.4286114382499993E-2</v>
          </cell>
          <cell r="D34">
            <v>1.25275648575E-3</v>
          </cell>
        </row>
        <row r="35">
          <cell r="B35">
            <v>5.5270225009999993E-2</v>
          </cell>
          <cell r="D35">
            <v>1.2754667309999997E-3</v>
          </cell>
        </row>
        <row r="36">
          <cell r="B36">
            <v>5.6227298627499998E-2</v>
          </cell>
          <cell r="D36">
            <v>1.29755304525E-3</v>
          </cell>
        </row>
        <row r="37">
          <cell r="B37">
            <v>5.717669957999999E-2</v>
          </cell>
          <cell r="D37">
            <v>1.3194622979999999E-3</v>
          </cell>
        </row>
        <row r="38">
          <cell r="B38">
            <v>5.937080774624999E-2</v>
          </cell>
          <cell r="D38">
            <v>1.3700955633750001E-3</v>
          </cell>
        </row>
        <row r="39">
          <cell r="B39">
            <v>6.0749969279999996E-2</v>
          </cell>
          <cell r="D39">
            <v>1.4019223679999999E-3</v>
          </cell>
        </row>
        <row r="40">
          <cell r="B40">
            <v>6.2129130813749989E-2</v>
          </cell>
          <cell r="D40">
            <v>1.4337491726249998E-3</v>
          </cell>
        </row>
        <row r="41">
          <cell r="B41">
            <v>6.3508292347499981E-2</v>
          </cell>
          <cell r="D41">
            <v>1.4655759772499997E-3</v>
          </cell>
        </row>
        <row r="42">
          <cell r="B42">
            <v>6.4887453881249987E-2</v>
          </cell>
          <cell r="D42">
            <v>1.4974027818749995E-3</v>
          </cell>
        </row>
        <row r="43">
          <cell r="B43">
            <v>6.6266615415000008E-2</v>
          </cell>
          <cell r="D43">
            <v>1.5292295865E-3</v>
          </cell>
        </row>
        <row r="44">
          <cell r="B44">
            <v>6.7645776948749986E-2</v>
          </cell>
          <cell r="D44">
            <v>1.5610563911249999E-3</v>
          </cell>
        </row>
        <row r="45">
          <cell r="B45">
            <v>6.9024938482500006E-2</v>
          </cell>
          <cell r="D45">
            <v>1.59288319575E-3</v>
          </cell>
        </row>
        <row r="46">
          <cell r="B46">
            <v>7.0404100016249999E-2</v>
          </cell>
          <cell r="D46">
            <v>1.6247100003750001E-3</v>
          </cell>
        </row>
        <row r="47">
          <cell r="B47">
            <v>7.1783261550000005E-2</v>
          </cell>
          <cell r="D47">
            <v>1.6565368050000002E-3</v>
          </cell>
        </row>
        <row r="48">
          <cell r="B48">
            <v>7.3162423083749997E-2</v>
          </cell>
          <cell r="D48">
            <v>1.6883636096249998E-3</v>
          </cell>
        </row>
        <row r="49">
          <cell r="B49">
            <v>7.4541584617500004E-2</v>
          </cell>
          <cell r="D49">
            <v>1.7201904142500001E-3</v>
          </cell>
        </row>
        <row r="50">
          <cell r="B50">
            <v>7.5920746151249982E-2</v>
          </cell>
          <cell r="D50">
            <v>1.7520172188749995E-3</v>
          </cell>
        </row>
        <row r="51">
          <cell r="B51">
            <v>7.7299907684999988E-2</v>
          </cell>
          <cell r="D51">
            <v>1.7838440234999998E-3</v>
          </cell>
        </row>
        <row r="59">
          <cell r="B59">
            <v>0.58523408403839994</v>
          </cell>
          <cell r="D59">
            <v>1.9889252893714286E-2</v>
          </cell>
        </row>
        <row r="60">
          <cell r="B60">
            <v>0.5968179127872002</v>
          </cell>
          <cell r="D60">
            <v>1.9552192251428572E-2</v>
          </cell>
        </row>
        <row r="61">
          <cell r="B61">
            <v>0.60836204226719992</v>
          </cell>
          <cell r="D61">
            <v>1.9648542546285713E-2</v>
          </cell>
        </row>
        <row r="62">
          <cell r="B62">
            <v>0.6196178296896</v>
          </cell>
          <cell r="D62">
            <v>2.0456332922666673E-2</v>
          </cell>
        </row>
        <row r="63">
          <cell r="B63">
            <v>0.63056438070240006</v>
          </cell>
          <cell r="D63">
            <v>2.0817727125904767E-2</v>
          </cell>
        </row>
        <row r="64">
          <cell r="B64">
            <v>0.64142317543680005</v>
          </cell>
          <cell r="D64">
            <v>2.117622410514286E-2</v>
          </cell>
        </row>
        <row r="65">
          <cell r="B65">
            <v>0.66651833690640006</v>
          </cell>
          <cell r="D65">
            <v>2.2004726696857147E-2</v>
          </cell>
        </row>
        <row r="66">
          <cell r="B66">
            <v>0.68229252794880013</v>
          </cell>
          <cell r="D66">
            <v>2.2525502710857147E-2</v>
          </cell>
        </row>
        <row r="67">
          <cell r="B67">
            <v>0.69806671899119999</v>
          </cell>
          <cell r="D67">
            <v>2.3046278724857139E-2</v>
          </cell>
        </row>
        <row r="68">
          <cell r="B68">
            <v>0.71384091003359995</v>
          </cell>
          <cell r="D68">
            <v>2.3567054738857139E-2</v>
          </cell>
        </row>
        <row r="69">
          <cell r="B69">
            <v>0.72961510107600003</v>
          </cell>
          <cell r="D69">
            <v>2.4087830752857146E-2</v>
          </cell>
        </row>
        <row r="70">
          <cell r="B70">
            <v>0.7453892921184001</v>
          </cell>
          <cell r="D70">
            <v>2.4608606766857145E-2</v>
          </cell>
        </row>
        <row r="71">
          <cell r="B71">
            <v>0.76116348316079985</v>
          </cell>
          <cell r="D71">
            <v>2.5129382780857145E-2</v>
          </cell>
        </row>
        <row r="72">
          <cell r="B72">
            <v>0.77693767420319981</v>
          </cell>
          <cell r="D72">
            <v>2.5650158794857145E-2</v>
          </cell>
        </row>
        <row r="73">
          <cell r="B73">
            <v>0.7927118652456</v>
          </cell>
          <cell r="D73">
            <v>2.6170934808857151E-2</v>
          </cell>
        </row>
        <row r="74">
          <cell r="B74">
            <v>0.80848605628800008</v>
          </cell>
          <cell r="D74">
            <v>2.6691710822857144E-2</v>
          </cell>
        </row>
        <row r="75">
          <cell r="B75">
            <v>0.82426024733040015</v>
          </cell>
          <cell r="D75">
            <v>2.7212486836857144E-2</v>
          </cell>
        </row>
        <row r="76">
          <cell r="B76">
            <v>0.8400344383727999</v>
          </cell>
          <cell r="D76">
            <v>2.773326285085715E-2</v>
          </cell>
        </row>
        <row r="77">
          <cell r="B77">
            <v>0.85580862941519997</v>
          </cell>
          <cell r="D77">
            <v>2.825403886485715E-2</v>
          </cell>
        </row>
        <row r="78">
          <cell r="B78">
            <v>0.87158282045759994</v>
          </cell>
          <cell r="D78">
            <v>2.8774814878857143E-2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85" zoomScaleNormal="85" workbookViewId="0">
      <selection activeCell="E5" sqref="E5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123</v>
      </c>
    </row>
    <row r="2" spans="1:14" ht="21" x14ac:dyDescent="0.25">
      <c r="G2" s="80" t="s">
        <v>17</v>
      </c>
    </row>
    <row r="3" spans="1:14" ht="15.75" customHeight="1" x14ac:dyDescent="0.25">
      <c r="A3" s="182" t="s">
        <v>10</v>
      </c>
      <c r="B3" s="182" t="s">
        <v>124</v>
      </c>
      <c r="C3" s="78" t="s">
        <v>11</v>
      </c>
      <c r="D3" s="181" t="s">
        <v>11</v>
      </c>
      <c r="E3" s="181"/>
      <c r="G3" s="81" t="s">
        <v>15</v>
      </c>
      <c r="H3" s="81"/>
      <c r="I3" s="81"/>
    </row>
    <row r="4" spans="1:14" x14ac:dyDescent="0.25">
      <c r="A4" s="183"/>
      <c r="B4" s="183"/>
      <c r="C4" s="78" t="s">
        <v>118</v>
      </c>
      <c r="D4" s="78" t="s">
        <v>13</v>
      </c>
      <c r="E4" s="78" t="s">
        <v>14</v>
      </c>
      <c r="G4" s="81" t="s">
        <v>16</v>
      </c>
      <c r="H4" s="81"/>
      <c r="I4" s="81"/>
    </row>
    <row r="5" spans="1:14" x14ac:dyDescent="0.25">
      <c r="A5" s="89">
        <v>2011</v>
      </c>
      <c r="B5" s="90">
        <f>[1]Sheet3!I14</f>
        <v>572184</v>
      </c>
      <c r="C5" s="82">
        <v>0.22</v>
      </c>
      <c r="D5" s="152">
        <f>C5*B5</f>
        <v>125880.48</v>
      </c>
      <c r="E5" s="152">
        <f>D5/1000</f>
        <v>125.88047999999999</v>
      </c>
    </row>
    <row r="6" spans="1:14" x14ac:dyDescent="0.25">
      <c r="A6" s="89">
        <v>2012</v>
      </c>
      <c r="B6" s="90">
        <f>[1]Sheet3!I15</f>
        <v>583272</v>
      </c>
      <c r="C6" s="82">
        <v>0.22</v>
      </c>
      <c r="D6" s="152">
        <f>C6*B6</f>
        <v>128319.84</v>
      </c>
      <c r="E6" s="152">
        <f t="shared" ref="E6:E24" si="0">D6/1000</f>
        <v>128.31984</v>
      </c>
      <c r="G6" s="83" t="s">
        <v>36</v>
      </c>
      <c r="H6" s="83"/>
      <c r="I6" s="83"/>
      <c r="J6" s="84">
        <v>2</v>
      </c>
      <c r="K6" s="85" t="s">
        <v>32</v>
      </c>
      <c r="L6" s="84">
        <v>3</v>
      </c>
      <c r="M6" s="83" t="s">
        <v>37</v>
      </c>
      <c r="N6" s="83"/>
    </row>
    <row r="7" spans="1:14" x14ac:dyDescent="0.25">
      <c r="A7" s="89">
        <v>2013</v>
      </c>
      <c r="B7" s="90">
        <f>[1]Sheet3!I16</f>
        <v>594322</v>
      </c>
      <c r="C7" s="82">
        <v>0.22</v>
      </c>
      <c r="D7" s="152">
        <f t="shared" ref="D7:D24" si="1">C7*B7</f>
        <v>130750.84</v>
      </c>
      <c r="E7" s="152">
        <f t="shared" si="0"/>
        <v>130.75083999999998</v>
      </c>
      <c r="G7" s="83"/>
      <c r="H7" s="83"/>
      <c r="I7" s="83"/>
      <c r="J7" s="84">
        <f>(2*250)/1000</f>
        <v>0.5</v>
      </c>
      <c r="K7" s="85" t="s">
        <v>32</v>
      </c>
      <c r="L7" s="84">
        <f>(3*250)/1000</f>
        <v>0.75</v>
      </c>
      <c r="M7" s="83" t="s">
        <v>12</v>
      </c>
      <c r="N7" s="83"/>
    </row>
    <row r="8" spans="1:14" x14ac:dyDescent="0.25">
      <c r="A8" s="89">
        <v>2014</v>
      </c>
      <c r="B8" s="90">
        <f>[1]Sheet3!I17</f>
        <v>605096</v>
      </c>
      <c r="C8" s="82">
        <v>0.22</v>
      </c>
      <c r="D8" s="152">
        <f t="shared" si="1"/>
        <v>133121.12</v>
      </c>
      <c r="E8" s="152">
        <f t="shared" si="0"/>
        <v>133.12111999999999</v>
      </c>
      <c r="G8" s="83"/>
      <c r="H8" s="83"/>
      <c r="I8" s="83"/>
      <c r="J8" s="86">
        <f>J7*(365/1000)</f>
        <v>0.1825</v>
      </c>
      <c r="K8" s="87" t="s">
        <v>32</v>
      </c>
      <c r="L8" s="86">
        <f>L7*(365/1000)</f>
        <v>0.27374999999999999</v>
      </c>
      <c r="M8" s="83" t="s">
        <v>38</v>
      </c>
      <c r="N8" s="83"/>
    </row>
    <row r="9" spans="1:14" x14ac:dyDescent="0.25">
      <c r="A9" s="89">
        <v>2015</v>
      </c>
      <c r="B9" s="90">
        <f>[1]Sheet3!I18</f>
        <v>615574</v>
      </c>
      <c r="C9" s="82">
        <v>0.22</v>
      </c>
      <c r="D9" s="152">
        <f t="shared" si="1"/>
        <v>135426.28</v>
      </c>
      <c r="E9" s="152">
        <f t="shared" si="0"/>
        <v>135.42627999999999</v>
      </c>
    </row>
    <row r="10" spans="1:14" x14ac:dyDescent="0.25">
      <c r="A10" s="89">
        <v>2016</v>
      </c>
      <c r="B10" s="90">
        <f>[1]Sheet3!I19</f>
        <v>625968</v>
      </c>
      <c r="C10" s="82">
        <v>0.22</v>
      </c>
      <c r="D10" s="152">
        <f t="shared" si="1"/>
        <v>137712.95999999999</v>
      </c>
      <c r="E10" s="152">
        <f t="shared" si="0"/>
        <v>137.71295999999998</v>
      </c>
      <c r="G10" s="88" t="s">
        <v>33</v>
      </c>
      <c r="H10" s="88"/>
      <c r="I10" s="88" t="s">
        <v>34</v>
      </c>
      <c r="J10" s="88"/>
      <c r="K10" s="88"/>
    </row>
    <row r="11" spans="1:14" x14ac:dyDescent="0.25">
      <c r="A11" s="89">
        <v>2017</v>
      </c>
      <c r="B11" s="90">
        <f>[1]Sheet3!I20</f>
        <v>649989</v>
      </c>
      <c r="C11" s="82">
        <v>0.22</v>
      </c>
      <c r="D11" s="152">
        <f t="shared" si="1"/>
        <v>142997.57999999999</v>
      </c>
      <c r="E11" s="152">
        <f t="shared" si="0"/>
        <v>142.99758</v>
      </c>
      <c r="G11" s="88"/>
      <c r="H11" s="88"/>
      <c r="I11" s="88" t="s">
        <v>35</v>
      </c>
      <c r="J11" s="88"/>
      <c r="K11" s="88"/>
    </row>
    <row r="12" spans="1:14" x14ac:dyDescent="0.25">
      <c r="A12" s="89">
        <v>2018</v>
      </c>
      <c r="B12" s="90">
        <f>[1]Sheet3!I21</f>
        <v>665088</v>
      </c>
      <c r="C12" s="82">
        <v>0.22</v>
      </c>
      <c r="D12" s="152">
        <f t="shared" si="1"/>
        <v>146319.36000000002</v>
      </c>
      <c r="E12" s="152">
        <f t="shared" si="0"/>
        <v>146.31936000000002</v>
      </c>
    </row>
    <row r="13" spans="1:14" x14ac:dyDescent="0.25">
      <c r="A13" s="89">
        <v>2019</v>
      </c>
      <c r="B13" s="90">
        <f>[1]Sheet3!I22</f>
        <v>680187</v>
      </c>
      <c r="C13" s="82">
        <v>0.22</v>
      </c>
      <c r="D13" s="152">
        <f t="shared" si="1"/>
        <v>149641.14000000001</v>
      </c>
      <c r="E13" s="152">
        <f t="shared" si="0"/>
        <v>149.64114000000001</v>
      </c>
    </row>
    <row r="14" spans="1:14" x14ac:dyDescent="0.25">
      <c r="A14" s="89">
        <v>2020</v>
      </c>
      <c r="B14" s="90">
        <f>[1]Sheet3!I23</f>
        <v>695286</v>
      </c>
      <c r="C14" s="82">
        <v>0.22</v>
      </c>
      <c r="D14" s="152">
        <f t="shared" si="1"/>
        <v>152962.92000000001</v>
      </c>
      <c r="E14" s="152">
        <f t="shared" si="0"/>
        <v>152.96292000000003</v>
      </c>
    </row>
    <row r="15" spans="1:14" x14ac:dyDescent="0.25">
      <c r="A15" s="89">
        <v>2021</v>
      </c>
      <c r="B15" s="90">
        <f>[1]Sheet3!I24</f>
        <v>710385</v>
      </c>
      <c r="C15" s="82">
        <v>0.22</v>
      </c>
      <c r="D15" s="152">
        <f t="shared" si="1"/>
        <v>156284.70000000001</v>
      </c>
      <c r="E15" s="152">
        <f t="shared" si="0"/>
        <v>156.28470000000002</v>
      </c>
    </row>
    <row r="16" spans="1:14" x14ac:dyDescent="0.25">
      <c r="A16" s="89">
        <v>2022</v>
      </c>
      <c r="B16" s="90">
        <f>[1]Sheet3!I25</f>
        <v>725484</v>
      </c>
      <c r="C16" s="82">
        <v>0.22</v>
      </c>
      <c r="D16" s="152">
        <f t="shared" si="1"/>
        <v>159606.48000000001</v>
      </c>
      <c r="E16" s="152">
        <f t="shared" si="0"/>
        <v>159.60648</v>
      </c>
    </row>
    <row r="17" spans="1:10" x14ac:dyDescent="0.25">
      <c r="A17" s="89">
        <v>2023</v>
      </c>
      <c r="B17" s="90">
        <f>[1]Sheet3!I26</f>
        <v>740583</v>
      </c>
      <c r="C17" s="82">
        <v>0.22</v>
      </c>
      <c r="D17" s="152">
        <f t="shared" si="1"/>
        <v>162928.26</v>
      </c>
      <c r="E17" s="152">
        <f t="shared" si="0"/>
        <v>162.92826000000002</v>
      </c>
      <c r="G17" s="91"/>
      <c r="H17" s="91"/>
      <c r="I17" s="91"/>
      <c r="J17" s="91"/>
    </row>
    <row r="18" spans="1:10" x14ac:dyDescent="0.25">
      <c r="A18" s="89">
        <v>2024</v>
      </c>
      <c r="B18" s="90">
        <f>[1]Sheet3!I27</f>
        <v>755682</v>
      </c>
      <c r="C18" s="82">
        <v>0.22</v>
      </c>
      <c r="D18" s="152">
        <f t="shared" si="1"/>
        <v>166250.04</v>
      </c>
      <c r="E18" s="152">
        <f t="shared" si="0"/>
        <v>166.25004000000001</v>
      </c>
      <c r="G18" s="91"/>
      <c r="H18" s="91"/>
      <c r="I18" s="91"/>
      <c r="J18" s="91"/>
    </row>
    <row r="19" spans="1:10" x14ac:dyDescent="0.25">
      <c r="A19" s="89">
        <v>2025</v>
      </c>
      <c r="B19" s="90">
        <f>[1]Sheet3!I28</f>
        <v>770781</v>
      </c>
      <c r="C19" s="82">
        <v>0.22</v>
      </c>
      <c r="D19" s="152">
        <f t="shared" si="1"/>
        <v>169571.82</v>
      </c>
      <c r="E19" s="152">
        <f t="shared" si="0"/>
        <v>169.57182</v>
      </c>
      <c r="G19" s="91"/>
      <c r="H19" s="91"/>
      <c r="I19" s="91"/>
      <c r="J19" s="91"/>
    </row>
    <row r="20" spans="1:10" x14ac:dyDescent="0.25">
      <c r="A20" s="89">
        <v>2026</v>
      </c>
      <c r="B20" s="90">
        <f>[1]Sheet3!I29</f>
        <v>785880</v>
      </c>
      <c r="C20" s="82">
        <v>0.22</v>
      </c>
      <c r="D20" s="152">
        <f t="shared" si="1"/>
        <v>172893.6</v>
      </c>
      <c r="E20" s="152">
        <f t="shared" si="0"/>
        <v>172.89359999999999</v>
      </c>
      <c r="G20" s="91"/>
      <c r="H20" s="91"/>
      <c r="I20" s="91"/>
      <c r="J20" s="91"/>
    </row>
    <row r="21" spans="1:10" x14ac:dyDescent="0.25">
      <c r="A21" s="89">
        <v>2027</v>
      </c>
      <c r="B21" s="90">
        <f>[1]Sheet3!I30</f>
        <v>800979</v>
      </c>
      <c r="C21" s="82">
        <v>0.22</v>
      </c>
      <c r="D21" s="152">
        <f t="shared" si="1"/>
        <v>176215.38</v>
      </c>
      <c r="E21" s="152">
        <f t="shared" si="0"/>
        <v>176.21538000000001</v>
      </c>
      <c r="G21" s="91"/>
      <c r="H21" s="91"/>
      <c r="I21" s="91"/>
      <c r="J21" s="91"/>
    </row>
    <row r="22" spans="1:10" x14ac:dyDescent="0.25">
      <c r="A22" s="89">
        <v>2028</v>
      </c>
      <c r="B22" s="90">
        <f>[1]Sheet3!I31</f>
        <v>816078</v>
      </c>
      <c r="C22" s="82">
        <v>0.22</v>
      </c>
      <c r="D22" s="152">
        <f t="shared" si="1"/>
        <v>179537.16</v>
      </c>
      <c r="E22" s="152">
        <f t="shared" si="0"/>
        <v>179.53716</v>
      </c>
      <c r="G22" s="91"/>
      <c r="H22" s="91"/>
      <c r="I22" s="91"/>
      <c r="J22" s="91"/>
    </row>
    <row r="23" spans="1:10" x14ac:dyDescent="0.25">
      <c r="A23" s="89">
        <v>2029</v>
      </c>
      <c r="B23" s="90">
        <f>[1]Sheet3!I32</f>
        <v>831177</v>
      </c>
      <c r="C23" s="82">
        <v>0.22</v>
      </c>
      <c r="D23" s="152">
        <f t="shared" si="1"/>
        <v>182858.94</v>
      </c>
      <c r="E23" s="152">
        <f t="shared" si="0"/>
        <v>182.85893999999999</v>
      </c>
      <c r="G23" s="91"/>
      <c r="H23" s="91"/>
      <c r="I23" s="91"/>
      <c r="J23" s="91"/>
    </row>
    <row r="24" spans="1:10" x14ac:dyDescent="0.25">
      <c r="A24" s="89">
        <v>2030</v>
      </c>
      <c r="B24" s="90">
        <f>[1]Sheet3!I33</f>
        <v>846276</v>
      </c>
      <c r="C24" s="82">
        <v>0.22</v>
      </c>
      <c r="D24" s="152">
        <f t="shared" si="1"/>
        <v>186180.72</v>
      </c>
      <c r="E24" s="152">
        <f t="shared" si="0"/>
        <v>186.18072000000001</v>
      </c>
      <c r="G24" s="91"/>
      <c r="H24" s="91"/>
      <c r="I24" s="91"/>
      <c r="J24" s="91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71"/>
  <sheetViews>
    <sheetView topLeftCell="A50" zoomScale="85" zoomScaleNormal="85" workbookViewId="0">
      <selection activeCell="B72" sqref="B72"/>
    </sheetView>
  </sheetViews>
  <sheetFormatPr defaultRowHeight="12.75" x14ac:dyDescent="0.25"/>
  <cols>
    <col min="1" max="1" width="9.140625" style="146"/>
    <col min="2" max="2" width="11.140625" style="146" customWidth="1"/>
    <col min="3" max="3" width="11" style="146" customWidth="1"/>
    <col min="4" max="5" width="9.140625" style="146"/>
    <col min="6" max="6" width="13.7109375" style="146" bestFit="1" customWidth="1"/>
    <col min="7" max="7" width="12.28515625" style="146" customWidth="1"/>
    <col min="8" max="8" width="9.140625" style="146"/>
    <col min="9" max="9" width="16.85546875" style="146" customWidth="1"/>
    <col min="10" max="10" width="28.140625" style="146" customWidth="1"/>
    <col min="11" max="11" width="9.140625" style="146"/>
    <col min="12" max="12" width="9" style="153" bestFit="1" customWidth="1"/>
    <col min="13" max="13" width="12" style="153" bestFit="1" customWidth="1"/>
    <col min="14" max="14" width="2.42578125" style="153" customWidth="1"/>
    <col min="15" max="15" width="7.140625" style="153" customWidth="1"/>
    <col min="16" max="19" width="9.140625" style="153"/>
    <col min="20" max="20" width="1.42578125" style="153" customWidth="1"/>
    <col min="21" max="21" width="7.140625" style="153" customWidth="1"/>
    <col min="22" max="22" width="50.28515625" style="153" customWidth="1"/>
    <col min="23" max="25" width="9.140625" style="153"/>
    <col min="26" max="16384" width="9.140625" style="146"/>
  </cols>
  <sheetData>
    <row r="2" spans="1:21" ht="51" x14ac:dyDescent="0.25">
      <c r="A2" s="184" t="s">
        <v>152</v>
      </c>
      <c r="B2" s="184"/>
      <c r="C2" s="184"/>
      <c r="D2" s="184"/>
      <c r="E2" s="184"/>
      <c r="F2" s="184"/>
      <c r="G2" s="184"/>
      <c r="H2" s="184"/>
      <c r="I2" s="184"/>
      <c r="J2" s="167" t="s">
        <v>153</v>
      </c>
    </row>
    <row r="3" spans="1:21" x14ac:dyDescent="0.25">
      <c r="A3" s="154" t="s">
        <v>123</v>
      </c>
    </row>
    <row r="4" spans="1:21" x14ac:dyDescent="0.25">
      <c r="B4" s="185" t="s">
        <v>0</v>
      </c>
      <c r="C4" s="185"/>
      <c r="D4" s="185"/>
      <c r="E4" s="185"/>
      <c r="F4" s="185"/>
      <c r="G4" s="185"/>
      <c r="H4" s="185"/>
      <c r="I4" s="189" t="s">
        <v>9</v>
      </c>
    </row>
    <row r="5" spans="1:21" ht="25.5" x14ac:dyDescent="0.25">
      <c r="A5" s="172" t="s">
        <v>8</v>
      </c>
      <c r="B5" s="151" t="s">
        <v>1</v>
      </c>
      <c r="C5" s="151" t="s">
        <v>2</v>
      </c>
      <c r="D5" s="151" t="s">
        <v>148</v>
      </c>
      <c r="E5" s="151" t="s">
        <v>4</v>
      </c>
      <c r="F5" s="174" t="s">
        <v>154</v>
      </c>
      <c r="G5" s="151" t="s">
        <v>127</v>
      </c>
      <c r="H5" s="151" t="s">
        <v>7</v>
      </c>
      <c r="I5" s="190"/>
      <c r="P5" s="155"/>
    </row>
    <row r="6" spans="1:21" x14ac:dyDescent="0.25">
      <c r="A6" s="156">
        <v>2011</v>
      </c>
      <c r="B6" s="173">
        <v>0.31609999999999999</v>
      </c>
      <c r="C6" s="173">
        <f>4%+9.35%+8.46%+6.21%</f>
        <v>0.2802</v>
      </c>
      <c r="D6" s="173">
        <v>1.35E-2</v>
      </c>
      <c r="E6" s="173">
        <v>0.39019999999999999</v>
      </c>
      <c r="F6" s="165">
        <v>0</v>
      </c>
      <c r="G6" s="165"/>
      <c r="H6" s="165"/>
      <c r="I6" s="157">
        <f>SUM(B6:E6)</f>
        <v>1</v>
      </c>
      <c r="L6" s="92"/>
    </row>
    <row r="7" spans="1:21" x14ac:dyDescent="0.25">
      <c r="A7" s="156">
        <v>2012</v>
      </c>
      <c r="B7" s="173">
        <v>0.31609999999999999</v>
      </c>
      <c r="C7" s="173">
        <f t="shared" ref="C7:C11" si="0">4%+9.35%+8.46%+6.21%</f>
        <v>0.2802</v>
      </c>
      <c r="D7" s="173">
        <v>1.35E-2</v>
      </c>
      <c r="E7" s="173">
        <v>0.39019999999999999</v>
      </c>
      <c r="F7" s="165">
        <v>0</v>
      </c>
      <c r="G7" s="165"/>
      <c r="H7" s="165"/>
      <c r="I7" s="157">
        <f t="shared" ref="I7:I25" si="1">SUM(B7:E7)</f>
        <v>1</v>
      </c>
      <c r="L7" s="153">
        <v>2000</v>
      </c>
      <c r="M7" s="153">
        <f>M8-(M8*0.024)</f>
        <v>0</v>
      </c>
      <c r="N7" s="93"/>
      <c r="O7" s="94"/>
      <c r="P7" s="155"/>
      <c r="S7" s="158"/>
      <c r="T7" s="159"/>
      <c r="U7" s="158"/>
    </row>
    <row r="8" spans="1:21" x14ac:dyDescent="0.25">
      <c r="A8" s="156">
        <v>2013</v>
      </c>
      <c r="B8" s="173">
        <v>0.31609999999999999</v>
      </c>
      <c r="C8" s="173">
        <f t="shared" si="0"/>
        <v>0.2802</v>
      </c>
      <c r="D8" s="173">
        <v>1.35E-2</v>
      </c>
      <c r="E8" s="173">
        <v>0.39019999999999999</v>
      </c>
      <c r="F8" s="165">
        <v>0</v>
      </c>
      <c r="G8" s="165"/>
      <c r="H8" s="165"/>
      <c r="I8" s="157">
        <f t="shared" si="1"/>
        <v>1</v>
      </c>
      <c r="L8" s="153">
        <v>2001</v>
      </c>
      <c r="M8" s="153">
        <f t="shared" ref="M8:M10" si="2">M9-(M9*0.024)</f>
        <v>0</v>
      </c>
      <c r="N8" s="94"/>
      <c r="O8" s="94"/>
      <c r="P8" s="155"/>
      <c r="S8" s="160"/>
      <c r="T8" s="160"/>
      <c r="U8" s="160"/>
    </row>
    <row r="9" spans="1:21" x14ac:dyDescent="0.25">
      <c r="A9" s="156">
        <v>2014</v>
      </c>
      <c r="B9" s="173">
        <v>0.31609999999999999</v>
      </c>
      <c r="C9" s="173">
        <f t="shared" si="0"/>
        <v>0.2802</v>
      </c>
      <c r="D9" s="173">
        <v>1.35E-2</v>
      </c>
      <c r="E9" s="173">
        <v>0.39019999999999999</v>
      </c>
      <c r="F9" s="165">
        <v>0</v>
      </c>
      <c r="G9" s="165"/>
      <c r="H9" s="165"/>
      <c r="I9" s="157">
        <f t="shared" si="1"/>
        <v>1</v>
      </c>
      <c r="L9" s="153">
        <v>2002</v>
      </c>
      <c r="M9" s="153">
        <f t="shared" si="2"/>
        <v>0</v>
      </c>
      <c r="N9" s="94"/>
      <c r="O9" s="94"/>
      <c r="P9" s="155"/>
    </row>
    <row r="10" spans="1:21" x14ac:dyDescent="0.25">
      <c r="A10" s="156">
        <v>2015</v>
      </c>
      <c r="B10" s="173">
        <v>0.31609999999999999</v>
      </c>
      <c r="C10" s="173">
        <f t="shared" si="0"/>
        <v>0.2802</v>
      </c>
      <c r="D10" s="173">
        <v>1.35E-2</v>
      </c>
      <c r="E10" s="173">
        <v>0.39019999999999999</v>
      </c>
      <c r="F10" s="165">
        <v>0</v>
      </c>
      <c r="G10" s="165"/>
      <c r="H10" s="165"/>
      <c r="I10" s="157">
        <f t="shared" si="1"/>
        <v>1</v>
      </c>
      <c r="L10" s="153">
        <v>2003</v>
      </c>
      <c r="M10" s="153">
        <f t="shared" si="2"/>
        <v>0</v>
      </c>
      <c r="N10" s="93"/>
      <c r="O10" s="94"/>
      <c r="P10" s="155"/>
    </row>
    <row r="11" spans="1:21" x14ac:dyDescent="0.25">
      <c r="A11" s="156">
        <v>2016</v>
      </c>
      <c r="B11" s="173">
        <v>0.31609999999999999</v>
      </c>
      <c r="C11" s="173">
        <f t="shared" si="0"/>
        <v>0.2802</v>
      </c>
      <c r="D11" s="173">
        <v>1.35E-2</v>
      </c>
      <c r="E11" s="173">
        <v>0.39019999999999999</v>
      </c>
      <c r="F11" s="165">
        <v>0</v>
      </c>
      <c r="G11" s="165"/>
      <c r="H11" s="165"/>
      <c r="I11" s="157">
        <f>SUM(B11:E11)</f>
        <v>1</v>
      </c>
      <c r="L11" s="153">
        <v>2004</v>
      </c>
      <c r="M11" s="153">
        <f>M12-(M12*0.024)</f>
        <v>0</v>
      </c>
    </row>
    <row r="12" spans="1:21" x14ac:dyDescent="0.25">
      <c r="A12" s="156">
        <v>2017</v>
      </c>
      <c r="B12" s="173">
        <f>(B11*1.0255)</f>
        <v>0.32416054999999999</v>
      </c>
      <c r="C12" s="173">
        <f>C11*(1-0.0238)</f>
        <v>0.27353124000000001</v>
      </c>
      <c r="D12" s="173">
        <f t="shared" ref="D12:D24" si="3">D11*1.0285</f>
        <v>1.388475E-2</v>
      </c>
      <c r="E12" s="173">
        <f>E11*(1-0.0119)</f>
        <v>0.38555661999999996</v>
      </c>
      <c r="F12" s="165">
        <v>0.02</v>
      </c>
      <c r="G12" s="165"/>
      <c r="H12" s="165"/>
      <c r="I12" s="157">
        <f t="shared" ref="I12:I24" si="4">SUM(B12:E12)</f>
        <v>0.99713315999999996</v>
      </c>
      <c r="L12" s="153">
        <v>2005</v>
      </c>
      <c r="M12" s="153">
        <f>M13-(M13*O29)</f>
        <v>0</v>
      </c>
    </row>
    <row r="13" spans="1:21" x14ac:dyDescent="0.25">
      <c r="A13" s="156">
        <v>2018</v>
      </c>
      <c r="B13" s="173">
        <f t="shared" ref="B13:B24" si="5">(B12*1.0255)</f>
        <v>0.332426644025</v>
      </c>
      <c r="C13" s="173">
        <f t="shared" ref="C13:C24" si="6">C12*(1-0.0238)</f>
        <v>0.26702119648799999</v>
      </c>
      <c r="D13" s="173">
        <f t="shared" si="3"/>
        <v>1.4280465374999999E-2</v>
      </c>
      <c r="E13" s="173">
        <f t="shared" ref="E13:E24" si="7">E12*(1-0.0119)</f>
        <v>0.38096849622199996</v>
      </c>
      <c r="F13" s="165">
        <f>F12*1.073</f>
        <v>2.146E-2</v>
      </c>
      <c r="G13" s="165"/>
      <c r="H13" s="165"/>
      <c r="I13" s="157">
        <f t="shared" si="4"/>
        <v>0.99469680211</v>
      </c>
      <c r="L13" s="153">
        <v>2006</v>
      </c>
      <c r="M13" s="153">
        <f>M14-(M14*O29)</f>
        <v>0</v>
      </c>
    </row>
    <row r="14" spans="1:21" x14ac:dyDescent="0.25">
      <c r="A14" s="156">
        <v>2019</v>
      </c>
      <c r="B14" s="173">
        <f t="shared" si="5"/>
        <v>0.34090352344763752</v>
      </c>
      <c r="C14" s="173">
        <f t="shared" si="6"/>
        <v>0.26066609201158558</v>
      </c>
      <c r="D14" s="173">
        <f t="shared" si="3"/>
        <v>1.4687458638187498E-2</v>
      </c>
      <c r="E14" s="173">
        <f t="shared" si="7"/>
        <v>0.37643497111695817</v>
      </c>
      <c r="F14" s="165">
        <f t="shared" ref="F14:F24" si="8">F13*1.073</f>
        <v>2.3026579999999998E-2</v>
      </c>
      <c r="G14" s="165"/>
      <c r="H14" s="165"/>
      <c r="I14" s="157">
        <f t="shared" si="4"/>
        <v>0.99269204521436882</v>
      </c>
      <c r="L14" s="153">
        <v>2007</v>
      </c>
      <c r="M14" s="153">
        <f>M15-(M15*O29)</f>
        <v>0</v>
      </c>
      <c r="P14" s="155"/>
    </row>
    <row r="15" spans="1:21" x14ac:dyDescent="0.25">
      <c r="A15" s="156">
        <v>2020</v>
      </c>
      <c r="B15" s="173">
        <f t="shared" si="5"/>
        <v>0.34959656329555233</v>
      </c>
      <c r="C15" s="173">
        <f t="shared" si="6"/>
        <v>0.25446223902170984</v>
      </c>
      <c r="D15" s="173">
        <f t="shared" si="3"/>
        <v>1.5106051209375842E-2</v>
      </c>
      <c r="E15" s="173">
        <f t="shared" si="7"/>
        <v>0.37195539496066637</v>
      </c>
      <c r="F15" s="165">
        <f t="shared" si="8"/>
        <v>2.4707520339999997E-2</v>
      </c>
      <c r="G15" s="165"/>
      <c r="H15" s="165"/>
      <c r="I15" s="157">
        <f t="shared" si="4"/>
        <v>0.99112024848730429</v>
      </c>
      <c r="L15" s="153">
        <v>2008</v>
      </c>
      <c r="M15" s="153">
        <f>M27-(M27*O29)</f>
        <v>0</v>
      </c>
      <c r="S15" s="158"/>
    </row>
    <row r="16" spans="1:21" x14ac:dyDescent="0.25">
      <c r="A16" s="156">
        <v>2021</v>
      </c>
      <c r="B16" s="173">
        <f t="shared" si="5"/>
        <v>0.35851127565958896</v>
      </c>
      <c r="C16" s="173">
        <f t="shared" si="6"/>
        <v>0.24840603773299313</v>
      </c>
      <c r="D16" s="173">
        <f t="shared" si="3"/>
        <v>1.5536573668843054E-2</v>
      </c>
      <c r="E16" s="173">
        <f t="shared" si="7"/>
        <v>0.36752912576063446</v>
      </c>
      <c r="F16" s="165">
        <f t="shared" si="8"/>
        <v>2.6511169324819995E-2</v>
      </c>
      <c r="G16" s="165"/>
      <c r="H16" s="165"/>
      <c r="I16" s="157">
        <f t="shared" si="4"/>
        <v>0.98998301282205958</v>
      </c>
      <c r="S16" s="158"/>
    </row>
    <row r="17" spans="1:19" x14ac:dyDescent="0.25">
      <c r="A17" s="156">
        <v>2022</v>
      </c>
      <c r="B17" s="173">
        <f t="shared" si="5"/>
        <v>0.36765331318890848</v>
      </c>
      <c r="C17" s="173">
        <f t="shared" si="6"/>
        <v>0.24249397403494788</v>
      </c>
      <c r="D17" s="173">
        <f t="shared" si="3"/>
        <v>1.5979366018405081E-2</v>
      </c>
      <c r="E17" s="173">
        <f t="shared" si="7"/>
        <v>0.36315552916408289</v>
      </c>
      <c r="F17" s="165">
        <f t="shared" si="8"/>
        <v>2.8446484685531855E-2</v>
      </c>
      <c r="G17" s="165"/>
      <c r="H17" s="165"/>
      <c r="I17" s="157">
        <f t="shared" si="4"/>
        <v>0.98928218240634436</v>
      </c>
      <c r="S17" s="158"/>
    </row>
    <row r="18" spans="1:19" x14ac:dyDescent="0.25">
      <c r="A18" s="156">
        <v>2023</v>
      </c>
      <c r="B18" s="173">
        <f t="shared" si="5"/>
        <v>0.37702847267522566</v>
      </c>
      <c r="C18" s="173">
        <f t="shared" si="6"/>
        <v>0.23672261745291612</v>
      </c>
      <c r="D18" s="173">
        <f t="shared" si="3"/>
        <v>1.6434777949929626E-2</v>
      </c>
      <c r="E18" s="173">
        <f t="shared" si="7"/>
        <v>0.35883397836703029</v>
      </c>
      <c r="F18" s="165">
        <f t="shared" si="8"/>
        <v>3.052307806757568E-2</v>
      </c>
      <c r="G18" s="165"/>
      <c r="H18" s="165"/>
      <c r="I18" s="157">
        <f t="shared" si="4"/>
        <v>0.98901984644510166</v>
      </c>
      <c r="S18" s="158"/>
    </row>
    <row r="19" spans="1:19" x14ac:dyDescent="0.25">
      <c r="A19" s="156">
        <v>2024</v>
      </c>
      <c r="B19" s="173">
        <f t="shared" si="5"/>
        <v>0.38664269872844392</v>
      </c>
      <c r="C19" s="173">
        <f t="shared" si="6"/>
        <v>0.2310886191575367</v>
      </c>
      <c r="D19" s="173">
        <f t="shared" si="3"/>
        <v>1.690316912150262E-2</v>
      </c>
      <c r="E19" s="173">
        <f t="shared" si="7"/>
        <v>0.35456385402446261</v>
      </c>
      <c r="F19" s="165">
        <f t="shared" si="8"/>
        <v>3.27512627665087E-2</v>
      </c>
      <c r="G19" s="165"/>
      <c r="H19" s="165"/>
      <c r="I19" s="157">
        <f t="shared" si="4"/>
        <v>0.98919834103194582</v>
      </c>
      <c r="S19" s="158"/>
    </row>
    <row r="20" spans="1:19" x14ac:dyDescent="0.25">
      <c r="A20" s="156">
        <v>2025</v>
      </c>
      <c r="B20" s="173">
        <f t="shared" si="5"/>
        <v>0.39650208754601929</v>
      </c>
      <c r="C20" s="173">
        <f t="shared" si="6"/>
        <v>0.22558871002158731</v>
      </c>
      <c r="D20" s="173">
        <f t="shared" si="3"/>
        <v>1.7384909441465445E-2</v>
      </c>
      <c r="E20" s="173">
        <f t="shared" si="7"/>
        <v>0.35034454416157151</v>
      </c>
      <c r="F20" s="165">
        <f t="shared" si="8"/>
        <v>3.5142104948463836E-2</v>
      </c>
      <c r="G20" s="165"/>
      <c r="H20" s="165"/>
      <c r="I20" s="157">
        <f t="shared" si="4"/>
        <v>0.98982025117064354</v>
      </c>
      <c r="S20" s="158"/>
    </row>
    <row r="21" spans="1:19" x14ac:dyDescent="0.25">
      <c r="A21" s="156">
        <v>2026</v>
      </c>
      <c r="B21" s="173">
        <f t="shared" si="5"/>
        <v>0.40661289077844281</v>
      </c>
      <c r="C21" s="173">
        <f t="shared" si="6"/>
        <v>0.22021969872307354</v>
      </c>
      <c r="D21" s="173">
        <f t="shared" si="3"/>
        <v>1.7880379360547208E-2</v>
      </c>
      <c r="E21" s="173">
        <f t="shared" si="7"/>
        <v>0.34617544408604878</v>
      </c>
      <c r="F21" s="165">
        <f t="shared" si="8"/>
        <v>3.7707478609701695E-2</v>
      </c>
      <c r="G21" s="165"/>
      <c r="H21" s="165"/>
      <c r="I21" s="157">
        <f t="shared" si="4"/>
        <v>0.99088841294811236</v>
      </c>
      <c r="S21" s="158"/>
    </row>
    <row r="22" spans="1:19" x14ac:dyDescent="0.25">
      <c r="A22" s="156">
        <v>2027</v>
      </c>
      <c r="B22" s="173">
        <f t="shared" si="5"/>
        <v>0.41698151949329315</v>
      </c>
      <c r="C22" s="173">
        <f t="shared" si="6"/>
        <v>0.21497846989346436</v>
      </c>
      <c r="D22" s="173">
        <f t="shared" si="3"/>
        <v>1.8389970172322804E-2</v>
      </c>
      <c r="E22" s="173">
        <f t="shared" si="7"/>
        <v>0.34205595630142477</v>
      </c>
      <c r="F22" s="165">
        <f t="shared" si="8"/>
        <v>4.0460124548209915E-2</v>
      </c>
      <c r="G22" s="165"/>
      <c r="H22" s="165"/>
      <c r="I22" s="157">
        <f t="shared" si="4"/>
        <v>0.99240591586050519</v>
      </c>
      <c r="S22" s="158"/>
    </row>
    <row r="23" spans="1:19" x14ac:dyDescent="0.25">
      <c r="A23" s="156">
        <v>2028</v>
      </c>
      <c r="B23" s="173">
        <f t="shared" si="5"/>
        <v>0.42761454824037215</v>
      </c>
      <c r="C23" s="173">
        <f t="shared" si="6"/>
        <v>0.20986198230999989</v>
      </c>
      <c r="D23" s="173">
        <f t="shared" si="3"/>
        <v>1.8914084322234005E-2</v>
      </c>
      <c r="E23" s="173">
        <f t="shared" si="7"/>
        <v>0.33798549042143783</v>
      </c>
      <c r="F23" s="165">
        <f t="shared" si="8"/>
        <v>4.3413713640229237E-2</v>
      </c>
      <c r="G23" s="165"/>
      <c r="H23" s="165"/>
      <c r="I23" s="157">
        <f t="shared" si="4"/>
        <v>0.99437610529404385</v>
      </c>
      <c r="S23" s="158"/>
    </row>
    <row r="24" spans="1:19" x14ac:dyDescent="0.25">
      <c r="A24" s="156">
        <v>2029</v>
      </c>
      <c r="B24" s="173">
        <f t="shared" si="5"/>
        <v>0.43851871922050167</v>
      </c>
      <c r="C24" s="173">
        <f t="shared" si="6"/>
        <v>0.20486726713102188</v>
      </c>
      <c r="D24" s="173">
        <f t="shared" si="3"/>
        <v>1.9453135725417674E-2</v>
      </c>
      <c r="E24" s="173">
        <f t="shared" si="7"/>
        <v>0.33396346308542268</v>
      </c>
      <c r="F24" s="165">
        <f t="shared" si="8"/>
        <v>4.6582914735965972E-2</v>
      </c>
      <c r="G24" s="165"/>
      <c r="H24" s="165"/>
      <c r="I24" s="157">
        <f t="shared" si="4"/>
        <v>0.99680258516236386</v>
      </c>
      <c r="S24" s="158"/>
    </row>
    <row r="25" spans="1:19" x14ac:dyDescent="0.25">
      <c r="A25" s="156">
        <v>2030</v>
      </c>
      <c r="B25" s="173">
        <v>0.45</v>
      </c>
      <c r="C25" s="173">
        <v>0.2</v>
      </c>
      <c r="D25" s="173">
        <v>0.02</v>
      </c>
      <c r="E25" s="173">
        <v>0.33</v>
      </c>
      <c r="F25" s="165">
        <v>0.05</v>
      </c>
      <c r="G25" s="165"/>
      <c r="H25" s="165"/>
      <c r="I25" s="157">
        <f t="shared" si="1"/>
        <v>1</v>
      </c>
      <c r="S25" s="158"/>
    </row>
    <row r="26" spans="1:19" ht="15" x14ac:dyDescent="0.25">
      <c r="B26" s="166">
        <f>((B25/B11)^(1/14)-1)</f>
        <v>2.5548696592848197E-2</v>
      </c>
      <c r="C26" s="166">
        <f>((C25/C11)^(1/14)-1)</f>
        <v>-2.379701072791307E-2</v>
      </c>
      <c r="D26" s="166">
        <f>((D25/D11)^(1/14)-1)</f>
        <v>2.8472272495493778E-2</v>
      </c>
      <c r="E26" s="166">
        <f>((E25/E11)^(1/14)-1)</f>
        <v>-1.1897711048976523E-2</v>
      </c>
      <c r="F26" s="166">
        <f>((F25/F12)^(1/13)-1)</f>
        <v>7.3027296183126866E-2</v>
      </c>
      <c r="G26" s="166" t="e">
        <f>((G25/G11)^(1/14)-1)</f>
        <v>#DIV/0!</v>
      </c>
      <c r="H26" s="166" t="e">
        <f t="shared" ref="H26" si="9">((H25/H11)^(1/14)-1)</f>
        <v>#DIV/0!</v>
      </c>
    </row>
    <row r="27" spans="1:19" x14ac:dyDescent="0.25">
      <c r="A27" s="185" t="s">
        <v>10</v>
      </c>
      <c r="B27" s="186" t="s">
        <v>149</v>
      </c>
      <c r="C27" s="187"/>
      <c r="D27" s="187"/>
      <c r="E27" s="187"/>
      <c r="F27" s="187"/>
      <c r="G27" s="187"/>
      <c r="H27" s="188"/>
      <c r="I27" s="189" t="s">
        <v>39</v>
      </c>
    </row>
    <row r="28" spans="1:19" ht="25.5" x14ac:dyDescent="0.25">
      <c r="A28" s="185"/>
      <c r="B28" s="151" t="s">
        <v>1</v>
      </c>
      <c r="C28" s="151" t="s">
        <v>2</v>
      </c>
      <c r="D28" s="151" t="s">
        <v>148</v>
      </c>
      <c r="E28" s="145" t="s">
        <v>4</v>
      </c>
      <c r="F28" s="174" t="s">
        <v>154</v>
      </c>
      <c r="G28" s="151" t="s">
        <v>127</v>
      </c>
      <c r="H28" s="145" t="s">
        <v>7</v>
      </c>
      <c r="I28" s="190"/>
    </row>
    <row r="29" spans="1:19" x14ac:dyDescent="0.25">
      <c r="A29" s="156">
        <v>2011</v>
      </c>
      <c r="B29" s="161">
        <f>$I$29*B6</f>
        <v>39.790819727999995</v>
      </c>
      <c r="C29" s="161">
        <f t="shared" ref="C29:E29" si="10">$I$29*C6</f>
        <v>35.271710495999997</v>
      </c>
      <c r="D29" s="161">
        <f t="shared" si="10"/>
        <v>1.6993864799999998</v>
      </c>
      <c r="E29" s="162">
        <f t="shared" si="10"/>
        <v>49.118563295999998</v>
      </c>
      <c r="F29" s="175">
        <f>$I$29*F6</f>
        <v>0</v>
      </c>
      <c r="G29" s="161">
        <f>I29*G6</f>
        <v>0</v>
      </c>
      <c r="H29" s="163">
        <f>$I$29*H6</f>
        <v>0</v>
      </c>
      <c r="I29" s="176">
        <f>'timbulan sampah'!E5</f>
        <v>125.88047999999999</v>
      </c>
      <c r="J29" s="177">
        <f>SUM(B29:E29)</f>
        <v>125.88048000000001</v>
      </c>
    </row>
    <row r="30" spans="1:19" x14ac:dyDescent="0.25">
      <c r="A30" s="156">
        <v>2012</v>
      </c>
      <c r="B30" s="161">
        <f t="shared" ref="B30:H30" si="11">$I$30*B7</f>
        <v>40.561901423999998</v>
      </c>
      <c r="C30" s="161">
        <f t="shared" si="11"/>
        <v>35.955219167999999</v>
      </c>
      <c r="D30" s="161">
        <f t="shared" si="11"/>
        <v>1.7323178399999999</v>
      </c>
      <c r="E30" s="162">
        <f t="shared" si="11"/>
        <v>50.070401568000001</v>
      </c>
      <c r="F30" s="175">
        <f t="shared" si="11"/>
        <v>0</v>
      </c>
      <c r="G30" s="161">
        <f t="shared" ref="G30:G48" si="12">I30*G7</f>
        <v>0</v>
      </c>
      <c r="H30" s="163">
        <f t="shared" si="11"/>
        <v>0</v>
      </c>
      <c r="I30" s="176">
        <f>'timbulan sampah'!E6</f>
        <v>128.31984</v>
      </c>
      <c r="J30" s="177">
        <f t="shared" ref="J30:J34" si="13">SUM(B30:E30)</f>
        <v>128.31984</v>
      </c>
    </row>
    <row r="31" spans="1:19" x14ac:dyDescent="0.25">
      <c r="A31" s="156">
        <v>2013</v>
      </c>
      <c r="B31" s="161">
        <f t="shared" ref="B31:H31" si="14">$I$31*B8</f>
        <v>41.330340523999993</v>
      </c>
      <c r="C31" s="161">
        <f t="shared" si="14"/>
        <v>36.636385367999999</v>
      </c>
      <c r="D31" s="161">
        <f t="shared" si="14"/>
        <v>1.7651363399999997</v>
      </c>
      <c r="E31" s="162">
        <f t="shared" si="14"/>
        <v>51.018977767999992</v>
      </c>
      <c r="F31" s="175">
        <f t="shared" si="14"/>
        <v>0</v>
      </c>
      <c r="G31" s="161">
        <f t="shared" si="12"/>
        <v>0</v>
      </c>
      <c r="H31" s="163">
        <f t="shared" si="14"/>
        <v>0</v>
      </c>
      <c r="I31" s="176">
        <f>'timbulan sampah'!E7</f>
        <v>130.75083999999998</v>
      </c>
      <c r="J31" s="177">
        <f t="shared" si="13"/>
        <v>130.75083999999998</v>
      </c>
    </row>
    <row r="32" spans="1:19" x14ac:dyDescent="0.25">
      <c r="A32" s="156">
        <v>2014</v>
      </c>
      <c r="B32" s="161">
        <f t="shared" ref="B32:H32" si="15">$I$32*B9</f>
        <v>42.079586031999995</v>
      </c>
      <c r="C32" s="161">
        <f t="shared" si="15"/>
        <v>37.300537823999996</v>
      </c>
      <c r="D32" s="161">
        <f t="shared" si="15"/>
        <v>1.7971351199999999</v>
      </c>
      <c r="E32" s="162">
        <f t="shared" si="15"/>
        <v>51.943861023999993</v>
      </c>
      <c r="F32" s="175">
        <f t="shared" si="15"/>
        <v>0</v>
      </c>
      <c r="G32" s="161">
        <f t="shared" si="12"/>
        <v>0</v>
      </c>
      <c r="H32" s="163">
        <f t="shared" si="15"/>
        <v>0</v>
      </c>
      <c r="I32" s="176">
        <f>'timbulan sampah'!E8</f>
        <v>133.12111999999999</v>
      </c>
      <c r="J32" s="177">
        <f t="shared" si="13"/>
        <v>133.12111999999996</v>
      </c>
      <c r="P32" s="155"/>
    </row>
    <row r="33" spans="1:16" x14ac:dyDescent="0.25">
      <c r="A33" s="156">
        <v>2015</v>
      </c>
      <c r="B33" s="161">
        <f t="shared" ref="B33:H33" si="16">$I$33*B10</f>
        <v>42.808247107999996</v>
      </c>
      <c r="C33" s="161">
        <f t="shared" si="16"/>
        <v>37.946443656</v>
      </c>
      <c r="D33" s="161">
        <f t="shared" si="16"/>
        <v>1.82825478</v>
      </c>
      <c r="E33" s="162">
        <f t="shared" si="16"/>
        <v>52.843334455999994</v>
      </c>
      <c r="F33" s="175">
        <f t="shared" si="16"/>
        <v>0</v>
      </c>
      <c r="G33" s="161">
        <f t="shared" si="12"/>
        <v>0</v>
      </c>
      <c r="H33" s="163">
        <f t="shared" si="16"/>
        <v>0</v>
      </c>
      <c r="I33" s="176">
        <f>'timbulan sampah'!E9</f>
        <v>135.42627999999999</v>
      </c>
      <c r="J33" s="177">
        <f t="shared" si="13"/>
        <v>135.42627999999999</v>
      </c>
      <c r="P33" s="155"/>
    </row>
    <row r="34" spans="1:16" x14ac:dyDescent="0.25">
      <c r="A34" s="156">
        <v>2016</v>
      </c>
      <c r="B34" s="161">
        <f t="shared" ref="B34:H34" si="17">$I$34*B11</f>
        <v>43.531066655999993</v>
      </c>
      <c r="C34" s="161">
        <f t="shared" si="17"/>
        <v>38.587171391999995</v>
      </c>
      <c r="D34" s="161">
        <f t="shared" si="17"/>
        <v>1.8591249599999997</v>
      </c>
      <c r="E34" s="162">
        <f t="shared" si="17"/>
        <v>53.735596991999991</v>
      </c>
      <c r="F34" s="175">
        <f t="shared" si="17"/>
        <v>0</v>
      </c>
      <c r="G34" s="161">
        <f>I34*G11</f>
        <v>0</v>
      </c>
      <c r="H34" s="163">
        <f t="shared" si="17"/>
        <v>0</v>
      </c>
      <c r="I34" s="176">
        <f>'timbulan sampah'!E10</f>
        <v>137.71295999999998</v>
      </c>
      <c r="J34" s="177">
        <f t="shared" si="13"/>
        <v>137.71295999999998</v>
      </c>
    </row>
    <row r="35" spans="1:16" x14ac:dyDescent="0.25">
      <c r="A35" s="156">
        <v>2017</v>
      </c>
      <c r="B35" s="161">
        <f>(I35*B12)-F35</f>
        <v>43.494222581468996</v>
      </c>
      <c r="C35" s="161">
        <f t="shared" ref="C35:H35" si="18">$I$35*C12</f>
        <v>39.114305374399201</v>
      </c>
      <c r="D35" s="161">
        <f t="shared" si="18"/>
        <v>1.9854856489049999</v>
      </c>
      <c r="E35" s="162">
        <f t="shared" si="18"/>
        <v>55.133663612979596</v>
      </c>
      <c r="F35" s="175">
        <f>$I$35*F12</f>
        <v>2.8599516</v>
      </c>
      <c r="G35" s="161">
        <f t="shared" si="12"/>
        <v>0</v>
      </c>
      <c r="H35" s="163">
        <f t="shared" si="18"/>
        <v>0</v>
      </c>
      <c r="I35" s="176">
        <f>'timbulan sampah'!E11</f>
        <v>142.99758</v>
      </c>
      <c r="J35" s="177">
        <f>SUM(B35:F35)</f>
        <v>142.58762881775277</v>
      </c>
    </row>
    <row r="36" spans="1:16" x14ac:dyDescent="0.25">
      <c r="A36" s="156">
        <v>2018</v>
      </c>
      <c r="B36" s="161">
        <f t="shared" ref="B36:B48" si="19">(I36*B13)-F36</f>
        <v>45.500440335085827</v>
      </c>
      <c r="C36" s="161">
        <f t="shared" ref="C36:H36" si="20">$I$36*C13</f>
        <v>39.07037057655841</v>
      </c>
      <c r="D36" s="161">
        <f t="shared" si="20"/>
        <v>2.0895085541721601</v>
      </c>
      <c r="E36" s="162">
        <f t="shared" si="20"/>
        <v>55.743066547365459</v>
      </c>
      <c r="F36" s="175">
        <f>$I$36*F13</f>
        <v>3.1400134656000005</v>
      </c>
      <c r="G36" s="161">
        <f t="shared" si="12"/>
        <v>0</v>
      </c>
      <c r="H36" s="163">
        <f t="shared" si="20"/>
        <v>0</v>
      </c>
      <c r="I36" s="176">
        <f>'timbulan sampah'!E12</f>
        <v>146.31936000000002</v>
      </c>
      <c r="J36" s="177">
        <f t="shared" ref="J36:J48" si="21">SUM(B36:F36)</f>
        <v>145.54339947878182</v>
      </c>
    </row>
    <row r="37" spans="1:16" x14ac:dyDescent="0.25">
      <c r="A37" s="156">
        <v>2019</v>
      </c>
      <c r="B37" s="161">
        <f t="shared" si="19"/>
        <v>47.567468197220009</v>
      </c>
      <c r="C37" s="161">
        <f t="shared" ref="C37:H37" si="22">$I$37*C14</f>
        <v>39.006371167958562</v>
      </c>
      <c r="D37" s="161">
        <f t="shared" si="22"/>
        <v>2.1978480543212249</v>
      </c>
      <c r="E37" s="162">
        <f t="shared" si="22"/>
        <v>56.330158213808694</v>
      </c>
      <c r="F37" s="175">
        <f>$I$37*F14</f>
        <v>3.4457236815012</v>
      </c>
      <c r="G37" s="161">
        <f t="shared" si="12"/>
        <v>0</v>
      </c>
      <c r="H37" s="163">
        <f t="shared" si="22"/>
        <v>0</v>
      </c>
      <c r="I37" s="176">
        <f>'timbulan sampah'!E13</f>
        <v>149.64114000000001</v>
      </c>
      <c r="J37" s="177">
        <f t="shared" si="21"/>
        <v>148.54756931480969</v>
      </c>
    </row>
    <row r="38" spans="1:16" x14ac:dyDescent="0.25">
      <c r="A38" s="156">
        <v>2020</v>
      </c>
      <c r="B38" s="161">
        <f t="shared" si="19"/>
        <v>49.695976686486723</v>
      </c>
      <c r="C38" s="161">
        <f t="shared" ref="C38:H38" si="23">$I$38*C15</f>
        <v>38.923287110498684</v>
      </c>
      <c r="D38" s="161">
        <f t="shared" si="23"/>
        <v>2.3106657026556605</v>
      </c>
      <c r="E38" s="162">
        <f t="shared" si="23"/>
        <v>56.895383322936823</v>
      </c>
      <c r="F38" s="175">
        <f>$I$38*F15</f>
        <v>3.7793344571657932</v>
      </c>
      <c r="G38" s="161">
        <f t="shared" si="12"/>
        <v>0</v>
      </c>
      <c r="H38" s="163">
        <f t="shared" si="23"/>
        <v>0</v>
      </c>
      <c r="I38" s="176">
        <f>'timbulan sampah'!E14</f>
        <v>152.96292000000003</v>
      </c>
      <c r="J38" s="177">
        <f t="shared" si="21"/>
        <v>151.60464727974366</v>
      </c>
    </row>
    <row r="39" spans="1:16" x14ac:dyDescent="0.25">
      <c r="A39" s="156">
        <v>2021</v>
      </c>
      <c r="B39" s="161">
        <f t="shared" si="19"/>
        <v>51.886537018497478</v>
      </c>
      <c r="C39" s="161">
        <f t="shared" ref="C39:H39" si="24">$I$39*C16</f>
        <v>38.822063085289514</v>
      </c>
      <c r="D39" s="161">
        <f t="shared" si="24"/>
        <v>2.4281287548630361</v>
      </c>
      <c r="E39" s="162">
        <f t="shared" si="24"/>
        <v>57.439179160763032</v>
      </c>
      <c r="F39" s="175">
        <f>$I$39*F16</f>
        <v>4.143290144578696</v>
      </c>
      <c r="G39" s="161">
        <f t="shared" si="12"/>
        <v>0</v>
      </c>
      <c r="H39" s="163">
        <f t="shared" si="24"/>
        <v>0</v>
      </c>
      <c r="I39" s="176">
        <f>'timbulan sampah'!E15</f>
        <v>156.28470000000002</v>
      </c>
      <c r="J39" s="177">
        <f t="shared" si="21"/>
        <v>154.71919816399176</v>
      </c>
    </row>
    <row r="40" spans="1:16" x14ac:dyDescent="0.25">
      <c r="A40" s="156">
        <v>2022</v>
      </c>
      <c r="B40" s="161">
        <f t="shared" si="19"/>
        <v>54.139607889387619</v>
      </c>
      <c r="C40" s="161">
        <f t="shared" ref="C40:H40" si="25">$I$40*C17</f>
        <v>38.703609616929427</v>
      </c>
      <c r="D40" s="161">
        <f t="shared" si="25"/>
        <v>2.5504103628292505</v>
      </c>
      <c r="E40" s="162">
        <f t="shared" si="25"/>
        <v>57.961975702416616</v>
      </c>
      <c r="F40" s="175">
        <f>$I$40*F17</f>
        <v>4.540243289031646</v>
      </c>
      <c r="G40" s="161">
        <f t="shared" si="12"/>
        <v>0</v>
      </c>
      <c r="H40" s="163">
        <f t="shared" si="25"/>
        <v>0</v>
      </c>
      <c r="I40" s="176">
        <f>'timbulan sampah'!E16</f>
        <v>159.60648</v>
      </c>
      <c r="J40" s="177">
        <f t="shared" si="21"/>
        <v>157.89584686059456</v>
      </c>
    </row>
    <row r="41" spans="1:16" x14ac:dyDescent="0.25">
      <c r="A41" s="156">
        <v>2023</v>
      </c>
      <c r="B41" s="161">
        <f t="shared" si="19"/>
        <v>56.4555210240378</v>
      </c>
      <c r="C41" s="161">
        <f t="shared" ref="C41:H41" si="26">$I$41*C18</f>
        <v>38.568804164249258</v>
      </c>
      <c r="D41" s="161">
        <f t="shared" si="26"/>
        <v>2.6776897748684014</v>
      </c>
      <c r="E41" s="162">
        <f t="shared" si="26"/>
        <v>58.464195724217895</v>
      </c>
      <c r="F41" s="175">
        <f>$I$41*F18</f>
        <v>4.9730719993942687</v>
      </c>
      <c r="G41" s="161">
        <f t="shared" si="12"/>
        <v>0</v>
      </c>
      <c r="H41" s="163">
        <f t="shared" si="26"/>
        <v>0</v>
      </c>
      <c r="I41" s="176">
        <f>'timbulan sampah'!E17</f>
        <v>162.92826000000002</v>
      </c>
      <c r="J41" s="177">
        <f t="shared" si="21"/>
        <v>161.13928268676764</v>
      </c>
    </row>
    <row r="42" spans="1:16" x14ac:dyDescent="0.25">
      <c r="A42" s="156">
        <v>2024</v>
      </c>
      <c r="B42" s="161">
        <f t="shared" si="19"/>
        <v>58.834465384329178</v>
      </c>
      <c r="C42" s="161">
        <f t="shared" ref="C42:H42" si="27">$I$42*C19</f>
        <v>38.418492178485245</v>
      </c>
      <c r="D42" s="161">
        <f t="shared" si="27"/>
        <v>2.8101525425765757</v>
      </c>
      <c r="E42" s="162">
        <f t="shared" si="27"/>
        <v>58.946254914121077</v>
      </c>
      <c r="F42" s="175">
        <f>$I$42*F19</f>
        <v>5.4448987449825825</v>
      </c>
      <c r="G42" s="161">
        <f t="shared" si="12"/>
        <v>0</v>
      </c>
      <c r="H42" s="163">
        <f t="shared" si="27"/>
        <v>0</v>
      </c>
      <c r="I42" s="176">
        <f>'timbulan sampah'!E18</f>
        <v>166.25004000000001</v>
      </c>
      <c r="J42" s="177">
        <f t="shared" si="21"/>
        <v>164.45426376449467</v>
      </c>
    </row>
    <row r="43" spans="1:16" x14ac:dyDescent="0.25">
      <c r="A43" s="156">
        <v>2025</v>
      </c>
      <c r="B43" s="161">
        <f t="shared" si="19"/>
        <v>61.276469924235805</v>
      </c>
      <c r="C43" s="161">
        <f t="shared" ref="C43:H43" si="28">$I$43*C20</f>
        <v>38.253488129812801</v>
      </c>
      <c r="D43" s="161">
        <f t="shared" si="28"/>
        <v>2.9479907345244789</v>
      </c>
      <c r="E43" s="162">
        <f t="shared" si="28"/>
        <v>59.408561980548058</v>
      </c>
      <c r="F43" s="175">
        <f>$I$43*F20</f>
        <v>5.9591106947420185</v>
      </c>
      <c r="G43" s="161">
        <f t="shared" si="12"/>
        <v>0</v>
      </c>
      <c r="H43" s="163">
        <f t="shared" si="28"/>
        <v>0</v>
      </c>
      <c r="I43" s="176">
        <f>'timbulan sampah'!E19</f>
        <v>169.57182</v>
      </c>
      <c r="J43" s="177">
        <f t="shared" si="21"/>
        <v>167.84562146386315</v>
      </c>
    </row>
    <row r="44" spans="1:16" x14ac:dyDescent="0.25">
      <c r="A44" s="156">
        <v>2026</v>
      </c>
      <c r="B44" s="161">
        <f t="shared" si="19"/>
        <v>63.78138476933745</v>
      </c>
      <c r="C44" s="161">
        <f t="shared" ref="C44:H44" si="29">$I$44*C21</f>
        <v>38.074576503147583</v>
      </c>
      <c r="D44" s="161">
        <f t="shared" si="29"/>
        <v>3.0914031570107046</v>
      </c>
      <c r="E44" s="162">
        <f t="shared" si="29"/>
        <v>59.851518759635681</v>
      </c>
      <c r="F44" s="175">
        <f>$I$44*F21</f>
        <v>6.5193817237543206</v>
      </c>
      <c r="G44" s="161">
        <f t="shared" si="12"/>
        <v>0</v>
      </c>
      <c r="H44" s="163">
        <f t="shared" si="29"/>
        <v>0</v>
      </c>
      <c r="I44" s="176">
        <f>'timbulan sampah'!E20</f>
        <v>172.89359999999999</v>
      </c>
      <c r="J44" s="177">
        <f t="shared" si="21"/>
        <v>171.31826491288572</v>
      </c>
    </row>
    <row r="45" spans="1:16" x14ac:dyDescent="0.25">
      <c r="A45" s="156">
        <v>2027</v>
      </c>
      <c r="B45" s="161">
        <f t="shared" si="19"/>
        <v>66.348860688377925</v>
      </c>
      <c r="C45" s="161">
        <f t="shared" ref="C45:H45" si="30">$I$45*C22</f>
        <v>37.882512764095388</v>
      </c>
      <c r="D45" s="161">
        <f t="shared" si="30"/>
        <v>3.2405955821045285</v>
      </c>
      <c r="E45" s="162">
        <f t="shared" si="30"/>
        <v>60.275520320918965</v>
      </c>
      <c r="F45" s="175">
        <f>$I$45*F22</f>
        <v>7.1296962221101392</v>
      </c>
      <c r="G45" s="161">
        <f t="shared" si="12"/>
        <v>0</v>
      </c>
      <c r="H45" s="163">
        <f t="shared" si="30"/>
        <v>0</v>
      </c>
      <c r="I45" s="176">
        <f>'timbulan sampah'!E21</f>
        <v>176.21538000000001</v>
      </c>
      <c r="J45" s="177">
        <f t="shared" si="21"/>
        <v>174.87718557760695</v>
      </c>
    </row>
    <row r="46" spans="1:16" x14ac:dyDescent="0.25">
      <c r="A46" s="156">
        <v>2028</v>
      </c>
      <c r="B46" s="161">
        <f t="shared" si="19"/>
        <v>68.978326713739406</v>
      </c>
      <c r="C46" s="161">
        <f t="shared" ref="C46:H46" si="31">$I$46*C23</f>
        <v>37.678024295907619</v>
      </c>
      <c r="D46" s="161">
        <f t="shared" si="31"/>
        <v>3.3957809832144181</v>
      </c>
      <c r="E46" s="162">
        <f t="shared" si="31"/>
        <v>60.680955071472148</v>
      </c>
      <c r="F46" s="175">
        <f>$I$46*F23</f>
        <v>7.7943748520200193</v>
      </c>
      <c r="G46" s="161">
        <f t="shared" si="12"/>
        <v>0</v>
      </c>
      <c r="H46" s="162">
        <f t="shared" si="31"/>
        <v>0</v>
      </c>
      <c r="I46" s="176">
        <f>'timbulan sampah'!E22</f>
        <v>179.53716</v>
      </c>
      <c r="J46" s="177">
        <f t="shared" si="21"/>
        <v>178.52746191635362</v>
      </c>
    </row>
    <row r="47" spans="1:16" x14ac:dyDescent="0.25">
      <c r="A47" s="156">
        <v>2029</v>
      </c>
      <c r="B47" s="161">
        <f t="shared" si="19"/>
        <v>71.668965756089449</v>
      </c>
      <c r="C47" s="161">
        <f t="shared" ref="C47:H47" si="32">$I$47*C24</f>
        <v>37.4618113082755</v>
      </c>
      <c r="D47" s="161">
        <f t="shared" si="32"/>
        <v>3.5571797784260069</v>
      </c>
      <c r="E47" s="162">
        <f t="shared" si="32"/>
        <v>61.068204858529519</v>
      </c>
      <c r="F47" s="175">
        <f>$I$47*F24</f>
        <v>8.5181024107291172</v>
      </c>
      <c r="G47" s="161">
        <f t="shared" si="12"/>
        <v>0</v>
      </c>
      <c r="H47" s="162">
        <f t="shared" si="32"/>
        <v>0</v>
      </c>
      <c r="I47" s="176">
        <f>'timbulan sampah'!E23</f>
        <v>182.85893999999999</v>
      </c>
      <c r="J47" s="177">
        <f t="shared" si="21"/>
        <v>182.27426411204959</v>
      </c>
    </row>
    <row r="48" spans="1:16" x14ac:dyDescent="0.25">
      <c r="A48" s="156">
        <v>2030</v>
      </c>
      <c r="B48" s="161">
        <f t="shared" si="19"/>
        <v>74.472288000000006</v>
      </c>
      <c r="C48" s="161">
        <f t="shared" ref="C48:H48" si="33">$I$48*C25</f>
        <v>37.236144000000003</v>
      </c>
      <c r="D48" s="161">
        <f t="shared" si="33"/>
        <v>3.7236144000000002</v>
      </c>
      <c r="E48" s="162">
        <f t="shared" si="33"/>
        <v>61.439637600000005</v>
      </c>
      <c r="F48" s="175">
        <f>$I$48*F25</f>
        <v>9.3090360000000008</v>
      </c>
      <c r="G48" s="161">
        <f t="shared" si="12"/>
        <v>0</v>
      </c>
      <c r="H48" s="162">
        <f t="shared" si="33"/>
        <v>0</v>
      </c>
      <c r="I48" s="176">
        <f>'timbulan sampah'!E24</f>
        <v>186.18072000000001</v>
      </c>
      <c r="J48" s="177">
        <f t="shared" si="21"/>
        <v>186.18072000000001</v>
      </c>
    </row>
    <row r="50" spans="2:7" x14ac:dyDescent="0.25">
      <c r="B50" s="178">
        <f>B29*1000</f>
        <v>39790.819727999995</v>
      </c>
    </row>
    <row r="51" spans="2:7" x14ac:dyDescent="0.25">
      <c r="B51" s="178">
        <f t="shared" ref="B51:B69" si="34">B30*1000</f>
        <v>40561.901423999996</v>
      </c>
    </row>
    <row r="52" spans="2:7" x14ac:dyDescent="0.25">
      <c r="B52" s="178">
        <f t="shared" si="34"/>
        <v>41330.340523999992</v>
      </c>
    </row>
    <row r="53" spans="2:7" x14ac:dyDescent="0.25">
      <c r="B53" s="178">
        <f t="shared" si="34"/>
        <v>42079.586031999992</v>
      </c>
      <c r="E53" s="156">
        <v>2017</v>
      </c>
      <c r="F53" s="178">
        <f t="shared" ref="F53:F66" si="35">F35*1000</f>
        <v>2859.9515999999999</v>
      </c>
      <c r="G53" s="146" t="s">
        <v>13</v>
      </c>
    </row>
    <row r="54" spans="2:7" x14ac:dyDescent="0.25">
      <c r="B54" s="178">
        <f t="shared" si="34"/>
        <v>42808.247107999996</v>
      </c>
      <c r="E54" s="156">
        <v>2018</v>
      </c>
      <c r="F54" s="178">
        <f t="shared" si="35"/>
        <v>3140.0134656000005</v>
      </c>
      <c r="G54" s="146" t="s">
        <v>13</v>
      </c>
    </row>
    <row r="55" spans="2:7" x14ac:dyDescent="0.25">
      <c r="B55" s="178">
        <f t="shared" si="34"/>
        <v>43531.066655999995</v>
      </c>
      <c r="E55" s="156">
        <v>2019</v>
      </c>
      <c r="F55" s="178">
        <f t="shared" si="35"/>
        <v>3445.7236815012002</v>
      </c>
      <c r="G55" s="146" t="s">
        <v>13</v>
      </c>
    </row>
    <row r="56" spans="2:7" x14ac:dyDescent="0.25">
      <c r="B56" s="178">
        <f t="shared" si="34"/>
        <v>43494.222581468995</v>
      </c>
      <c r="E56" s="156">
        <v>2020</v>
      </c>
      <c r="F56" s="178">
        <f t="shared" si="35"/>
        <v>3779.3344571657931</v>
      </c>
      <c r="G56" s="146" t="s">
        <v>13</v>
      </c>
    </row>
    <row r="57" spans="2:7" x14ac:dyDescent="0.25">
      <c r="B57" s="178">
        <f t="shared" si="34"/>
        <v>45500.440335085827</v>
      </c>
      <c r="E57" s="156">
        <v>2021</v>
      </c>
      <c r="F57" s="178">
        <f t="shared" si="35"/>
        <v>4143.2901445786956</v>
      </c>
      <c r="G57" s="146" t="s">
        <v>13</v>
      </c>
    </row>
    <row r="58" spans="2:7" x14ac:dyDescent="0.25">
      <c r="B58" s="178">
        <f t="shared" si="34"/>
        <v>47567.468197220012</v>
      </c>
      <c r="E58" s="156">
        <v>2022</v>
      </c>
      <c r="F58" s="178">
        <f t="shared" si="35"/>
        <v>4540.2432890316459</v>
      </c>
      <c r="G58" s="146" t="s">
        <v>13</v>
      </c>
    </row>
    <row r="59" spans="2:7" x14ac:dyDescent="0.25">
      <c r="B59" s="178">
        <f t="shared" si="34"/>
        <v>49695.976686486727</v>
      </c>
      <c r="E59" s="156">
        <v>2023</v>
      </c>
      <c r="F59" s="178">
        <f t="shared" si="35"/>
        <v>4973.0719993942685</v>
      </c>
      <c r="G59" s="146" t="s">
        <v>13</v>
      </c>
    </row>
    <row r="60" spans="2:7" x14ac:dyDescent="0.25">
      <c r="B60" s="178">
        <f t="shared" si="34"/>
        <v>51886.537018497474</v>
      </c>
      <c r="E60" s="156">
        <v>2024</v>
      </c>
      <c r="F60" s="178">
        <f t="shared" si="35"/>
        <v>5444.8987449825827</v>
      </c>
      <c r="G60" s="146" t="s">
        <v>13</v>
      </c>
    </row>
    <row r="61" spans="2:7" x14ac:dyDescent="0.25">
      <c r="B61" s="178">
        <f t="shared" si="34"/>
        <v>54139.607889387618</v>
      </c>
      <c r="E61" s="156">
        <v>2025</v>
      </c>
      <c r="F61" s="178">
        <f t="shared" si="35"/>
        <v>5959.1106947420185</v>
      </c>
      <c r="G61" s="146" t="s">
        <v>13</v>
      </c>
    </row>
    <row r="62" spans="2:7" x14ac:dyDescent="0.25">
      <c r="B62" s="178">
        <f t="shared" si="34"/>
        <v>56455.5210240378</v>
      </c>
      <c r="E62" s="156">
        <v>2026</v>
      </c>
      <c r="F62" s="178">
        <f t="shared" si="35"/>
        <v>6519.3817237543208</v>
      </c>
      <c r="G62" s="146" t="s">
        <v>13</v>
      </c>
    </row>
    <row r="63" spans="2:7" x14ac:dyDescent="0.25">
      <c r="B63" s="178">
        <f t="shared" si="34"/>
        <v>58834.465384329174</v>
      </c>
      <c r="E63" s="156">
        <v>2027</v>
      </c>
      <c r="F63" s="178">
        <f t="shared" si="35"/>
        <v>7129.6962221101394</v>
      </c>
      <c r="G63" s="146" t="s">
        <v>13</v>
      </c>
    </row>
    <row r="64" spans="2:7" x14ac:dyDescent="0.25">
      <c r="B64" s="178">
        <f t="shared" si="34"/>
        <v>61276.469924235804</v>
      </c>
      <c r="E64" s="156">
        <v>2028</v>
      </c>
      <c r="F64" s="178">
        <f t="shared" si="35"/>
        <v>7794.3748520200197</v>
      </c>
      <c r="G64" s="146" t="s">
        <v>13</v>
      </c>
    </row>
    <row r="65" spans="2:7" x14ac:dyDescent="0.25">
      <c r="B65" s="178">
        <f t="shared" si="34"/>
        <v>63781.384769337448</v>
      </c>
      <c r="E65" s="156">
        <v>2029</v>
      </c>
      <c r="F65" s="178">
        <f t="shared" si="35"/>
        <v>8518.1024107291178</v>
      </c>
      <c r="G65" s="146" t="s">
        <v>13</v>
      </c>
    </row>
    <row r="66" spans="2:7" x14ac:dyDescent="0.25">
      <c r="B66" s="178">
        <f t="shared" si="34"/>
        <v>66348.860688377928</v>
      </c>
      <c r="E66" s="156">
        <v>2030</v>
      </c>
      <c r="F66" s="178">
        <f t="shared" si="35"/>
        <v>9309.0360000000001</v>
      </c>
      <c r="G66" s="146" t="s">
        <v>13</v>
      </c>
    </row>
    <row r="67" spans="2:7" x14ac:dyDescent="0.25">
      <c r="B67" s="178">
        <f t="shared" si="34"/>
        <v>68978.3267137394</v>
      </c>
      <c r="F67" s="178">
        <f>SUM(F53:F66)</f>
        <v>77556.229285609792</v>
      </c>
    </row>
    <row r="68" spans="2:7" x14ac:dyDescent="0.25">
      <c r="B68" s="178">
        <f t="shared" si="34"/>
        <v>71668.965756089456</v>
      </c>
      <c r="F68" s="178">
        <f>F67/14</f>
        <v>5539.730663257842</v>
      </c>
    </row>
    <row r="69" spans="2:7" x14ac:dyDescent="0.25">
      <c r="B69" s="178">
        <f t="shared" si="34"/>
        <v>74472.288</v>
      </c>
    </row>
    <row r="70" spans="2:7" x14ac:dyDescent="0.25">
      <c r="B70" s="179">
        <f>SUM(B50:B69)</f>
        <v>1064202.4964402937</v>
      </c>
    </row>
    <row r="71" spans="2:7" x14ac:dyDescent="0.25">
      <c r="B71" s="180">
        <f>B70/20</f>
        <v>53210.124822014688</v>
      </c>
    </row>
  </sheetData>
  <mergeCells count="6">
    <mergeCell ref="A2:I2"/>
    <mergeCell ref="A27:A28"/>
    <mergeCell ref="B27:H27"/>
    <mergeCell ref="I4:I5"/>
    <mergeCell ref="I27:I28"/>
    <mergeCell ref="B4:H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0"/>
  <sheetViews>
    <sheetView topLeftCell="A8" zoomScale="85" zoomScaleNormal="85" workbookViewId="0">
      <selection activeCell="C61" sqref="C61"/>
    </sheetView>
  </sheetViews>
  <sheetFormatPr defaultRowHeight="15" x14ac:dyDescent="0.25"/>
  <cols>
    <col min="1" max="1" width="9.42578125" style="95" bestFit="1" customWidth="1"/>
    <col min="2" max="2" width="11.5703125" style="95" bestFit="1" customWidth="1"/>
    <col min="3" max="3" width="11" style="95" bestFit="1" customWidth="1"/>
    <col min="4" max="4" width="12.7109375" style="95" bestFit="1" customWidth="1"/>
    <col min="5" max="5" width="12.42578125" style="95" customWidth="1"/>
    <col min="6" max="6" width="15.28515625" style="95" customWidth="1"/>
    <col min="7" max="7" width="14.7109375" style="95" customWidth="1"/>
    <col min="8" max="8" width="9.42578125" style="95" bestFit="1" customWidth="1"/>
    <col min="9" max="9" width="13.42578125" style="95" customWidth="1"/>
    <col min="10" max="10" width="10.28515625" style="95" bestFit="1" customWidth="1"/>
    <col min="11" max="14" width="9.42578125" style="95" bestFit="1" customWidth="1"/>
    <col min="15" max="15" width="9.140625" style="95"/>
    <col min="16" max="19" width="9.42578125" style="95" bestFit="1" customWidth="1"/>
    <col min="20" max="23" width="9.140625" style="95"/>
    <col min="24" max="24" width="9.5703125" style="95" bestFit="1" customWidth="1"/>
    <col min="25" max="16384" width="9.140625" style="95"/>
  </cols>
  <sheetData>
    <row r="2" spans="1:24" x14ac:dyDescent="0.25">
      <c r="A2" s="102" t="s">
        <v>116</v>
      </c>
      <c r="B2" s="102"/>
      <c r="C2" s="102"/>
      <c r="D2" s="103"/>
      <c r="E2" s="103"/>
      <c r="F2" s="103"/>
      <c r="G2" s="103"/>
      <c r="H2" s="103"/>
      <c r="I2" s="103"/>
    </row>
    <row r="3" spans="1:24" x14ac:dyDescent="0.25">
      <c r="A3" s="104"/>
    </row>
    <row r="4" spans="1:24" x14ac:dyDescent="0.25">
      <c r="A4" s="105" t="s">
        <v>125</v>
      </c>
    </row>
    <row r="6" spans="1:24" ht="35.25" customHeight="1" x14ac:dyDescent="0.25">
      <c r="A6" s="202" t="s">
        <v>10</v>
      </c>
      <c r="B6" s="208" t="s">
        <v>117</v>
      </c>
      <c r="C6" s="208"/>
      <c r="D6" s="208"/>
      <c r="E6" s="106" t="s">
        <v>113</v>
      </c>
      <c r="F6" s="202" t="s">
        <v>10</v>
      </c>
      <c r="G6" s="208" t="s">
        <v>110</v>
      </c>
      <c r="H6" s="208"/>
      <c r="I6" s="208"/>
      <c r="J6" s="96" t="s">
        <v>114</v>
      </c>
      <c r="K6" s="202" t="s">
        <v>10</v>
      </c>
      <c r="L6" s="208" t="s">
        <v>111</v>
      </c>
      <c r="M6" s="208"/>
      <c r="N6" s="208"/>
      <c r="O6" s="96" t="s">
        <v>114</v>
      </c>
      <c r="P6" s="202" t="s">
        <v>10</v>
      </c>
      <c r="Q6" s="208" t="s">
        <v>155</v>
      </c>
      <c r="R6" s="208"/>
      <c r="S6" s="208"/>
      <c r="X6" s="97"/>
    </row>
    <row r="7" spans="1:24" ht="18" x14ac:dyDescent="0.25">
      <c r="A7" s="202"/>
      <c r="B7" s="202" t="s">
        <v>128</v>
      </c>
      <c r="C7" s="202"/>
      <c r="D7" s="208" t="s">
        <v>129</v>
      </c>
      <c r="E7" s="107"/>
      <c r="F7" s="202"/>
      <c r="G7" s="202" t="s">
        <v>128</v>
      </c>
      <c r="H7" s="202"/>
      <c r="I7" s="208" t="s">
        <v>129</v>
      </c>
      <c r="K7" s="202"/>
      <c r="L7" s="202" t="s">
        <v>128</v>
      </c>
      <c r="M7" s="202"/>
      <c r="N7" s="208" t="s">
        <v>129</v>
      </c>
      <c r="P7" s="202"/>
      <c r="Q7" s="202" t="s">
        <v>128</v>
      </c>
      <c r="R7" s="202"/>
      <c r="S7" s="208" t="s">
        <v>129</v>
      </c>
      <c r="X7" s="97"/>
    </row>
    <row r="8" spans="1:24" ht="18" x14ac:dyDescent="0.25">
      <c r="A8" s="202"/>
      <c r="B8" s="108" t="s">
        <v>130</v>
      </c>
      <c r="C8" s="108" t="s">
        <v>131</v>
      </c>
      <c r="D8" s="208"/>
      <c r="E8" s="109"/>
      <c r="F8" s="202"/>
      <c r="G8" s="108" t="s">
        <v>130</v>
      </c>
      <c r="H8" s="108" t="s">
        <v>131</v>
      </c>
      <c r="I8" s="208"/>
      <c r="K8" s="202"/>
      <c r="L8" s="108" t="s">
        <v>130</v>
      </c>
      <c r="M8" s="108" t="s">
        <v>131</v>
      </c>
      <c r="N8" s="208"/>
      <c r="P8" s="202"/>
      <c r="Q8" s="108" t="s">
        <v>130</v>
      </c>
      <c r="R8" s="108" t="s">
        <v>131</v>
      </c>
      <c r="S8" s="208"/>
    </row>
    <row r="9" spans="1:24" x14ac:dyDescent="0.25">
      <c r="A9" s="89">
        <v>2011</v>
      </c>
      <c r="B9" s="168">
        <f>[2]Results!O28</f>
        <v>1.6640249774555425</v>
      </c>
      <c r="C9" s="135">
        <f>B9*21</f>
        <v>34.94452452656639</v>
      </c>
      <c r="D9" s="169">
        <f t="shared" ref="D9:D14" si="0">E9+C9</f>
        <v>34.94452452656639</v>
      </c>
      <c r="E9" s="112"/>
      <c r="F9" s="89">
        <v>2011</v>
      </c>
      <c r="G9" s="168">
        <f>[3]Results!O28</f>
        <v>0</v>
      </c>
      <c r="H9" s="135">
        <f>G9*21</f>
        <v>0</v>
      </c>
      <c r="I9" s="169">
        <f t="shared" ref="I9:I14" si="1">J9+H9</f>
        <v>0</v>
      </c>
      <c r="K9" s="89">
        <v>2011</v>
      </c>
      <c r="L9" s="170">
        <f>[4]Results!O28</f>
        <v>1.1800311260564202</v>
      </c>
      <c r="M9" s="135">
        <f>L9*21</f>
        <v>24.780653647184824</v>
      </c>
      <c r="N9" s="169">
        <f>O9+M9</f>
        <v>24.780653647184824</v>
      </c>
      <c r="P9" s="89">
        <v>2011</v>
      </c>
      <c r="Q9" s="170">
        <f>[5]Results!O28</f>
        <v>0</v>
      </c>
      <c r="R9" s="135">
        <f>Q9*21</f>
        <v>0</v>
      </c>
      <c r="S9" s="169">
        <f>T9+R9</f>
        <v>0</v>
      </c>
    </row>
    <row r="10" spans="1:24" x14ac:dyDescent="0.25">
      <c r="A10" s="89">
        <v>2012</v>
      </c>
      <c r="B10" s="168">
        <f>[2]Results!O29</f>
        <v>1.7452925812756255</v>
      </c>
      <c r="C10" s="135">
        <f t="shared" ref="C10:C14" si="2">B10*21</f>
        <v>36.651144206788132</v>
      </c>
      <c r="D10" s="169">
        <f t="shared" si="0"/>
        <v>36.651144206788132</v>
      </c>
      <c r="E10" s="112"/>
      <c r="F10" s="89">
        <v>2012</v>
      </c>
      <c r="G10" s="168">
        <f>[3]Results!O29</f>
        <v>0</v>
      </c>
      <c r="H10" s="135">
        <f t="shared" ref="H10:H14" si="3">G10*21</f>
        <v>0</v>
      </c>
      <c r="I10" s="169">
        <f t="shared" si="1"/>
        <v>0</v>
      </c>
      <c r="K10" s="89">
        <v>2012</v>
      </c>
      <c r="L10" s="170">
        <f>[4]Results!O29</f>
        <v>1.2376614521314273</v>
      </c>
      <c r="M10" s="135">
        <f t="shared" ref="M10:M14" si="4">L10*21</f>
        <v>25.990890494759974</v>
      </c>
      <c r="N10" s="169">
        <f t="shared" ref="N10:N14" si="5">O10+M10</f>
        <v>25.990890494759974</v>
      </c>
      <c r="P10" s="89">
        <v>2012</v>
      </c>
      <c r="Q10" s="170">
        <f>[5]Results!O29</f>
        <v>0</v>
      </c>
      <c r="R10" s="135">
        <f t="shared" ref="R10:R14" si="6">Q10*21</f>
        <v>0</v>
      </c>
      <c r="S10" s="169">
        <f t="shared" ref="S10:S14" si="7">T10+R10</f>
        <v>0</v>
      </c>
    </row>
    <row r="11" spans="1:24" x14ac:dyDescent="0.25">
      <c r="A11" s="89">
        <v>2013</v>
      </c>
      <c r="B11" s="168">
        <f>[2]Results!O30</f>
        <v>1.8172805059611721</v>
      </c>
      <c r="C11" s="135">
        <f t="shared" si="2"/>
        <v>38.162890625184616</v>
      </c>
      <c r="D11" s="169">
        <f t="shared" si="0"/>
        <v>38.162890625184616</v>
      </c>
      <c r="E11" s="112"/>
      <c r="F11" s="89">
        <v>2013</v>
      </c>
      <c r="G11" s="168">
        <f>[3]Results!O30</f>
        <v>0</v>
      </c>
      <c r="H11" s="135">
        <f t="shared" si="3"/>
        <v>0</v>
      </c>
      <c r="I11" s="169">
        <f t="shared" si="1"/>
        <v>0</v>
      </c>
      <c r="K11" s="89">
        <v>2013</v>
      </c>
      <c r="L11" s="170">
        <f>[4]Results!O30</f>
        <v>1.2887111617091314</v>
      </c>
      <c r="M11" s="135">
        <f t="shared" si="4"/>
        <v>27.062934395891759</v>
      </c>
      <c r="N11" s="169">
        <f t="shared" si="5"/>
        <v>27.062934395891759</v>
      </c>
      <c r="P11" s="89">
        <v>2013</v>
      </c>
      <c r="Q11" s="170">
        <f>[5]Results!O30</f>
        <v>0</v>
      </c>
      <c r="R11" s="135">
        <f t="shared" si="6"/>
        <v>0</v>
      </c>
      <c r="S11" s="169">
        <f t="shared" si="7"/>
        <v>0</v>
      </c>
    </row>
    <row r="12" spans="1:24" x14ac:dyDescent="0.25">
      <c r="A12" s="89">
        <v>2014</v>
      </c>
      <c r="B12" s="168">
        <f>[2]Results!O31</f>
        <v>1.8825982735126692</v>
      </c>
      <c r="C12" s="135">
        <f t="shared" si="2"/>
        <v>39.53456374376605</v>
      </c>
      <c r="D12" s="169">
        <f t="shared" si="0"/>
        <v>39.53456374376605</v>
      </c>
      <c r="E12" s="112"/>
      <c r="F12" s="89">
        <v>2014</v>
      </c>
      <c r="G12" s="168">
        <f>[3]Results!O31</f>
        <v>0</v>
      </c>
      <c r="H12" s="135">
        <f t="shared" si="3"/>
        <v>0</v>
      </c>
      <c r="I12" s="169">
        <f t="shared" si="1"/>
        <v>0</v>
      </c>
      <c r="K12" s="89">
        <v>2014</v>
      </c>
      <c r="L12" s="170">
        <f>[4]Results!O31</f>
        <v>1.3350307782049984</v>
      </c>
      <c r="M12" s="135">
        <f t="shared" si="4"/>
        <v>28.035646342304965</v>
      </c>
      <c r="N12" s="169">
        <f t="shared" si="5"/>
        <v>28.035646342304965</v>
      </c>
      <c r="P12" s="89">
        <v>2014</v>
      </c>
      <c r="Q12" s="170">
        <f>[5]Results!O31</f>
        <v>0</v>
      </c>
      <c r="R12" s="135">
        <f t="shared" si="6"/>
        <v>0</v>
      </c>
      <c r="S12" s="169">
        <f t="shared" si="7"/>
        <v>0</v>
      </c>
    </row>
    <row r="13" spans="1:24" x14ac:dyDescent="0.25">
      <c r="A13" s="89">
        <v>2015</v>
      </c>
      <c r="B13" s="168">
        <f>[2]Results!O32</f>
        <v>1.9428288621561873</v>
      </c>
      <c r="C13" s="135">
        <f t="shared" si="2"/>
        <v>40.799406105279935</v>
      </c>
      <c r="D13" s="169">
        <f t="shared" si="0"/>
        <v>40.799406105279935</v>
      </c>
      <c r="E13" s="112"/>
      <c r="F13" s="89">
        <v>2015</v>
      </c>
      <c r="G13" s="168">
        <f>[3]Results!O32</f>
        <v>0</v>
      </c>
      <c r="H13" s="135">
        <f t="shared" si="3"/>
        <v>0</v>
      </c>
      <c r="I13" s="169">
        <f t="shared" si="1"/>
        <v>0</v>
      </c>
      <c r="K13" s="89">
        <v>2015</v>
      </c>
      <c r="L13" s="170">
        <f>[4]Results!O32</f>
        <v>1.377742859034897</v>
      </c>
      <c r="M13" s="135">
        <f t="shared" si="4"/>
        <v>28.932600039732836</v>
      </c>
      <c r="N13" s="169">
        <f t="shared" si="5"/>
        <v>28.932600039732836</v>
      </c>
      <c r="P13" s="89">
        <v>2015</v>
      </c>
      <c r="Q13" s="170">
        <f>[5]Results!O32</f>
        <v>0</v>
      </c>
      <c r="R13" s="135">
        <f t="shared" si="6"/>
        <v>0</v>
      </c>
      <c r="S13" s="169">
        <f t="shared" si="7"/>
        <v>0</v>
      </c>
    </row>
    <row r="14" spans="1:24" x14ac:dyDescent="0.25">
      <c r="A14" s="89">
        <v>2016</v>
      </c>
      <c r="B14" s="168">
        <f>[2]Results!O33</f>
        <v>1.9990515643314024</v>
      </c>
      <c r="C14" s="135">
        <f t="shared" si="2"/>
        <v>41.980082850959448</v>
      </c>
      <c r="D14" s="169">
        <f t="shared" si="0"/>
        <v>41.980082850959448</v>
      </c>
      <c r="E14" s="112"/>
      <c r="F14" s="89">
        <v>2016</v>
      </c>
      <c r="G14" s="168">
        <f>[3]Results!O33</f>
        <v>0</v>
      </c>
      <c r="H14" s="135">
        <f t="shared" si="3"/>
        <v>0</v>
      </c>
      <c r="I14" s="169">
        <f t="shared" si="1"/>
        <v>0</v>
      </c>
      <c r="K14" s="89">
        <v>2016</v>
      </c>
      <c r="L14" s="170">
        <f>[4]Results!O33</f>
        <v>1.4176127765280835</v>
      </c>
      <c r="M14" s="135">
        <f t="shared" si="4"/>
        <v>29.769868307089752</v>
      </c>
      <c r="N14" s="169">
        <f t="shared" si="5"/>
        <v>29.769868307089752</v>
      </c>
      <c r="P14" s="89">
        <v>2016</v>
      </c>
      <c r="Q14" s="170">
        <f>[5]Results!O33</f>
        <v>0</v>
      </c>
      <c r="R14" s="135">
        <f t="shared" si="6"/>
        <v>0</v>
      </c>
      <c r="S14" s="169">
        <f t="shared" si="7"/>
        <v>0</v>
      </c>
    </row>
    <row r="15" spans="1:24" x14ac:dyDescent="0.25">
      <c r="A15" s="89">
        <v>2017</v>
      </c>
      <c r="B15" s="168">
        <f>[2]Results!O34</f>
        <v>1.8347437324102343</v>
      </c>
      <c r="C15" s="135">
        <f t="shared" ref="C15:C29" si="8">B15*21</f>
        <v>38.52961838061492</v>
      </c>
      <c r="D15" s="169">
        <f t="shared" ref="D15:D29" si="9">E15+C15</f>
        <v>38.52961838061492</v>
      </c>
      <c r="E15" s="112"/>
      <c r="F15" s="89">
        <v>2017</v>
      </c>
      <c r="G15" s="168">
        <f>[3]Results!O34</f>
        <v>0</v>
      </c>
      <c r="H15" s="135">
        <f t="shared" ref="H15:H29" si="10">G15*21</f>
        <v>0</v>
      </c>
      <c r="I15" s="169">
        <f t="shared" ref="I15:I29" si="11">J15+H15</f>
        <v>0</v>
      </c>
      <c r="K15" s="89">
        <v>2017</v>
      </c>
      <c r="L15" s="170">
        <f>[4]Results!O34</f>
        <v>1.455313127891138</v>
      </c>
      <c r="M15" s="135">
        <f t="shared" ref="M15:M29" si="12">L15*21</f>
        <v>30.561575685713898</v>
      </c>
      <c r="N15" s="169">
        <f t="shared" ref="N15:N29" si="13">O15+M15</f>
        <v>30.561575685713898</v>
      </c>
      <c r="P15" s="89">
        <v>2017</v>
      </c>
      <c r="Q15" s="170">
        <f>[5]Results!O34</f>
        <v>0</v>
      </c>
      <c r="R15" s="135">
        <f t="shared" ref="R15:R29" si="14">Q15*21</f>
        <v>0</v>
      </c>
      <c r="S15" s="169">
        <f t="shared" ref="S15:S29" si="15">T15+R15</f>
        <v>0</v>
      </c>
    </row>
    <row r="16" spans="1:24" x14ac:dyDescent="0.25">
      <c r="A16" s="89">
        <v>2018</v>
      </c>
      <c r="B16" s="168">
        <f>[2]Results!O35</f>
        <v>1.8655439900415369</v>
      </c>
      <c r="C16" s="135">
        <f t="shared" si="8"/>
        <v>39.176423790872278</v>
      </c>
      <c r="D16" s="169">
        <f t="shared" si="9"/>
        <v>39.176423790872278</v>
      </c>
      <c r="E16" s="112"/>
      <c r="F16" s="89">
        <v>2018</v>
      </c>
      <c r="G16" s="168">
        <f>[3]Results!O35</f>
        <v>0</v>
      </c>
      <c r="H16" s="135">
        <f t="shared" si="10"/>
        <v>0</v>
      </c>
      <c r="I16" s="169">
        <f t="shared" si="11"/>
        <v>0</v>
      </c>
      <c r="K16" s="89">
        <v>2018</v>
      </c>
      <c r="L16" s="170">
        <f>[4]Results!O35</f>
        <v>1.4901745780154605</v>
      </c>
      <c r="M16" s="135">
        <f t="shared" si="12"/>
        <v>31.293666138324671</v>
      </c>
      <c r="N16" s="169">
        <f t="shared" si="13"/>
        <v>31.293666138324671</v>
      </c>
      <c r="P16" s="89">
        <v>2018</v>
      </c>
      <c r="Q16" s="170">
        <f>[5]Results!O35</f>
        <v>2.2630812456433513E-2</v>
      </c>
      <c r="R16" s="135">
        <f t="shared" si="14"/>
        <v>0.47524706158510377</v>
      </c>
      <c r="S16" s="169">
        <f t="shared" si="15"/>
        <v>0.47524706158510377</v>
      </c>
    </row>
    <row r="17" spans="1:19" x14ac:dyDescent="0.25">
      <c r="A17" s="89">
        <v>2019</v>
      </c>
      <c r="B17" s="168">
        <f>[2]Results!O36</f>
        <v>1.9141153374467361</v>
      </c>
      <c r="C17" s="135">
        <f t="shared" si="8"/>
        <v>40.19642208638146</v>
      </c>
      <c r="D17" s="169">
        <f t="shared" si="9"/>
        <v>40.19642208638146</v>
      </c>
      <c r="E17" s="112"/>
      <c r="F17" s="89">
        <v>2019</v>
      </c>
      <c r="G17" s="168">
        <f>[3]Results!O36</f>
        <v>0</v>
      </c>
      <c r="H17" s="135">
        <f t="shared" si="10"/>
        <v>0</v>
      </c>
      <c r="I17" s="169">
        <f t="shared" si="11"/>
        <v>0</v>
      </c>
      <c r="K17" s="89">
        <v>2019</v>
      </c>
      <c r="L17" s="170">
        <f>[4]Results!O36</f>
        <v>1.5168996648993924</v>
      </c>
      <c r="M17" s="135">
        <f t="shared" si="12"/>
        <v>31.854892962887241</v>
      </c>
      <c r="N17" s="169">
        <f t="shared" si="13"/>
        <v>31.854892962887241</v>
      </c>
      <c r="P17" s="89">
        <v>2019</v>
      </c>
      <c r="Q17" s="170">
        <f>[5]Results!O36</f>
        <v>4.0857754179027199E-2</v>
      </c>
      <c r="R17" s="135">
        <f t="shared" si="14"/>
        <v>0.85801283775957116</v>
      </c>
      <c r="S17" s="169">
        <f t="shared" si="15"/>
        <v>0.85801283775957116</v>
      </c>
    </row>
    <row r="18" spans="1:19" x14ac:dyDescent="0.25">
      <c r="A18" s="89">
        <v>2020</v>
      </c>
      <c r="B18" s="168">
        <f>[2]Results!O37</f>
        <v>1.9757686995184742</v>
      </c>
      <c r="C18" s="135">
        <f t="shared" si="8"/>
        <v>41.491142689887958</v>
      </c>
      <c r="D18" s="169">
        <f t="shared" si="9"/>
        <v>41.491142689887958</v>
      </c>
      <c r="E18" s="112"/>
      <c r="F18" s="89">
        <v>2020</v>
      </c>
      <c r="G18" s="168">
        <f>[3]Results!O37</f>
        <v>0</v>
      </c>
      <c r="H18" s="135">
        <f t="shared" si="10"/>
        <v>0</v>
      </c>
      <c r="I18" s="169">
        <f t="shared" si="11"/>
        <v>0</v>
      </c>
      <c r="K18" s="89">
        <v>2020</v>
      </c>
      <c r="L18" s="170">
        <f>[4]Results!O37</f>
        <v>1.5375518240765631</v>
      </c>
      <c r="M18" s="135">
        <f t="shared" si="12"/>
        <v>32.288588305607824</v>
      </c>
      <c r="N18" s="169">
        <f t="shared" si="13"/>
        <v>32.288588305607824</v>
      </c>
      <c r="P18" s="89">
        <v>2020</v>
      </c>
      <c r="Q18" s="170">
        <f>[5]Results!O37</f>
        <v>5.6314304894957104E-2</v>
      </c>
      <c r="R18" s="135">
        <f t="shared" si="14"/>
        <v>1.1826004027940993</v>
      </c>
      <c r="S18" s="169">
        <f t="shared" si="15"/>
        <v>1.1826004027940993</v>
      </c>
    </row>
    <row r="19" spans="1:19" x14ac:dyDescent="0.25">
      <c r="A19" s="89">
        <v>2021</v>
      </c>
      <c r="B19" s="168">
        <f>[2]Results!O38</f>
        <v>2.0473386577741683</v>
      </c>
      <c r="C19" s="135">
        <f t="shared" si="8"/>
        <v>42.994111813257533</v>
      </c>
      <c r="D19" s="169">
        <f t="shared" si="9"/>
        <v>42.994111813257533</v>
      </c>
      <c r="E19" s="112"/>
      <c r="F19" s="89">
        <v>2021</v>
      </c>
      <c r="G19" s="168">
        <f>[3]Results!O38</f>
        <v>0</v>
      </c>
      <c r="H19" s="135">
        <f t="shared" si="10"/>
        <v>0</v>
      </c>
      <c r="I19" s="169">
        <f t="shared" si="11"/>
        <v>0</v>
      </c>
      <c r="K19" s="89">
        <v>2021</v>
      </c>
      <c r="L19" s="170">
        <f>[4]Results!O38</f>
        <v>1.5535657832992498</v>
      </c>
      <c r="M19" s="135">
        <f t="shared" si="12"/>
        <v>32.624881449284246</v>
      </c>
      <c r="N19" s="169">
        <f t="shared" si="13"/>
        <v>32.624881449284246</v>
      </c>
      <c r="P19" s="89">
        <v>2021</v>
      </c>
      <c r="Q19" s="170">
        <f>[5]Results!O38</f>
        <v>7.0124960918543963E-2</v>
      </c>
      <c r="R19" s="135">
        <f t="shared" si="14"/>
        <v>1.4726241792894232</v>
      </c>
      <c r="S19" s="169">
        <f t="shared" si="15"/>
        <v>1.4726241792894232</v>
      </c>
    </row>
    <row r="20" spans="1:19" x14ac:dyDescent="0.25">
      <c r="A20" s="89">
        <v>2022</v>
      </c>
      <c r="B20" s="168">
        <f>[2]Results!O39</f>
        <v>2.1266852215421794</v>
      </c>
      <c r="C20" s="135">
        <f t="shared" si="8"/>
        <v>44.660389652385767</v>
      </c>
      <c r="D20" s="169">
        <f t="shared" si="9"/>
        <v>44.660389652385767</v>
      </c>
      <c r="E20" s="112"/>
      <c r="F20" s="89">
        <v>2022</v>
      </c>
      <c r="G20" s="168">
        <f>[3]Results!O39</f>
        <v>0</v>
      </c>
      <c r="H20" s="135">
        <f t="shared" si="10"/>
        <v>0</v>
      </c>
      <c r="I20" s="169">
        <f t="shared" si="11"/>
        <v>0</v>
      </c>
      <c r="K20" s="89">
        <v>2022</v>
      </c>
      <c r="L20" s="170">
        <f>[4]Results!O39</f>
        <v>1.5659491274324704</v>
      </c>
      <c r="M20" s="135">
        <f t="shared" si="12"/>
        <v>32.884931676081877</v>
      </c>
      <c r="N20" s="169">
        <f t="shared" si="13"/>
        <v>32.884931676081877</v>
      </c>
      <c r="P20" s="89">
        <v>2022</v>
      </c>
      <c r="Q20" s="170">
        <f>[5]Results!O39</f>
        <v>8.3073579278774623E-2</v>
      </c>
      <c r="R20" s="135">
        <f t="shared" si="14"/>
        <v>1.7445451648542671</v>
      </c>
      <c r="S20" s="169">
        <f t="shared" si="15"/>
        <v>1.7445451648542671</v>
      </c>
    </row>
    <row r="21" spans="1:19" x14ac:dyDescent="0.25">
      <c r="A21" s="89">
        <v>2023</v>
      </c>
      <c r="B21" s="168">
        <f>[2]Results!O40</f>
        <v>2.2123588575261151</v>
      </c>
      <c r="C21" s="135">
        <f t="shared" si="8"/>
        <v>46.459536008048417</v>
      </c>
      <c r="D21" s="169">
        <f t="shared" si="9"/>
        <v>46.459536008048417</v>
      </c>
      <c r="E21" s="112"/>
      <c r="F21" s="89">
        <v>2023</v>
      </c>
      <c r="G21" s="168">
        <f>[3]Results!O40</f>
        <v>0</v>
      </c>
      <c r="H21" s="135">
        <f t="shared" si="10"/>
        <v>0</v>
      </c>
      <c r="I21" s="169">
        <f t="shared" si="11"/>
        <v>0</v>
      </c>
      <c r="K21" s="89">
        <v>2023</v>
      </c>
      <c r="L21" s="170">
        <f>[4]Results!O40</f>
        <v>1.5754182071830742</v>
      </c>
      <c r="M21" s="135">
        <f t="shared" si="12"/>
        <v>33.083782350844558</v>
      </c>
      <c r="N21" s="169">
        <f t="shared" si="13"/>
        <v>33.083782350844558</v>
      </c>
      <c r="P21" s="89">
        <v>2023</v>
      </c>
      <c r="Q21" s="170">
        <f>[5]Results!O40</f>
        <v>9.5716567434785862E-2</v>
      </c>
      <c r="R21" s="135">
        <f t="shared" si="14"/>
        <v>2.0100479161305032</v>
      </c>
      <c r="S21" s="169">
        <f t="shared" si="15"/>
        <v>2.0100479161305032</v>
      </c>
    </row>
    <row r="22" spans="1:19" x14ac:dyDescent="0.25">
      <c r="A22" s="89">
        <v>2024</v>
      </c>
      <c r="B22" s="168">
        <f>[2]Results!O41</f>
        <v>2.3033750656313172</v>
      </c>
      <c r="C22" s="135">
        <f t="shared" si="8"/>
        <v>48.370876378257663</v>
      </c>
      <c r="D22" s="169">
        <f t="shared" si="9"/>
        <v>48.370876378257663</v>
      </c>
      <c r="E22" s="112"/>
      <c r="F22" s="89">
        <v>2024</v>
      </c>
      <c r="G22" s="168">
        <f>[3]Results!O41</f>
        <v>0</v>
      </c>
      <c r="H22" s="135">
        <f t="shared" si="10"/>
        <v>0</v>
      </c>
      <c r="I22" s="169">
        <f t="shared" si="11"/>
        <v>0</v>
      </c>
      <c r="K22" s="89">
        <v>2024</v>
      </c>
      <c r="L22" s="170">
        <f>[4]Results!O41</f>
        <v>1.5824899167267656</v>
      </c>
      <c r="M22" s="135">
        <f t="shared" si="12"/>
        <v>33.232288251262077</v>
      </c>
      <c r="N22" s="169">
        <f t="shared" si="13"/>
        <v>33.232288251262077</v>
      </c>
      <c r="P22" s="89">
        <v>2024</v>
      </c>
      <c r="Q22" s="170">
        <f>[5]Results!O41</f>
        <v>0.10845908418739407</v>
      </c>
      <c r="R22" s="135">
        <f t="shared" si="14"/>
        <v>2.2776407679352753</v>
      </c>
      <c r="S22" s="169">
        <f t="shared" si="15"/>
        <v>2.2776407679352753</v>
      </c>
    </row>
    <row r="23" spans="1:19" x14ac:dyDescent="0.25">
      <c r="A23" s="89">
        <v>2025</v>
      </c>
      <c r="B23" s="168">
        <f>[2]Results!O42</f>
        <v>2.3990624754112195</v>
      </c>
      <c r="C23" s="135">
        <f t="shared" si="8"/>
        <v>50.380311983635607</v>
      </c>
      <c r="D23" s="169">
        <f t="shared" si="9"/>
        <v>50.380311983635607</v>
      </c>
      <c r="E23" s="112"/>
      <c r="F23" s="89">
        <v>2025</v>
      </c>
      <c r="G23" s="168">
        <f>[3]Results!O42</f>
        <v>0</v>
      </c>
      <c r="H23" s="135">
        <f t="shared" si="10"/>
        <v>0</v>
      </c>
      <c r="I23" s="169">
        <f t="shared" si="11"/>
        <v>0</v>
      </c>
      <c r="K23" s="89">
        <v>2025</v>
      </c>
      <c r="L23" s="170">
        <f>[4]Results!O42</f>
        <v>1.5875437875669891</v>
      </c>
      <c r="M23" s="135">
        <f t="shared" si="12"/>
        <v>33.33841953890677</v>
      </c>
      <c r="N23" s="169">
        <f t="shared" si="13"/>
        <v>33.33841953890677</v>
      </c>
      <c r="P23" s="89">
        <v>2025</v>
      </c>
      <c r="Q23" s="170">
        <f>[5]Results!O42</f>
        <v>0.12160643426258676</v>
      </c>
      <c r="R23" s="135">
        <f t="shared" si="14"/>
        <v>2.5537351195143221</v>
      </c>
      <c r="S23" s="169">
        <f t="shared" si="15"/>
        <v>2.5537351195143221</v>
      </c>
    </row>
    <row r="24" spans="1:19" x14ac:dyDescent="0.25">
      <c r="A24" s="89">
        <v>2026</v>
      </c>
      <c r="B24" s="168">
        <f>[2]Results!O43</f>
        <v>2.4989602960812216</v>
      </c>
      <c r="C24" s="135">
        <f t="shared" si="8"/>
        <v>52.478166217705656</v>
      </c>
      <c r="D24" s="169">
        <f t="shared" si="9"/>
        <v>52.478166217705656</v>
      </c>
      <c r="E24" s="112"/>
      <c r="F24" s="89">
        <v>2026</v>
      </c>
      <c r="G24" s="168">
        <f>[3]Results!O43</f>
        <v>0</v>
      </c>
      <c r="H24" s="135">
        <f t="shared" si="10"/>
        <v>0</v>
      </c>
      <c r="I24" s="169">
        <f t="shared" si="11"/>
        <v>0</v>
      </c>
      <c r="K24" s="89">
        <v>2026</v>
      </c>
      <c r="L24" s="170">
        <f>[4]Results!O43</f>
        <v>1.5908640987093261</v>
      </c>
      <c r="M24" s="135">
        <f t="shared" si="12"/>
        <v>33.408146072895846</v>
      </c>
      <c r="N24" s="169">
        <f t="shared" si="13"/>
        <v>33.408146072895846</v>
      </c>
      <c r="P24" s="89">
        <v>2026</v>
      </c>
      <c r="Q24" s="170">
        <f>[5]Results!O43</f>
        <v>0.13539882777778425</v>
      </c>
      <c r="R24" s="135">
        <f t="shared" si="14"/>
        <v>2.8433753833334694</v>
      </c>
      <c r="S24" s="169">
        <f t="shared" si="15"/>
        <v>2.8433753833334694</v>
      </c>
    </row>
    <row r="25" spans="1:19" x14ac:dyDescent="0.25">
      <c r="A25" s="89">
        <v>2027</v>
      </c>
      <c r="B25" s="168">
        <f>[2]Results!O44</f>
        <v>2.6027489045953329</v>
      </c>
      <c r="C25" s="135">
        <f t="shared" si="8"/>
        <v>54.657726996501992</v>
      </c>
      <c r="D25" s="169">
        <f t="shared" si="9"/>
        <v>54.657726996501992</v>
      </c>
      <c r="E25" s="112"/>
      <c r="F25" s="89">
        <v>2027</v>
      </c>
      <c r="G25" s="168">
        <f>[3]Results!O44</f>
        <v>0</v>
      </c>
      <c r="H25" s="135">
        <f t="shared" si="10"/>
        <v>0</v>
      </c>
      <c r="I25" s="169">
        <f t="shared" si="11"/>
        <v>0</v>
      </c>
      <c r="K25" s="89">
        <v>2027</v>
      </c>
      <c r="L25" s="170">
        <f>[4]Results!O44</f>
        <v>1.5926685186051959</v>
      </c>
      <c r="M25" s="135">
        <f t="shared" si="12"/>
        <v>33.446038890709112</v>
      </c>
      <c r="N25" s="169">
        <f t="shared" si="13"/>
        <v>33.446038890709112</v>
      </c>
      <c r="P25" s="89">
        <v>2027</v>
      </c>
      <c r="Q25" s="170">
        <f>[5]Results!O44</f>
        <v>0.15003498643956908</v>
      </c>
      <c r="R25" s="135">
        <f t="shared" si="14"/>
        <v>3.1507347152309508</v>
      </c>
      <c r="S25" s="169">
        <f t="shared" si="15"/>
        <v>3.1507347152309508</v>
      </c>
    </row>
    <row r="26" spans="1:19" x14ac:dyDescent="0.25">
      <c r="A26" s="89">
        <v>2028</v>
      </c>
      <c r="B26" s="168">
        <f>[2]Results!O45</f>
        <v>2.7102026884396326</v>
      </c>
      <c r="C26" s="135">
        <f t="shared" si="8"/>
        <v>56.914256457232284</v>
      </c>
      <c r="D26" s="169">
        <f t="shared" si="9"/>
        <v>56.914256457232284</v>
      </c>
      <c r="E26" s="112"/>
      <c r="F26" s="89">
        <v>2028</v>
      </c>
      <c r="G26" s="168">
        <f>[3]Results!O45</f>
        <v>0</v>
      </c>
      <c r="H26" s="135">
        <f t="shared" si="10"/>
        <v>0</v>
      </c>
      <c r="I26" s="169">
        <f t="shared" si="11"/>
        <v>0</v>
      </c>
      <c r="K26" s="89">
        <v>2028</v>
      </c>
      <c r="L26" s="170">
        <f>[4]Results!O45</f>
        <v>1.5931276575275579</v>
      </c>
      <c r="M26" s="135">
        <f t="shared" si="12"/>
        <v>33.455680808078718</v>
      </c>
      <c r="N26" s="169">
        <f t="shared" si="13"/>
        <v>33.455680808078718</v>
      </c>
      <c r="P26" s="89">
        <v>2028</v>
      </c>
      <c r="Q26" s="170">
        <f>[5]Results!O45</f>
        <v>0.1656882751611454</v>
      </c>
      <c r="R26" s="135">
        <f t="shared" si="14"/>
        <v>3.4794537783840536</v>
      </c>
      <c r="S26" s="169">
        <f t="shared" si="15"/>
        <v>3.4794537783840536</v>
      </c>
    </row>
    <row r="27" spans="1:19" x14ac:dyDescent="0.25">
      <c r="A27" s="89">
        <v>2029</v>
      </c>
      <c r="B27" s="168">
        <f>[2]Results!O46</f>
        <v>2.8211578357698404</v>
      </c>
      <c r="C27" s="135">
        <f t="shared" si="8"/>
        <v>59.244314551166646</v>
      </c>
      <c r="D27" s="169">
        <f t="shared" si="9"/>
        <v>59.244314551166646</v>
      </c>
      <c r="E27" s="112"/>
      <c r="F27" s="89">
        <v>2029</v>
      </c>
      <c r="G27" s="168">
        <f>[3]Results!O46</f>
        <v>0</v>
      </c>
      <c r="H27" s="135">
        <f t="shared" si="10"/>
        <v>0</v>
      </c>
      <c r="I27" s="169">
        <f t="shared" si="11"/>
        <v>0</v>
      </c>
      <c r="K27" s="89">
        <v>2029</v>
      </c>
      <c r="L27" s="170">
        <f>[4]Results!O46</f>
        <v>1.5923784749606198</v>
      </c>
      <c r="M27" s="135">
        <f t="shared" si="12"/>
        <v>33.439947974173016</v>
      </c>
      <c r="N27" s="169">
        <f t="shared" si="13"/>
        <v>33.439947974173016</v>
      </c>
      <c r="P27" s="89">
        <v>2029</v>
      </c>
      <c r="Q27" s="170">
        <f>[5]Results!O46</f>
        <v>0.18251782875515055</v>
      </c>
      <c r="R27" s="135">
        <f t="shared" si="14"/>
        <v>3.8328744038581615</v>
      </c>
      <c r="S27" s="169">
        <f t="shared" si="15"/>
        <v>3.8328744038581615</v>
      </c>
    </row>
    <row r="28" spans="1:19" x14ac:dyDescent="0.25">
      <c r="A28" s="89">
        <v>2030</v>
      </c>
      <c r="B28" s="168">
        <f>[2]Results!O47</f>
        <v>2.9352271642132668</v>
      </c>
      <c r="C28" s="135">
        <f t="shared" si="8"/>
        <v>61.6397704484786</v>
      </c>
      <c r="D28" s="169">
        <f t="shared" si="9"/>
        <v>61.6397704484786</v>
      </c>
      <c r="E28" s="112"/>
      <c r="F28" s="89">
        <v>2030</v>
      </c>
      <c r="G28" s="168">
        <f>[3]Results!O47</f>
        <v>0</v>
      </c>
      <c r="H28" s="135">
        <f t="shared" si="10"/>
        <v>0</v>
      </c>
      <c r="I28" s="169">
        <f t="shared" si="11"/>
        <v>0</v>
      </c>
      <c r="K28" s="89">
        <v>2030</v>
      </c>
      <c r="L28" s="170">
        <f>[4]Results!O47</f>
        <v>1.5905335238183915</v>
      </c>
      <c r="M28" s="135">
        <f t="shared" si="12"/>
        <v>33.401204000186219</v>
      </c>
      <c r="N28" s="169">
        <f t="shared" si="13"/>
        <v>33.401204000186219</v>
      </c>
      <c r="P28" s="89">
        <v>2030</v>
      </c>
      <c r="Q28" s="170">
        <f>[5]Results!O47</f>
        <v>0.20067633265748222</v>
      </c>
      <c r="R28" s="135">
        <f t="shared" si="14"/>
        <v>4.2142029858071268</v>
      </c>
      <c r="S28" s="169">
        <f t="shared" si="15"/>
        <v>4.2142029858071268</v>
      </c>
    </row>
    <row r="29" spans="1:19" x14ac:dyDescent="0.25">
      <c r="A29" s="89">
        <v>2031</v>
      </c>
      <c r="B29" s="150"/>
      <c r="C29" s="110">
        <f t="shared" si="8"/>
        <v>0</v>
      </c>
      <c r="D29" s="111">
        <f t="shared" si="9"/>
        <v>0</v>
      </c>
      <c r="E29" s="112"/>
      <c r="F29" s="89">
        <v>2031</v>
      </c>
      <c r="G29" s="150"/>
      <c r="H29" s="110">
        <f t="shared" si="10"/>
        <v>0</v>
      </c>
      <c r="I29" s="111">
        <f t="shared" si="11"/>
        <v>0</v>
      </c>
      <c r="K29" s="89">
        <v>2031</v>
      </c>
      <c r="L29" s="149"/>
      <c r="M29" s="110">
        <f t="shared" si="12"/>
        <v>0</v>
      </c>
      <c r="N29" s="111">
        <f t="shared" si="13"/>
        <v>0</v>
      </c>
      <c r="P29" s="89">
        <v>2031</v>
      </c>
      <c r="Q29" s="149"/>
      <c r="R29" s="113">
        <f t="shared" si="14"/>
        <v>0</v>
      </c>
      <c r="S29" s="114">
        <f t="shared" si="15"/>
        <v>0</v>
      </c>
    </row>
    <row r="31" spans="1:19" ht="15.75" thickBot="1" x14ac:dyDescent="0.3">
      <c r="A31" s="115" t="s">
        <v>126</v>
      </c>
    </row>
    <row r="32" spans="1:19" ht="15.75" thickBot="1" x14ac:dyDescent="0.3">
      <c r="A32" s="209" t="s">
        <v>10</v>
      </c>
      <c r="B32" s="211" t="s">
        <v>80</v>
      </c>
      <c r="C32" s="212"/>
      <c r="D32" s="212"/>
      <c r="E32" s="212"/>
      <c r="F32" s="213"/>
    </row>
    <row r="33" spans="1:6" ht="18.75" thickBot="1" x14ac:dyDescent="0.3">
      <c r="A33" s="210"/>
      <c r="B33" s="211" t="s">
        <v>128</v>
      </c>
      <c r="C33" s="213"/>
      <c r="D33" s="211" t="s">
        <v>132</v>
      </c>
      <c r="E33" s="213"/>
      <c r="F33" s="214" t="s">
        <v>129</v>
      </c>
    </row>
    <row r="34" spans="1:6" ht="18" x14ac:dyDescent="0.25">
      <c r="A34" s="210"/>
      <c r="B34" s="116" t="s">
        <v>130</v>
      </c>
      <c r="C34" s="116" t="s">
        <v>131</v>
      </c>
      <c r="D34" s="116" t="s">
        <v>133</v>
      </c>
      <c r="E34" s="116" t="s">
        <v>131</v>
      </c>
      <c r="F34" s="215"/>
    </row>
    <row r="35" spans="1:6" x14ac:dyDescent="0.25">
      <c r="A35" s="89">
        <v>2011</v>
      </c>
      <c r="B35" s="110">
        <f>[6]REKAPITULASI!B6</f>
        <v>6.7975459199999992E-3</v>
      </c>
      <c r="C35" s="110">
        <f>B35*21</f>
        <v>0.14274846431999999</v>
      </c>
      <c r="D35" s="110">
        <f>[6]REKAPITULASI!D6</f>
        <v>5.0981594399999997E-4</v>
      </c>
      <c r="E35" s="110">
        <f>D35*310</f>
        <v>0.15804294263999999</v>
      </c>
      <c r="F35" s="169">
        <f>E35+C35</f>
        <v>0.30079140695999995</v>
      </c>
    </row>
    <row r="36" spans="1:6" x14ac:dyDescent="0.25">
      <c r="A36" s="89">
        <v>2012</v>
      </c>
      <c r="B36" s="110">
        <f>[6]REKAPITULASI!B7</f>
        <v>6.9292713599999993E-3</v>
      </c>
      <c r="C36" s="110">
        <f t="shared" ref="C36:C45" si="16">B36*21</f>
        <v>0.14551469855999999</v>
      </c>
      <c r="D36" s="110">
        <f>[6]REKAPITULASI!D7</f>
        <v>5.1969535199999993E-4</v>
      </c>
      <c r="E36" s="110">
        <f t="shared" ref="E36:E45" si="17">D36*310</f>
        <v>0.16110555911999996</v>
      </c>
      <c r="F36" s="169">
        <f t="shared" ref="F36:F45" si="18">E36+C36</f>
        <v>0.30662025767999995</v>
      </c>
    </row>
    <row r="37" spans="1:6" x14ac:dyDescent="0.25">
      <c r="A37" s="89">
        <v>2013</v>
      </c>
      <c r="B37" s="110">
        <f>[6]REKAPITULASI!B8</f>
        <v>7.0605453599999991E-3</v>
      </c>
      <c r="C37" s="110">
        <f t="shared" si="16"/>
        <v>0.14827145255999999</v>
      </c>
      <c r="D37" s="110">
        <f>[6]REKAPITULASI!D8</f>
        <v>5.2954090199999998E-4</v>
      </c>
      <c r="E37" s="110">
        <f t="shared" si="17"/>
        <v>0.16415767962</v>
      </c>
      <c r="F37" s="169">
        <f t="shared" si="18"/>
        <v>0.31242913218000001</v>
      </c>
    </row>
    <row r="38" spans="1:6" x14ac:dyDescent="0.25">
      <c r="A38" s="89">
        <v>2014</v>
      </c>
      <c r="B38" s="110">
        <f>[6]REKAPITULASI!B9</f>
        <v>7.1885404799999992E-3</v>
      </c>
      <c r="C38" s="110">
        <f t="shared" si="16"/>
        <v>0.15095935007999997</v>
      </c>
      <c r="D38" s="110">
        <f>[6]REKAPITULASI!D9</f>
        <v>5.3914053599999994E-4</v>
      </c>
      <c r="E38" s="110">
        <f t="shared" si="17"/>
        <v>0.16713356615999997</v>
      </c>
      <c r="F38" s="169">
        <f t="shared" si="18"/>
        <v>0.31809291623999991</v>
      </c>
    </row>
    <row r="39" spans="1:6" x14ac:dyDescent="0.25">
      <c r="A39" s="89">
        <v>2015</v>
      </c>
      <c r="B39" s="110">
        <f>[6]REKAPITULASI!B10</f>
        <v>7.31301912E-3</v>
      </c>
      <c r="C39" s="110">
        <f t="shared" si="16"/>
        <v>0.15357340151999999</v>
      </c>
      <c r="D39" s="110">
        <f>[6]REKAPITULASI!D10</f>
        <v>5.48476434E-4</v>
      </c>
      <c r="E39" s="110">
        <f t="shared" si="17"/>
        <v>0.17002769454</v>
      </c>
      <c r="F39" s="169">
        <f t="shared" si="18"/>
        <v>0.32360109605999998</v>
      </c>
    </row>
    <row r="40" spans="1:6" x14ac:dyDescent="0.25">
      <c r="A40" s="89">
        <v>2016</v>
      </c>
      <c r="B40" s="110">
        <f>[6]REKAPITULASI!B11</f>
        <v>7.4364998399999984E-3</v>
      </c>
      <c r="C40" s="110">
        <f t="shared" si="16"/>
        <v>0.15616649663999996</v>
      </c>
      <c r="D40" s="110">
        <f>[6]REKAPITULASI!D11</f>
        <v>5.5773748799999988E-4</v>
      </c>
      <c r="E40" s="110">
        <f t="shared" si="17"/>
        <v>0.17289862127999997</v>
      </c>
      <c r="F40" s="169">
        <f t="shared" si="18"/>
        <v>0.32906511791999993</v>
      </c>
    </row>
    <row r="41" spans="1:6" x14ac:dyDescent="0.25">
      <c r="A41" s="89">
        <v>2017</v>
      </c>
      <c r="B41" s="110">
        <f>[6]REKAPITULASI!B12</f>
        <v>7.9419425956199999E-3</v>
      </c>
      <c r="C41" s="110">
        <f t="shared" si="16"/>
        <v>0.16678079450802</v>
      </c>
      <c r="D41" s="110">
        <f>[6]REKAPITULASI!D12</f>
        <v>5.9564569467150002E-4</v>
      </c>
      <c r="E41" s="110">
        <f t="shared" si="17"/>
        <v>0.184650165348165</v>
      </c>
      <c r="F41" s="169">
        <f t="shared" si="18"/>
        <v>0.351430959856185</v>
      </c>
    </row>
    <row r="42" spans="1:6" x14ac:dyDescent="0.25">
      <c r="A42" s="89">
        <v>2018</v>
      </c>
      <c r="B42" s="110">
        <f>[6]REKAPITULASI!B13</f>
        <v>8.3580342166886396E-3</v>
      </c>
      <c r="C42" s="110">
        <f t="shared" si="16"/>
        <v>0.17551871855046142</v>
      </c>
      <c r="D42" s="110">
        <f>[6]REKAPITULASI!D13</f>
        <v>6.2685256625164801E-4</v>
      </c>
      <c r="E42" s="110">
        <f t="shared" si="17"/>
        <v>0.19432429553801089</v>
      </c>
      <c r="F42" s="169">
        <f t="shared" si="18"/>
        <v>0.36984301408847231</v>
      </c>
    </row>
    <row r="43" spans="1:6" x14ac:dyDescent="0.25">
      <c r="A43" s="89">
        <v>2019</v>
      </c>
      <c r="B43" s="110">
        <f>[6]REKAPITULASI!B14</f>
        <v>8.7913922172848987E-3</v>
      </c>
      <c r="C43" s="110">
        <f t="shared" si="16"/>
        <v>0.18461923656298287</v>
      </c>
      <c r="D43" s="110">
        <f>[6]REKAPITULASI!D14</f>
        <v>6.5935441629636751E-4</v>
      </c>
      <c r="E43" s="110">
        <f t="shared" si="17"/>
        <v>0.20439986905187393</v>
      </c>
      <c r="F43" s="169">
        <f t="shared" si="18"/>
        <v>0.38901910561485681</v>
      </c>
    </row>
    <row r="44" spans="1:6" x14ac:dyDescent="0.25">
      <c r="A44" s="89">
        <v>2020</v>
      </c>
      <c r="B44" s="110">
        <f>[6]REKAPITULASI!B15</f>
        <v>9.2426628106226424E-3</v>
      </c>
      <c r="C44" s="110">
        <f t="shared" si="16"/>
        <v>0.19409591902307549</v>
      </c>
      <c r="D44" s="110">
        <f>[6]REKAPITULASI!D15</f>
        <v>6.9319971079669822E-4</v>
      </c>
      <c r="E44" s="110">
        <f t="shared" si="17"/>
        <v>0.21489191034697644</v>
      </c>
      <c r="F44" s="169">
        <f t="shared" si="18"/>
        <v>0.40898782937005196</v>
      </c>
    </row>
    <row r="45" spans="1:6" x14ac:dyDescent="0.25">
      <c r="A45" s="89">
        <v>2021</v>
      </c>
      <c r="B45" s="110">
        <f>[6]REKAPITULASI!B16</f>
        <v>9.7125150194521444E-3</v>
      </c>
      <c r="C45" s="110">
        <f t="shared" si="16"/>
        <v>0.20396281540849504</v>
      </c>
      <c r="D45" s="110">
        <f>[6]REKAPITULASI!D16</f>
        <v>7.2843862645891077E-4</v>
      </c>
      <c r="E45" s="110">
        <f t="shared" si="17"/>
        <v>0.22581597420226235</v>
      </c>
      <c r="F45" s="169">
        <f t="shared" si="18"/>
        <v>0.42977878961075738</v>
      </c>
    </row>
    <row r="46" spans="1:6" x14ac:dyDescent="0.25">
      <c r="A46" s="89">
        <v>2022</v>
      </c>
      <c r="B46" s="110">
        <f>[6]REKAPITULASI!B17</f>
        <v>1.0201641451317002E-2</v>
      </c>
      <c r="C46" s="110">
        <f t="shared" ref="C46:C55" si="19">B46*21</f>
        <v>0.21423447047765704</v>
      </c>
      <c r="D46" s="110">
        <f>[6]REKAPITULASI!D17</f>
        <v>7.6512310884877509E-4</v>
      </c>
      <c r="E46" s="110">
        <f t="shared" ref="E46:E55" si="20">D46*310</f>
        <v>0.23718816374312027</v>
      </c>
      <c r="F46" s="169">
        <f t="shared" ref="F46:F55" si="21">E46+C46</f>
        <v>0.45142263422077733</v>
      </c>
    </row>
    <row r="47" spans="1:6" x14ac:dyDescent="0.25">
      <c r="A47" s="89">
        <v>2023</v>
      </c>
      <c r="B47" s="110">
        <f>[6]REKAPITULASI!B18</f>
        <v>1.0710759099473605E-2</v>
      </c>
      <c r="C47" s="110">
        <f t="shared" si="19"/>
        <v>0.2249259410889457</v>
      </c>
      <c r="D47" s="110">
        <f>[6]REKAPITULASI!D18</f>
        <v>8.0330693246052041E-4</v>
      </c>
      <c r="E47" s="110">
        <f t="shared" si="20"/>
        <v>0.24902514906276133</v>
      </c>
      <c r="F47" s="169">
        <f t="shared" si="21"/>
        <v>0.473951090151707</v>
      </c>
    </row>
    <row r="48" spans="1:6" x14ac:dyDescent="0.25">
      <c r="A48" s="89">
        <v>2024</v>
      </c>
      <c r="B48" s="110">
        <f>[6]REKAPITULASI!B19</f>
        <v>1.1240610170306302E-2</v>
      </c>
      <c r="C48" s="110">
        <f t="shared" si="19"/>
        <v>0.23605281357643235</v>
      </c>
      <c r="D48" s="110">
        <f>[6]REKAPITULASI!D19</f>
        <v>8.4304576277297277E-4</v>
      </c>
      <c r="E48" s="110">
        <f t="shared" si="20"/>
        <v>0.26134418645962154</v>
      </c>
      <c r="F48" s="169">
        <f t="shared" si="21"/>
        <v>0.49739700003605392</v>
      </c>
    </row>
    <row r="49" spans="1:10" x14ac:dyDescent="0.25">
      <c r="A49" s="89">
        <v>2025</v>
      </c>
      <c r="B49" s="110">
        <f>[6]REKAPITULASI!B20</f>
        <v>1.1791962938097915E-2</v>
      </c>
      <c r="C49" s="110">
        <f t="shared" si="19"/>
        <v>0.24763122170005622</v>
      </c>
      <c r="D49" s="110">
        <f>[6]REKAPITULASI!D20</f>
        <v>8.8439722035734368E-4</v>
      </c>
      <c r="E49" s="110">
        <f t="shared" si="20"/>
        <v>0.27416313831077654</v>
      </c>
      <c r="F49" s="169">
        <f t="shared" si="21"/>
        <v>0.52179436001083279</v>
      </c>
    </row>
    <row r="50" spans="1:10" x14ac:dyDescent="0.25">
      <c r="A50" s="89">
        <v>2026</v>
      </c>
      <c r="B50" s="110">
        <f>[6]REKAPITULASI!B21</f>
        <v>1.2365612628042819E-2</v>
      </c>
      <c r="C50" s="110">
        <f t="shared" si="19"/>
        <v>0.25967786518889918</v>
      </c>
      <c r="D50" s="110">
        <f>[6]REKAPITULASI!D21</f>
        <v>9.2742094710321138E-4</v>
      </c>
      <c r="E50" s="110">
        <f t="shared" si="20"/>
        <v>0.28750049360199553</v>
      </c>
      <c r="F50" s="169">
        <f t="shared" si="21"/>
        <v>0.54717835879089471</v>
      </c>
    </row>
    <row r="51" spans="1:10" x14ac:dyDescent="0.25">
      <c r="A51" s="89">
        <v>2027</v>
      </c>
      <c r="B51" s="110">
        <f>[6]REKAPITULASI!B22</f>
        <v>1.2962382328418114E-2</v>
      </c>
      <c r="C51" s="110">
        <f t="shared" si="19"/>
        <v>0.27221002889678036</v>
      </c>
      <c r="D51" s="110">
        <f>[6]REKAPITULASI!D22</f>
        <v>9.7217867463135856E-4</v>
      </c>
      <c r="E51" s="110">
        <f t="shared" si="20"/>
        <v>0.30137538913572115</v>
      </c>
      <c r="F51" s="169">
        <f t="shared" si="21"/>
        <v>0.57358541803250152</v>
      </c>
    </row>
    <row r="52" spans="1:10" x14ac:dyDescent="0.25">
      <c r="A52" s="89">
        <v>2028</v>
      </c>
      <c r="B52" s="110">
        <f>[6]REKAPITULASI!B23</f>
        <v>1.3583123932857672E-2</v>
      </c>
      <c r="C52" s="110">
        <f t="shared" si="19"/>
        <v>0.28524560259001114</v>
      </c>
      <c r="D52" s="110">
        <f>[6]REKAPITULASI!D23</f>
        <v>1.0187342949643254E-3</v>
      </c>
      <c r="E52" s="110">
        <f t="shared" si="20"/>
        <v>0.31580763143894086</v>
      </c>
      <c r="F52" s="169">
        <f t="shared" si="21"/>
        <v>0.60105323402895205</v>
      </c>
    </row>
    <row r="53" spans="1:10" x14ac:dyDescent="0.25">
      <c r="A53" s="89">
        <v>2029</v>
      </c>
      <c r="B53" s="110">
        <f>[6]REKAPITULASI!B24</f>
        <v>1.4228719113704028E-2</v>
      </c>
      <c r="C53" s="110">
        <f t="shared" si="19"/>
        <v>0.2988031013877846</v>
      </c>
      <c r="D53" s="110">
        <f>[6]REKAPITULASI!D24</f>
        <v>1.0671539335278019E-3</v>
      </c>
      <c r="E53" s="110">
        <f t="shared" si="20"/>
        <v>0.33081771939361859</v>
      </c>
      <c r="F53" s="169">
        <f t="shared" si="21"/>
        <v>0.62962082078140313</v>
      </c>
    </row>
    <row r="54" spans="1:10" x14ac:dyDescent="0.25">
      <c r="A54" s="89">
        <v>2030</v>
      </c>
      <c r="B54" s="110">
        <f>[6]REKAPITULASI!B25</f>
        <v>1.4894457600000001E-2</v>
      </c>
      <c r="C54" s="110">
        <f t="shared" si="19"/>
        <v>0.31278360960000001</v>
      </c>
      <c r="D54" s="110">
        <f>[6]REKAPITULASI!D25</f>
        <v>1.11708432E-3</v>
      </c>
      <c r="E54" s="110">
        <f t="shared" si="20"/>
        <v>0.34629613920000002</v>
      </c>
      <c r="F54" s="111">
        <f t="shared" si="21"/>
        <v>0.65907974879999998</v>
      </c>
    </row>
    <row r="55" spans="1:10" x14ac:dyDescent="0.25">
      <c r="A55" s="89">
        <v>2031</v>
      </c>
      <c r="B55" s="99"/>
      <c r="C55" s="110">
        <f t="shared" si="19"/>
        <v>0</v>
      </c>
      <c r="D55" s="110"/>
      <c r="E55" s="110">
        <f t="shared" si="20"/>
        <v>0</v>
      </c>
      <c r="F55" s="111">
        <f t="shared" si="21"/>
        <v>0</v>
      </c>
    </row>
    <row r="57" spans="1:10" ht="15.75" thickBot="1" x14ac:dyDescent="0.3">
      <c r="A57" s="104" t="s">
        <v>87</v>
      </c>
      <c r="J57" s="95">
        <v>1000</v>
      </c>
    </row>
    <row r="58" spans="1:10" ht="15.75" thickBot="1" x14ac:dyDescent="0.3">
      <c r="A58" s="203" t="s">
        <v>10</v>
      </c>
      <c r="B58" s="205" t="s">
        <v>88</v>
      </c>
      <c r="C58" s="206"/>
      <c r="D58" s="206"/>
      <c r="E58" s="206"/>
      <c r="F58" s="206"/>
    </row>
    <row r="59" spans="1:10" ht="18.75" thickBot="1" x14ac:dyDescent="0.3">
      <c r="A59" s="204"/>
      <c r="B59" s="205" t="s">
        <v>128</v>
      </c>
      <c r="C59" s="207"/>
      <c r="D59" s="205" t="s">
        <v>132</v>
      </c>
      <c r="E59" s="207"/>
      <c r="F59" s="117" t="s">
        <v>134</v>
      </c>
      <c r="H59" s="193" t="s">
        <v>10</v>
      </c>
      <c r="I59" s="193" t="s">
        <v>144</v>
      </c>
      <c r="J59" s="193"/>
    </row>
    <row r="60" spans="1:10" ht="18" x14ac:dyDescent="0.25">
      <c r="A60" s="204"/>
      <c r="B60" s="118" t="s">
        <v>130</v>
      </c>
      <c r="C60" s="118" t="s">
        <v>131</v>
      </c>
      <c r="D60" s="118" t="s">
        <v>133</v>
      </c>
      <c r="E60" s="118" t="s">
        <v>131</v>
      </c>
      <c r="F60" s="118" t="s">
        <v>135</v>
      </c>
      <c r="H60" s="193"/>
      <c r="I60" s="141" t="s">
        <v>145</v>
      </c>
      <c r="J60" s="141" t="s">
        <v>146</v>
      </c>
    </row>
    <row r="61" spans="1:10" x14ac:dyDescent="0.25">
      <c r="A61" s="89">
        <v>2011</v>
      </c>
      <c r="B61" s="136">
        <f>[6]REKAPITULASI!B32</f>
        <v>5.2264001789999986E-2</v>
      </c>
      <c r="C61" s="120">
        <f>B61*21</f>
        <v>1.0975440375899996</v>
      </c>
      <c r="D61" s="136">
        <f>[6]REKAPITULASI!D32</f>
        <v>1.2060923489999999E-3</v>
      </c>
      <c r="E61" s="120">
        <f>D61*310</f>
        <v>0.37388862818999996</v>
      </c>
      <c r="F61" s="171">
        <f>SUM(C61+E61)</f>
        <v>1.4714326657799996</v>
      </c>
      <c r="H61" s="89">
        <v>2011</v>
      </c>
      <c r="I61" s="142">
        <f>D9+F35+F61+I9+N9-S9</f>
        <v>61.49740224649122</v>
      </c>
      <c r="J61" s="164">
        <f>I61*$J$57</f>
        <v>61497.40224649122</v>
      </c>
    </row>
    <row r="62" spans="1:10" x14ac:dyDescent="0.25">
      <c r="A62" s="89">
        <v>2012</v>
      </c>
      <c r="B62" s="136">
        <f>[6]REKAPITULASI!B33</f>
        <v>5.3276793569999994E-2</v>
      </c>
      <c r="C62" s="120">
        <f t="shared" ref="C62:C81" si="22">B62*21</f>
        <v>1.1188126649699999</v>
      </c>
      <c r="D62" s="136">
        <f>[6]REKAPITULASI!D33</f>
        <v>1.2294644669999999E-3</v>
      </c>
      <c r="E62" s="120">
        <f t="shared" ref="E62:E81" si="23">D62*310</f>
        <v>0.38113398476999993</v>
      </c>
      <c r="F62" s="171">
        <f t="shared" ref="F62:F81" si="24">SUM(C62+E62)</f>
        <v>1.4999466497399998</v>
      </c>
      <c r="H62" s="89">
        <v>2012</v>
      </c>
      <c r="I62" s="142">
        <f t="shared" ref="I62:I81" si="25">D10+F36+F62+I10+N10-S10</f>
        <v>64.448601608968104</v>
      </c>
      <c r="J62" s="164">
        <f t="shared" ref="J62:J70" si="26">I62*$J$57</f>
        <v>64448.601608968107</v>
      </c>
    </row>
    <row r="63" spans="1:10" x14ac:dyDescent="0.25">
      <c r="A63" s="89">
        <v>2013</v>
      </c>
      <c r="B63" s="136">
        <f>[6]REKAPITULASI!B34</f>
        <v>5.4286114382499993E-2</v>
      </c>
      <c r="C63" s="120">
        <f t="shared" si="22"/>
        <v>1.1400084020324999</v>
      </c>
      <c r="D63" s="136">
        <f>[6]REKAPITULASI!D34</f>
        <v>1.25275648575E-3</v>
      </c>
      <c r="E63" s="120">
        <f t="shared" si="23"/>
        <v>0.38835451058249998</v>
      </c>
      <c r="F63" s="171">
        <f t="shared" si="24"/>
        <v>1.5283629126149998</v>
      </c>
      <c r="H63" s="89">
        <v>2013</v>
      </c>
      <c r="I63" s="142">
        <f t="shared" si="25"/>
        <v>67.066617065871384</v>
      </c>
      <c r="J63" s="164">
        <f t="shared" si="26"/>
        <v>67066.617065871382</v>
      </c>
    </row>
    <row r="64" spans="1:10" x14ac:dyDescent="0.25">
      <c r="A64" s="89">
        <v>2014</v>
      </c>
      <c r="B64" s="136">
        <f>[6]REKAPITULASI!B35</f>
        <v>5.5270225009999993E-2</v>
      </c>
      <c r="C64" s="120">
        <f t="shared" si="22"/>
        <v>1.1606747252099998</v>
      </c>
      <c r="D64" s="136">
        <f>[6]REKAPITULASI!D35</f>
        <v>1.2754667309999997E-3</v>
      </c>
      <c r="E64" s="120">
        <f t="shared" si="23"/>
        <v>0.39539468660999993</v>
      </c>
      <c r="F64" s="171">
        <f t="shared" si="24"/>
        <v>1.5560694118199998</v>
      </c>
      <c r="H64" s="89">
        <v>2014</v>
      </c>
      <c r="I64" s="142">
        <f t="shared" si="25"/>
        <v>69.44437241413101</v>
      </c>
      <c r="J64" s="164">
        <f t="shared" si="26"/>
        <v>69444.372414131009</v>
      </c>
    </row>
    <row r="65" spans="1:10" x14ac:dyDescent="0.25">
      <c r="A65" s="89">
        <v>2015</v>
      </c>
      <c r="B65" s="136">
        <f>[6]REKAPITULASI!B36</f>
        <v>5.6227298627499998E-2</v>
      </c>
      <c r="C65" s="120">
        <f t="shared" si="22"/>
        <v>1.1807732711774999</v>
      </c>
      <c r="D65" s="136">
        <f>[6]REKAPITULASI!D36</f>
        <v>1.29755304525E-3</v>
      </c>
      <c r="E65" s="120">
        <f t="shared" si="23"/>
        <v>0.40224144402750001</v>
      </c>
      <c r="F65" s="171">
        <f t="shared" si="24"/>
        <v>1.5830147152049998</v>
      </c>
      <c r="H65" s="89">
        <v>2015</v>
      </c>
      <c r="I65" s="142">
        <f t="shared" si="25"/>
        <v>71.638621956277774</v>
      </c>
      <c r="J65" s="164">
        <f t="shared" si="26"/>
        <v>71638.62195627777</v>
      </c>
    </row>
    <row r="66" spans="1:10" x14ac:dyDescent="0.25">
      <c r="A66" s="89">
        <v>2016</v>
      </c>
      <c r="B66" s="136">
        <f>[6]REKAPITULASI!B37</f>
        <v>5.717669957999999E-2</v>
      </c>
      <c r="C66" s="120">
        <f t="shared" si="22"/>
        <v>1.2007106911799998</v>
      </c>
      <c r="D66" s="136">
        <f>[6]REKAPITULASI!D37</f>
        <v>1.3194622979999999E-3</v>
      </c>
      <c r="E66" s="120">
        <f t="shared" si="23"/>
        <v>0.40903331237999996</v>
      </c>
      <c r="F66" s="171">
        <f t="shared" si="24"/>
        <v>1.6097440035599999</v>
      </c>
      <c r="H66" s="89">
        <v>2016</v>
      </c>
      <c r="I66" s="142">
        <f t="shared" si="25"/>
        <v>73.688760279529205</v>
      </c>
      <c r="J66" s="164">
        <f t="shared" si="26"/>
        <v>73688.760279529204</v>
      </c>
    </row>
    <row r="67" spans="1:10" x14ac:dyDescent="0.25">
      <c r="A67" s="89">
        <v>2017</v>
      </c>
      <c r="B67" s="136">
        <f>[6]REKAPITULASI!B38</f>
        <v>5.937080774624999E-2</v>
      </c>
      <c r="C67" s="120">
        <f t="shared" si="22"/>
        <v>1.2467869626712498</v>
      </c>
      <c r="D67" s="136">
        <f>[6]REKAPITULASI!D38</f>
        <v>1.3700955633750001E-3</v>
      </c>
      <c r="E67" s="120">
        <f t="shared" si="23"/>
        <v>0.42472962464625003</v>
      </c>
      <c r="F67" s="171">
        <f t="shared" si="24"/>
        <v>1.6715165873174997</v>
      </c>
      <c r="H67" s="89">
        <v>2017</v>
      </c>
      <c r="I67" s="142">
        <f t="shared" si="25"/>
        <v>71.114141613502511</v>
      </c>
      <c r="J67" s="164">
        <f t="shared" si="26"/>
        <v>71114.141613502507</v>
      </c>
    </row>
    <row r="68" spans="1:10" x14ac:dyDescent="0.25">
      <c r="A68" s="89">
        <v>2018</v>
      </c>
      <c r="B68" s="136">
        <f>[6]REKAPITULASI!B39</f>
        <v>6.0749969279999996E-2</v>
      </c>
      <c r="C68" s="120">
        <f t="shared" si="22"/>
        <v>1.2757493548799999</v>
      </c>
      <c r="D68" s="136">
        <f>[6]REKAPITULASI!D39</f>
        <v>1.4019223679999999E-3</v>
      </c>
      <c r="E68" s="120">
        <f t="shared" si="23"/>
        <v>0.43459593407999997</v>
      </c>
      <c r="F68" s="171">
        <f t="shared" si="24"/>
        <v>1.7103452889599997</v>
      </c>
      <c r="H68" s="89">
        <v>2018</v>
      </c>
      <c r="I68" s="142">
        <f t="shared" si="25"/>
        <v>72.07503117066031</v>
      </c>
      <c r="J68" s="164">
        <f t="shared" si="26"/>
        <v>72075.03117066031</v>
      </c>
    </row>
    <row r="69" spans="1:10" x14ac:dyDescent="0.25">
      <c r="A69" s="89">
        <v>2019</v>
      </c>
      <c r="B69" s="136">
        <f>[6]REKAPITULASI!B40</f>
        <v>6.2129130813749989E-2</v>
      </c>
      <c r="C69" s="120">
        <f t="shared" si="22"/>
        <v>1.3047117470887497</v>
      </c>
      <c r="D69" s="136">
        <f>[6]REKAPITULASI!D40</f>
        <v>1.4337491726249998E-3</v>
      </c>
      <c r="E69" s="120">
        <f t="shared" si="23"/>
        <v>0.44446224351374997</v>
      </c>
      <c r="F69" s="171">
        <f t="shared" si="24"/>
        <v>1.7491739906024997</v>
      </c>
      <c r="H69" s="89">
        <v>2019</v>
      </c>
      <c r="I69" s="142">
        <f t="shared" si="25"/>
        <v>73.331495307726485</v>
      </c>
      <c r="J69" s="164">
        <f t="shared" si="26"/>
        <v>73331.49530772648</v>
      </c>
    </row>
    <row r="70" spans="1:10" x14ac:dyDescent="0.25">
      <c r="A70" s="89">
        <v>2020</v>
      </c>
      <c r="B70" s="136">
        <f>[6]REKAPITULASI!B41</f>
        <v>6.3508292347499981E-2</v>
      </c>
      <c r="C70" s="120">
        <f t="shared" si="22"/>
        <v>1.3336741392974996</v>
      </c>
      <c r="D70" s="136">
        <f>[6]REKAPITULASI!D41</f>
        <v>1.4655759772499997E-3</v>
      </c>
      <c r="E70" s="120">
        <f t="shared" si="23"/>
        <v>0.45432855294749991</v>
      </c>
      <c r="F70" s="171">
        <f t="shared" si="24"/>
        <v>1.7880026922449994</v>
      </c>
      <c r="H70" s="89">
        <v>2020</v>
      </c>
      <c r="I70" s="142">
        <f t="shared" si="25"/>
        <v>74.794121114316738</v>
      </c>
      <c r="J70" s="164">
        <f t="shared" si="26"/>
        <v>74794.121114316731</v>
      </c>
    </row>
    <row r="71" spans="1:10" x14ac:dyDescent="0.25">
      <c r="A71" s="89">
        <v>2021</v>
      </c>
      <c r="B71" s="136">
        <f>[6]REKAPITULASI!B42</f>
        <v>6.4887453881249987E-2</v>
      </c>
      <c r="C71" s="120">
        <f t="shared" si="22"/>
        <v>1.3626365315062496</v>
      </c>
      <c r="D71" s="136">
        <f>[6]REKAPITULASI!D42</f>
        <v>1.4974027818749995E-3</v>
      </c>
      <c r="E71" s="120">
        <f t="shared" si="23"/>
        <v>0.46419486238124985</v>
      </c>
      <c r="F71" s="171">
        <f t="shared" si="24"/>
        <v>1.8268313938874994</v>
      </c>
      <c r="H71" s="89">
        <v>2021</v>
      </c>
      <c r="I71" s="142">
        <f t="shared" si="25"/>
        <v>76.402979266750606</v>
      </c>
      <c r="J71" s="164">
        <f>I71*$J$57</f>
        <v>76402.979266750612</v>
      </c>
    </row>
    <row r="72" spans="1:10" x14ac:dyDescent="0.25">
      <c r="A72" s="89">
        <v>2022</v>
      </c>
      <c r="B72" s="136">
        <f>[6]REKAPITULASI!B43</f>
        <v>6.6266615415000008E-2</v>
      </c>
      <c r="C72" s="120">
        <f t="shared" si="22"/>
        <v>1.3915989237150002</v>
      </c>
      <c r="D72" s="136">
        <f>[6]REKAPITULASI!D43</f>
        <v>1.5292295865E-3</v>
      </c>
      <c r="E72" s="120">
        <f t="shared" si="23"/>
        <v>0.47406117181500002</v>
      </c>
      <c r="F72" s="171">
        <f t="shared" si="24"/>
        <v>1.8656600955300002</v>
      </c>
      <c r="H72" s="89">
        <v>2022</v>
      </c>
      <c r="I72" s="142">
        <f t="shared" si="25"/>
        <v>78.117858893364158</v>
      </c>
      <c r="J72" s="164">
        <f t="shared" ref="J72:J81" si="27">I72*$J$57</f>
        <v>78117.858893364159</v>
      </c>
    </row>
    <row r="73" spans="1:10" x14ac:dyDescent="0.25">
      <c r="A73" s="89">
        <v>2023</v>
      </c>
      <c r="B73" s="136">
        <f>[6]REKAPITULASI!B44</f>
        <v>6.7645776948749986E-2</v>
      </c>
      <c r="C73" s="120">
        <f t="shared" si="22"/>
        <v>1.4205613159237498</v>
      </c>
      <c r="D73" s="136">
        <f>[6]REKAPITULASI!D44</f>
        <v>1.5610563911249999E-3</v>
      </c>
      <c r="E73" s="120">
        <f t="shared" si="23"/>
        <v>0.48392748124874996</v>
      </c>
      <c r="F73" s="171">
        <f t="shared" si="24"/>
        <v>1.9044887971724997</v>
      </c>
      <c r="H73" s="89">
        <v>2023</v>
      </c>
      <c r="I73" s="142">
        <f t="shared" si="25"/>
        <v>79.911710330086677</v>
      </c>
      <c r="J73" s="164">
        <f t="shared" si="27"/>
        <v>79911.710330086673</v>
      </c>
    </row>
    <row r="74" spans="1:10" x14ac:dyDescent="0.25">
      <c r="A74" s="89">
        <v>2024</v>
      </c>
      <c r="B74" s="136">
        <f>[6]REKAPITULASI!B45</f>
        <v>6.9024938482500006E-2</v>
      </c>
      <c r="C74" s="120">
        <f t="shared" si="22"/>
        <v>1.4495237081325001</v>
      </c>
      <c r="D74" s="136">
        <f>[6]REKAPITULASI!D45</f>
        <v>1.59288319575E-3</v>
      </c>
      <c r="E74" s="120">
        <f t="shared" si="23"/>
        <v>0.49379379068250001</v>
      </c>
      <c r="F74" s="171">
        <f t="shared" si="24"/>
        <v>1.9433174988150002</v>
      </c>
      <c r="H74" s="89">
        <v>2024</v>
      </c>
      <c r="I74" s="142">
        <f t="shared" si="25"/>
        <v>81.766238360435509</v>
      </c>
      <c r="J74" s="164">
        <f t="shared" si="27"/>
        <v>81766.238360435513</v>
      </c>
    </row>
    <row r="75" spans="1:10" x14ac:dyDescent="0.25">
      <c r="A75" s="89">
        <v>2025</v>
      </c>
      <c r="B75" s="136">
        <f>[6]REKAPITULASI!B46</f>
        <v>7.0404100016249999E-2</v>
      </c>
      <c r="C75" s="120">
        <f t="shared" si="22"/>
        <v>1.4784861003412499</v>
      </c>
      <c r="D75" s="136">
        <f>[6]REKAPITULASI!D46</f>
        <v>1.6247100003750001E-3</v>
      </c>
      <c r="E75" s="120">
        <f t="shared" si="23"/>
        <v>0.50366010011625006</v>
      </c>
      <c r="F75" s="171">
        <f t="shared" si="24"/>
        <v>1.9821462004575001</v>
      </c>
      <c r="H75" s="89">
        <v>2025</v>
      </c>
      <c r="I75" s="142">
        <f t="shared" si="25"/>
        <v>83.668936963496378</v>
      </c>
      <c r="J75" s="164">
        <f t="shared" si="27"/>
        <v>83668.93696349638</v>
      </c>
    </row>
    <row r="76" spans="1:10" x14ac:dyDescent="0.25">
      <c r="A76" s="89">
        <v>2026</v>
      </c>
      <c r="B76" s="136">
        <f>[6]REKAPITULASI!B47</f>
        <v>7.1783261550000005E-2</v>
      </c>
      <c r="C76" s="120">
        <f t="shared" si="22"/>
        <v>1.50744849255</v>
      </c>
      <c r="D76" s="136">
        <f>[6]REKAPITULASI!D47</f>
        <v>1.6565368050000002E-3</v>
      </c>
      <c r="E76" s="120">
        <f t="shared" si="23"/>
        <v>0.51352640955000006</v>
      </c>
      <c r="F76" s="171">
        <f t="shared" si="24"/>
        <v>2.0209749020999999</v>
      </c>
      <c r="H76" s="89">
        <v>2026</v>
      </c>
      <c r="I76" s="142">
        <f t="shared" si="25"/>
        <v>85.611090168158938</v>
      </c>
      <c r="J76" s="164">
        <f t="shared" si="27"/>
        <v>85611.090168158931</v>
      </c>
    </row>
    <row r="77" spans="1:10" x14ac:dyDescent="0.25">
      <c r="A77" s="89">
        <v>2027</v>
      </c>
      <c r="B77" s="136">
        <f>[6]REKAPITULASI!B48</f>
        <v>7.3162423083749997E-2</v>
      </c>
      <c r="C77" s="120">
        <f t="shared" si="22"/>
        <v>1.5364108847587499</v>
      </c>
      <c r="D77" s="136">
        <f>[6]REKAPITULASI!D48</f>
        <v>1.6883636096249998E-3</v>
      </c>
      <c r="E77" s="120">
        <f t="shared" si="23"/>
        <v>0.52339271898374995</v>
      </c>
      <c r="F77" s="171">
        <f t="shared" si="24"/>
        <v>2.0598036037425</v>
      </c>
      <c r="H77" s="89">
        <v>2027</v>
      </c>
      <c r="I77" s="142">
        <f t="shared" si="25"/>
        <v>87.586420193755146</v>
      </c>
      <c r="J77" s="164">
        <f t="shared" si="27"/>
        <v>87586.420193755141</v>
      </c>
    </row>
    <row r="78" spans="1:10" x14ac:dyDescent="0.25">
      <c r="A78" s="89">
        <v>2028</v>
      </c>
      <c r="B78" s="136">
        <f>[6]REKAPITULASI!B49</f>
        <v>7.4541584617500004E-2</v>
      </c>
      <c r="C78" s="120">
        <f t="shared" si="22"/>
        <v>1.5653732769675002</v>
      </c>
      <c r="D78" s="136">
        <f>[6]REKAPITULASI!D49</f>
        <v>1.7201904142500001E-3</v>
      </c>
      <c r="E78" s="120">
        <f t="shared" si="23"/>
        <v>0.53325902841750006</v>
      </c>
      <c r="F78" s="171">
        <f t="shared" si="24"/>
        <v>2.0986323053850002</v>
      </c>
      <c r="H78" s="89">
        <v>2028</v>
      </c>
      <c r="I78" s="142">
        <f t="shared" si="25"/>
        <v>89.590169026340902</v>
      </c>
      <c r="J78" s="164">
        <f t="shared" si="27"/>
        <v>89590.169026340896</v>
      </c>
    </row>
    <row r="79" spans="1:10" x14ac:dyDescent="0.25">
      <c r="A79" s="89">
        <v>2029</v>
      </c>
      <c r="B79" s="136">
        <f>[6]REKAPITULASI!B50</f>
        <v>7.5920746151249982E-2</v>
      </c>
      <c r="C79" s="120">
        <f t="shared" si="22"/>
        <v>1.5943356691762496</v>
      </c>
      <c r="D79" s="136">
        <f>[6]REKAPITULASI!D50</f>
        <v>1.7520172188749995E-3</v>
      </c>
      <c r="E79" s="120">
        <f t="shared" si="23"/>
        <v>0.54312533785124983</v>
      </c>
      <c r="F79" s="171">
        <f t="shared" si="24"/>
        <v>2.1374610070274995</v>
      </c>
      <c r="H79" s="89">
        <v>2029</v>
      </c>
      <c r="I79" s="142">
        <f t="shared" si="25"/>
        <v>91.6184699492904</v>
      </c>
      <c r="J79" s="164">
        <f t="shared" si="27"/>
        <v>91618.469949290404</v>
      </c>
    </row>
    <row r="80" spans="1:10" x14ac:dyDescent="0.25">
      <c r="A80" s="89">
        <v>2030</v>
      </c>
      <c r="B80" s="136">
        <f>[6]REKAPITULASI!B51</f>
        <v>7.7299907684999988E-2</v>
      </c>
      <c r="C80" s="120">
        <f t="shared" si="22"/>
        <v>1.6232980613849997</v>
      </c>
      <c r="D80" s="136">
        <f>[6]REKAPITULASI!D51</f>
        <v>1.7838440234999998E-3</v>
      </c>
      <c r="E80" s="120">
        <f t="shared" si="23"/>
        <v>0.55299164728499994</v>
      </c>
      <c r="F80" s="171">
        <f t="shared" si="24"/>
        <v>2.1762897086699997</v>
      </c>
      <c r="H80" s="89">
        <v>2030</v>
      </c>
      <c r="I80" s="142">
        <f t="shared" si="25"/>
        <v>93.662140920327687</v>
      </c>
      <c r="J80" s="164">
        <f t="shared" si="27"/>
        <v>93662.140920327685</v>
      </c>
    </row>
    <row r="81" spans="1:10" x14ac:dyDescent="0.25">
      <c r="A81" s="89">
        <v>2031</v>
      </c>
      <c r="B81" s="119"/>
      <c r="C81" s="120">
        <f t="shared" si="22"/>
        <v>0</v>
      </c>
      <c r="D81" s="119"/>
      <c r="E81" s="120">
        <f t="shared" si="23"/>
        <v>0</v>
      </c>
      <c r="F81" s="121">
        <f t="shared" si="24"/>
        <v>0</v>
      </c>
      <c r="H81" s="89">
        <v>2031</v>
      </c>
      <c r="I81" s="142">
        <f t="shared" si="25"/>
        <v>0</v>
      </c>
      <c r="J81" s="143">
        <f t="shared" si="27"/>
        <v>0</v>
      </c>
    </row>
    <row r="84" spans="1:10" x14ac:dyDescent="0.25">
      <c r="A84" s="122"/>
      <c r="B84" s="100"/>
      <c r="C84" s="101"/>
      <c r="D84" s="100"/>
      <c r="E84" s="101"/>
      <c r="F84" s="101"/>
    </row>
    <row r="85" spans="1:10" ht="15.75" thickBot="1" x14ac:dyDescent="0.3">
      <c r="A85" s="123" t="s">
        <v>143</v>
      </c>
      <c r="B85" s="101"/>
      <c r="C85" s="100"/>
      <c r="D85" s="101"/>
      <c r="G85" s="95">
        <v>1000</v>
      </c>
    </row>
    <row r="86" spans="1:10" ht="18.75" thickBot="1" x14ac:dyDescent="0.3">
      <c r="A86" s="196" t="s">
        <v>10</v>
      </c>
      <c r="B86" s="198" t="s">
        <v>136</v>
      </c>
      <c r="C86" s="199"/>
      <c r="D86" s="191" t="s">
        <v>137</v>
      </c>
      <c r="E86" s="192"/>
      <c r="F86" s="194" t="s">
        <v>94</v>
      </c>
      <c r="G86" s="195"/>
    </row>
    <row r="87" spans="1:10" ht="81.75" thickBot="1" x14ac:dyDescent="0.3">
      <c r="A87" s="197"/>
      <c r="B87" s="124" t="s">
        <v>138</v>
      </c>
      <c r="C87" s="124" t="s">
        <v>139</v>
      </c>
      <c r="D87" s="125" t="s">
        <v>140</v>
      </c>
      <c r="E87" s="125" t="s">
        <v>141</v>
      </c>
      <c r="F87" s="126" t="s">
        <v>142</v>
      </c>
      <c r="G87" s="126" t="s">
        <v>147</v>
      </c>
    </row>
    <row r="88" spans="1:10" ht="15.75" thickBot="1" x14ac:dyDescent="0.3">
      <c r="A88" s="197"/>
      <c r="B88" s="200" t="s">
        <v>100</v>
      </c>
      <c r="C88" s="127" t="s">
        <v>101</v>
      </c>
      <c r="D88" s="128" t="s">
        <v>102</v>
      </c>
      <c r="E88" s="129" t="s">
        <v>103</v>
      </c>
      <c r="F88" s="130" t="s">
        <v>104</v>
      </c>
      <c r="G88" s="130" t="s">
        <v>104</v>
      </c>
    </row>
    <row r="89" spans="1:10" x14ac:dyDescent="0.25">
      <c r="A89" s="197"/>
      <c r="B89" s="201"/>
      <c r="C89" s="131" t="s">
        <v>105</v>
      </c>
      <c r="D89" s="132"/>
      <c r="E89" s="133" t="s">
        <v>106</v>
      </c>
      <c r="F89" s="134" t="s">
        <v>107</v>
      </c>
      <c r="G89" s="134" t="s">
        <v>107</v>
      </c>
    </row>
    <row r="90" spans="1:10" x14ac:dyDescent="0.25">
      <c r="A90" s="89">
        <v>2011</v>
      </c>
      <c r="B90" s="137">
        <f>[6]REKAPITULASI!B59</f>
        <v>0.58523408403839994</v>
      </c>
      <c r="C90" s="140">
        <f>B90*21</f>
        <v>12.289915764806398</v>
      </c>
      <c r="D90" s="139">
        <f>[6]REKAPITULASI!D59</f>
        <v>1.9889252893714286E-2</v>
      </c>
      <c r="E90" s="135">
        <f>D90*310</f>
        <v>6.1656683970514283</v>
      </c>
      <c r="F90" s="138">
        <f>C90+E90</f>
        <v>18.455584161857828</v>
      </c>
      <c r="G90" s="144">
        <f>F90*$G$85</f>
        <v>18455.584161857827</v>
      </c>
    </row>
    <row r="91" spans="1:10" x14ac:dyDescent="0.25">
      <c r="A91" s="89">
        <v>2012</v>
      </c>
      <c r="B91" s="137">
        <f>[6]REKAPITULASI!B60</f>
        <v>0.5968179127872002</v>
      </c>
      <c r="C91" s="140">
        <f t="shared" ref="C91:C110" si="28">B91*21</f>
        <v>12.533176168531204</v>
      </c>
      <c r="D91" s="139">
        <f>[6]REKAPITULASI!D60</f>
        <v>1.9552192251428572E-2</v>
      </c>
      <c r="E91" s="135">
        <f t="shared" ref="E91:E110" si="29">D91*310</f>
        <v>6.0611795979428571</v>
      </c>
      <c r="F91" s="138">
        <f t="shared" ref="F91:F110" si="30">C91+E91</f>
        <v>18.59435576647406</v>
      </c>
      <c r="G91" s="144">
        <f t="shared" ref="G91:G109" si="31">F91*$G$85</f>
        <v>18594.355766474058</v>
      </c>
    </row>
    <row r="92" spans="1:10" x14ac:dyDescent="0.25">
      <c r="A92" s="89">
        <v>2013</v>
      </c>
      <c r="B92" s="137">
        <f>[6]REKAPITULASI!B61</f>
        <v>0.60836204226719992</v>
      </c>
      <c r="C92" s="140">
        <f t="shared" si="28"/>
        <v>12.775602887611198</v>
      </c>
      <c r="D92" s="139">
        <f>[6]REKAPITULASI!D61</f>
        <v>1.9648542546285713E-2</v>
      </c>
      <c r="E92" s="135">
        <f t="shared" si="29"/>
        <v>6.0910481893485713</v>
      </c>
      <c r="F92" s="138">
        <f t="shared" si="30"/>
        <v>18.866651076959769</v>
      </c>
      <c r="G92" s="144">
        <f t="shared" si="31"/>
        <v>18866.65107695977</v>
      </c>
    </row>
    <row r="93" spans="1:10" x14ac:dyDescent="0.25">
      <c r="A93" s="89">
        <v>2014</v>
      </c>
      <c r="B93" s="137">
        <f>[6]REKAPITULASI!B62</f>
        <v>0.6196178296896</v>
      </c>
      <c r="C93" s="140">
        <f t="shared" si="28"/>
        <v>13.0119744234816</v>
      </c>
      <c r="D93" s="139">
        <f>[6]REKAPITULASI!D62</f>
        <v>2.0456332922666673E-2</v>
      </c>
      <c r="E93" s="135">
        <f t="shared" si="29"/>
        <v>6.3414632060266687</v>
      </c>
      <c r="F93" s="138">
        <f t="shared" si="30"/>
        <v>19.353437629508271</v>
      </c>
      <c r="G93" s="144">
        <f t="shared" si="31"/>
        <v>19353.437629508269</v>
      </c>
    </row>
    <row r="94" spans="1:10" x14ac:dyDescent="0.25">
      <c r="A94" s="89">
        <v>2015</v>
      </c>
      <c r="B94" s="137">
        <f>[6]REKAPITULASI!B63</f>
        <v>0.63056438070240006</v>
      </c>
      <c r="C94" s="140">
        <f t="shared" si="28"/>
        <v>13.241851994750402</v>
      </c>
      <c r="D94" s="139">
        <f>[6]REKAPITULASI!D63</f>
        <v>2.0817727125904767E-2</v>
      </c>
      <c r="E94" s="135">
        <f t="shared" si="29"/>
        <v>6.4534954090304781</v>
      </c>
      <c r="F94" s="138">
        <f t="shared" si="30"/>
        <v>19.695347403780879</v>
      </c>
      <c r="G94" s="144">
        <f t="shared" si="31"/>
        <v>19695.347403780877</v>
      </c>
    </row>
    <row r="95" spans="1:10" x14ac:dyDescent="0.25">
      <c r="A95" s="89">
        <v>2016</v>
      </c>
      <c r="B95" s="137">
        <f>[6]REKAPITULASI!B64</f>
        <v>0.64142317543680005</v>
      </c>
      <c r="C95" s="140">
        <f t="shared" si="28"/>
        <v>13.469886684172801</v>
      </c>
      <c r="D95" s="139">
        <f>[6]REKAPITULASI!D64</f>
        <v>2.117622410514286E-2</v>
      </c>
      <c r="E95" s="135">
        <f t="shared" si="29"/>
        <v>6.5646294725942864</v>
      </c>
      <c r="F95" s="138">
        <f t="shared" si="30"/>
        <v>20.034516156767086</v>
      </c>
      <c r="G95" s="144">
        <f t="shared" si="31"/>
        <v>20034.516156767088</v>
      </c>
    </row>
    <row r="96" spans="1:10" x14ac:dyDescent="0.25">
      <c r="A96" s="89">
        <v>2017</v>
      </c>
      <c r="B96" s="137">
        <f>[6]REKAPITULASI!B65</f>
        <v>0.66651833690640006</v>
      </c>
      <c r="C96" s="140">
        <f t="shared" si="28"/>
        <v>13.996885075034401</v>
      </c>
      <c r="D96" s="139">
        <f>[6]REKAPITULASI!D65</f>
        <v>2.2004726696857147E-2</v>
      </c>
      <c r="E96" s="135">
        <f t="shared" si="29"/>
        <v>6.821465276025716</v>
      </c>
      <c r="F96" s="138">
        <f t="shared" si="30"/>
        <v>20.818350351060118</v>
      </c>
      <c r="G96" s="144">
        <f t="shared" si="31"/>
        <v>20818.350351060119</v>
      </c>
    </row>
    <row r="97" spans="1:7" x14ac:dyDescent="0.25">
      <c r="A97" s="89">
        <v>2018</v>
      </c>
      <c r="B97" s="137">
        <f>[6]REKAPITULASI!B66</f>
        <v>0.68229252794880013</v>
      </c>
      <c r="C97" s="140">
        <f t="shared" si="28"/>
        <v>14.328143086924802</v>
      </c>
      <c r="D97" s="139">
        <f>[6]REKAPITULASI!D66</f>
        <v>2.2525502710857147E-2</v>
      </c>
      <c r="E97" s="135">
        <f t="shared" si="29"/>
        <v>6.9829058403657154</v>
      </c>
      <c r="F97" s="138">
        <f t="shared" si="30"/>
        <v>21.311048927290518</v>
      </c>
      <c r="G97" s="144">
        <f t="shared" si="31"/>
        <v>21311.048927290518</v>
      </c>
    </row>
    <row r="98" spans="1:7" x14ac:dyDescent="0.25">
      <c r="A98" s="89">
        <v>2019</v>
      </c>
      <c r="B98" s="137">
        <f>[6]REKAPITULASI!B67</f>
        <v>0.69806671899119999</v>
      </c>
      <c r="C98" s="140">
        <f t="shared" si="28"/>
        <v>14.6594010988152</v>
      </c>
      <c r="D98" s="139">
        <f>[6]REKAPITULASI!D67</f>
        <v>2.3046278724857139E-2</v>
      </c>
      <c r="E98" s="135">
        <f t="shared" si="29"/>
        <v>7.144346404705713</v>
      </c>
      <c r="F98" s="138">
        <f t="shared" si="30"/>
        <v>21.803747503520913</v>
      </c>
      <c r="G98" s="144">
        <f t="shared" si="31"/>
        <v>21803.747503520914</v>
      </c>
    </row>
    <row r="99" spans="1:7" x14ac:dyDescent="0.25">
      <c r="A99" s="89">
        <v>2020</v>
      </c>
      <c r="B99" s="137">
        <f>[6]REKAPITULASI!B68</f>
        <v>0.71384091003359995</v>
      </c>
      <c r="C99" s="140">
        <f t="shared" si="28"/>
        <v>14.990659110705598</v>
      </c>
      <c r="D99" s="139">
        <f>[6]REKAPITULASI!D68</f>
        <v>2.3567054738857139E-2</v>
      </c>
      <c r="E99" s="135">
        <f t="shared" si="29"/>
        <v>7.3057869690457133</v>
      </c>
      <c r="F99" s="138">
        <f t="shared" si="30"/>
        <v>22.296446079751313</v>
      </c>
      <c r="G99" s="144">
        <f t="shared" si="31"/>
        <v>22296.446079751313</v>
      </c>
    </row>
    <row r="100" spans="1:7" x14ac:dyDescent="0.25">
      <c r="A100" s="89">
        <v>2021</v>
      </c>
      <c r="B100" s="137">
        <f>[6]REKAPITULASI!B69</f>
        <v>0.72961510107600003</v>
      </c>
      <c r="C100" s="140">
        <f t="shared" si="28"/>
        <v>15.321917122596</v>
      </c>
      <c r="D100" s="139">
        <f>[6]REKAPITULASI!D69</f>
        <v>2.4087830752857146E-2</v>
      </c>
      <c r="E100" s="135">
        <f t="shared" si="29"/>
        <v>7.4672275333857154</v>
      </c>
      <c r="F100" s="138">
        <f t="shared" si="30"/>
        <v>22.789144655981715</v>
      </c>
      <c r="G100" s="144">
        <f t="shared" si="31"/>
        <v>22789.144655981716</v>
      </c>
    </row>
    <row r="101" spans="1:7" x14ac:dyDescent="0.25">
      <c r="A101" s="89">
        <v>2022</v>
      </c>
      <c r="B101" s="137">
        <f>[6]REKAPITULASI!B70</f>
        <v>0.7453892921184001</v>
      </c>
      <c r="C101" s="140">
        <f t="shared" si="28"/>
        <v>15.653175134486402</v>
      </c>
      <c r="D101" s="139">
        <f>[6]REKAPITULASI!D70</f>
        <v>2.4608606766857145E-2</v>
      </c>
      <c r="E101" s="135">
        <f t="shared" si="29"/>
        <v>7.6286680977257149</v>
      </c>
      <c r="F101" s="138">
        <f t="shared" si="30"/>
        <v>23.281843232212118</v>
      </c>
      <c r="G101" s="144">
        <f t="shared" si="31"/>
        <v>23281.843232212119</v>
      </c>
    </row>
    <row r="102" spans="1:7" x14ac:dyDescent="0.25">
      <c r="A102" s="89">
        <v>2023</v>
      </c>
      <c r="B102" s="137">
        <f>[6]REKAPITULASI!B71</f>
        <v>0.76116348316079985</v>
      </c>
      <c r="C102" s="140">
        <f t="shared" si="28"/>
        <v>15.984433146376796</v>
      </c>
      <c r="D102" s="139">
        <f>[6]REKAPITULASI!D71</f>
        <v>2.5129382780857145E-2</v>
      </c>
      <c r="E102" s="135">
        <f t="shared" si="29"/>
        <v>7.7901086620657152</v>
      </c>
      <c r="F102" s="138">
        <f t="shared" si="30"/>
        <v>23.77454180844251</v>
      </c>
      <c r="G102" s="144">
        <f t="shared" si="31"/>
        <v>23774.541808442511</v>
      </c>
    </row>
    <row r="103" spans="1:7" x14ac:dyDescent="0.25">
      <c r="A103" s="89">
        <v>2024</v>
      </c>
      <c r="B103" s="137">
        <f>[6]REKAPITULASI!B72</f>
        <v>0.77693767420319981</v>
      </c>
      <c r="C103" s="140">
        <f t="shared" si="28"/>
        <v>16.315691158267196</v>
      </c>
      <c r="D103" s="139">
        <f>[6]REKAPITULASI!D72</f>
        <v>2.5650158794857145E-2</v>
      </c>
      <c r="E103" s="135">
        <f t="shared" si="29"/>
        <v>7.9515492264057146</v>
      </c>
      <c r="F103" s="138">
        <f t="shared" si="30"/>
        <v>24.26724038467291</v>
      </c>
      <c r="G103" s="144">
        <f t="shared" si="31"/>
        <v>24267.24038467291</v>
      </c>
    </row>
    <row r="104" spans="1:7" x14ac:dyDescent="0.25">
      <c r="A104" s="89">
        <v>2025</v>
      </c>
      <c r="B104" s="137">
        <f>[6]REKAPITULASI!B73</f>
        <v>0.7927118652456</v>
      </c>
      <c r="C104" s="140">
        <f t="shared" si="28"/>
        <v>16.646949170157601</v>
      </c>
      <c r="D104" s="139">
        <f>[6]REKAPITULASI!D73</f>
        <v>2.6170934808857151E-2</v>
      </c>
      <c r="E104" s="135">
        <f t="shared" si="29"/>
        <v>8.1129897907457167</v>
      </c>
      <c r="F104" s="138">
        <f t="shared" si="30"/>
        <v>24.75993896090332</v>
      </c>
      <c r="G104" s="144">
        <f t="shared" si="31"/>
        <v>24759.938960903321</v>
      </c>
    </row>
    <row r="105" spans="1:7" x14ac:dyDescent="0.25">
      <c r="A105" s="89">
        <v>2026</v>
      </c>
      <c r="B105" s="137">
        <f>[6]REKAPITULASI!B74</f>
        <v>0.80848605628800008</v>
      </c>
      <c r="C105" s="140">
        <f t="shared" si="28"/>
        <v>16.978207182048003</v>
      </c>
      <c r="D105" s="139">
        <f>[6]REKAPITULASI!D74</f>
        <v>2.6691710822857144E-2</v>
      </c>
      <c r="E105" s="135">
        <f t="shared" si="29"/>
        <v>8.2744303550857143</v>
      </c>
      <c r="F105" s="138">
        <f t="shared" si="30"/>
        <v>25.252637537133715</v>
      </c>
      <c r="G105" s="144">
        <f t="shared" si="31"/>
        <v>25252.637537133716</v>
      </c>
    </row>
    <row r="106" spans="1:7" x14ac:dyDescent="0.25">
      <c r="A106" s="89">
        <v>2027</v>
      </c>
      <c r="B106" s="137">
        <f>[6]REKAPITULASI!B75</f>
        <v>0.82426024733040015</v>
      </c>
      <c r="C106" s="140">
        <f t="shared" si="28"/>
        <v>17.309465193938404</v>
      </c>
      <c r="D106" s="139">
        <f>[6]REKAPITULASI!D75</f>
        <v>2.7212486836857144E-2</v>
      </c>
      <c r="E106" s="135">
        <f t="shared" si="29"/>
        <v>8.4358709194257138</v>
      </c>
      <c r="F106" s="138">
        <f t="shared" si="30"/>
        <v>25.745336113364118</v>
      </c>
      <c r="G106" s="144">
        <f t="shared" si="31"/>
        <v>25745.336113364119</v>
      </c>
    </row>
    <row r="107" spans="1:7" x14ac:dyDescent="0.25">
      <c r="A107" s="89">
        <v>2028</v>
      </c>
      <c r="B107" s="137">
        <f>[6]REKAPITULASI!B76</f>
        <v>0.8400344383727999</v>
      </c>
      <c r="C107" s="140">
        <f t="shared" si="28"/>
        <v>17.640723205828799</v>
      </c>
      <c r="D107" s="139">
        <f>[6]REKAPITULASI!D76</f>
        <v>2.773326285085715E-2</v>
      </c>
      <c r="E107" s="135">
        <f t="shared" si="29"/>
        <v>8.5973114837657167</v>
      </c>
      <c r="F107" s="138">
        <f t="shared" si="30"/>
        <v>26.238034689594514</v>
      </c>
      <c r="G107" s="144">
        <f t="shared" si="31"/>
        <v>26238.034689594515</v>
      </c>
    </row>
    <row r="108" spans="1:7" x14ac:dyDescent="0.25">
      <c r="A108" s="89">
        <v>2029</v>
      </c>
      <c r="B108" s="137">
        <f>[6]REKAPITULASI!B77</f>
        <v>0.85580862941519997</v>
      </c>
      <c r="C108" s="140">
        <f t="shared" si="28"/>
        <v>17.9719812177192</v>
      </c>
      <c r="D108" s="139">
        <f>[6]REKAPITULASI!D77</f>
        <v>2.825403886485715E-2</v>
      </c>
      <c r="E108" s="135">
        <f t="shared" si="29"/>
        <v>8.7587520481057162</v>
      </c>
      <c r="F108" s="138">
        <f t="shared" si="30"/>
        <v>26.730733265824917</v>
      </c>
      <c r="G108" s="144">
        <f t="shared" si="31"/>
        <v>26730.733265824918</v>
      </c>
    </row>
    <row r="109" spans="1:7" x14ac:dyDescent="0.25">
      <c r="A109" s="89">
        <v>2030</v>
      </c>
      <c r="B109" s="137">
        <f>[6]REKAPITULASI!B78</f>
        <v>0.87158282045759994</v>
      </c>
      <c r="C109" s="140">
        <f t="shared" si="28"/>
        <v>18.303239229609598</v>
      </c>
      <c r="D109" s="139">
        <f>[6]REKAPITULASI!D78</f>
        <v>2.8774814878857143E-2</v>
      </c>
      <c r="E109" s="135">
        <f t="shared" si="29"/>
        <v>8.9201926124457138</v>
      </c>
      <c r="F109" s="138">
        <f t="shared" si="30"/>
        <v>27.223431842055312</v>
      </c>
      <c r="G109" s="144">
        <f t="shared" si="31"/>
        <v>27223.431842055314</v>
      </c>
    </row>
    <row r="110" spans="1:7" x14ac:dyDescent="0.25">
      <c r="A110" s="89">
        <v>2031</v>
      </c>
      <c r="B110" s="137"/>
      <c r="C110" s="140">
        <f t="shared" si="28"/>
        <v>0</v>
      </c>
      <c r="D110" s="139"/>
      <c r="E110" s="135">
        <f t="shared" si="29"/>
        <v>0</v>
      </c>
      <c r="F110" s="138">
        <f t="shared" si="30"/>
        <v>0</v>
      </c>
      <c r="G110" s="98"/>
    </row>
  </sheetData>
  <mergeCells count="32"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  <mergeCell ref="A6:A8"/>
    <mergeCell ref="B7:C7"/>
    <mergeCell ref="A58:A60"/>
    <mergeCell ref="B58:F58"/>
    <mergeCell ref="B59:C59"/>
    <mergeCell ref="D59:E59"/>
    <mergeCell ref="D7:D8"/>
    <mergeCell ref="B6:D6"/>
    <mergeCell ref="A32:A34"/>
    <mergeCell ref="B32:F32"/>
    <mergeCell ref="B33:C33"/>
    <mergeCell ref="D33:E33"/>
    <mergeCell ref="F33:F34"/>
    <mergeCell ref="D86:E86"/>
    <mergeCell ref="H59:H60"/>
    <mergeCell ref="I59:J59"/>
    <mergeCell ref="F86:G86"/>
    <mergeCell ref="A86:A89"/>
    <mergeCell ref="B86:C86"/>
    <mergeCell ref="B88:B8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tabSelected="1" workbookViewId="0">
      <selection activeCell="C5" sqref="C5"/>
    </sheetView>
  </sheetViews>
  <sheetFormatPr defaultRowHeight="12.75" x14ac:dyDescent="0.25"/>
  <cols>
    <col min="1" max="2" width="9.140625" style="146"/>
    <col min="3" max="3" width="14.5703125" style="146" customWidth="1"/>
    <col min="4" max="4" width="19.140625" style="146" customWidth="1"/>
    <col min="5" max="16384" width="9.140625" style="146"/>
  </cols>
  <sheetData>
    <row r="3" spans="2:4" x14ac:dyDescent="0.25">
      <c r="B3" s="216" t="s">
        <v>10</v>
      </c>
      <c r="C3" s="216" t="s">
        <v>151</v>
      </c>
      <c r="D3" s="216"/>
    </row>
    <row r="4" spans="2:4" x14ac:dyDescent="0.25">
      <c r="B4" s="216"/>
      <c r="C4" s="147" t="s">
        <v>150</v>
      </c>
      <c r="D4" s="147" t="s">
        <v>146</v>
      </c>
    </row>
    <row r="5" spans="2:4" ht="15" x14ac:dyDescent="0.25">
      <c r="B5" s="89">
        <v>2011</v>
      </c>
      <c r="C5" s="148"/>
      <c r="D5" s="148">
        <f>(C5*21)/1000</f>
        <v>0</v>
      </c>
    </row>
    <row r="6" spans="2:4" ht="15" x14ac:dyDescent="0.25">
      <c r="B6" s="89">
        <v>2012</v>
      </c>
      <c r="C6" s="148"/>
      <c r="D6" s="148">
        <f t="shared" ref="D6:D15" si="0">(C6*21)/1000</f>
        <v>0</v>
      </c>
    </row>
    <row r="7" spans="2:4" ht="15" x14ac:dyDescent="0.25">
      <c r="B7" s="89">
        <v>2013</v>
      </c>
      <c r="C7" s="148"/>
      <c r="D7" s="148">
        <f t="shared" si="0"/>
        <v>0</v>
      </c>
    </row>
    <row r="8" spans="2:4" ht="15" x14ac:dyDescent="0.25">
      <c r="B8" s="89">
        <v>2014</v>
      </c>
      <c r="C8" s="148"/>
      <c r="D8" s="148">
        <f t="shared" si="0"/>
        <v>0</v>
      </c>
    </row>
    <row r="9" spans="2:4" ht="15" x14ac:dyDescent="0.25">
      <c r="B9" s="89">
        <v>2015</v>
      </c>
      <c r="C9" s="148"/>
      <c r="D9" s="148">
        <f t="shared" si="0"/>
        <v>0</v>
      </c>
    </row>
    <row r="10" spans="2:4" ht="15" x14ac:dyDescent="0.25">
      <c r="B10" s="89">
        <v>2016</v>
      </c>
      <c r="C10" s="148"/>
      <c r="D10" s="148">
        <f t="shared" si="0"/>
        <v>0</v>
      </c>
    </row>
    <row r="11" spans="2:4" ht="15" x14ac:dyDescent="0.25">
      <c r="B11" s="89">
        <v>2017</v>
      </c>
      <c r="C11" s="148"/>
      <c r="D11" s="148">
        <f t="shared" si="0"/>
        <v>0</v>
      </c>
    </row>
    <row r="12" spans="2:4" ht="15" x14ac:dyDescent="0.25">
      <c r="B12" s="89">
        <v>2018</v>
      </c>
      <c r="C12" s="148"/>
      <c r="D12" s="148">
        <f t="shared" si="0"/>
        <v>0</v>
      </c>
    </row>
    <row r="13" spans="2:4" ht="15" x14ac:dyDescent="0.25">
      <c r="B13" s="89">
        <v>2019</v>
      </c>
      <c r="C13" s="148"/>
      <c r="D13" s="148">
        <f t="shared" si="0"/>
        <v>0</v>
      </c>
    </row>
    <row r="14" spans="2:4" ht="15" x14ac:dyDescent="0.25">
      <c r="B14" s="89">
        <v>2020</v>
      </c>
      <c r="C14" s="148"/>
      <c r="D14" s="148">
        <f t="shared" si="0"/>
        <v>0</v>
      </c>
    </row>
    <row r="15" spans="2:4" ht="15" x14ac:dyDescent="0.25">
      <c r="B15" s="89">
        <v>2021</v>
      </c>
      <c r="C15" s="148"/>
      <c r="D15" s="148">
        <f t="shared" si="0"/>
        <v>0</v>
      </c>
    </row>
    <row r="16" spans="2:4" ht="15" x14ac:dyDescent="0.25">
      <c r="B16" s="89">
        <v>2022</v>
      </c>
      <c r="C16" s="148"/>
      <c r="D16" s="148">
        <f t="shared" ref="D16:D25" si="1">(C16*21)/1000</f>
        <v>0</v>
      </c>
    </row>
    <row r="17" spans="2:4" ht="15" x14ac:dyDescent="0.25">
      <c r="B17" s="89">
        <v>2023</v>
      </c>
      <c r="C17" s="148"/>
      <c r="D17" s="148">
        <f t="shared" si="1"/>
        <v>0</v>
      </c>
    </row>
    <row r="18" spans="2:4" ht="15" x14ac:dyDescent="0.25">
      <c r="B18" s="89">
        <v>2024</v>
      </c>
      <c r="C18" s="148"/>
      <c r="D18" s="148">
        <f t="shared" si="1"/>
        <v>0</v>
      </c>
    </row>
    <row r="19" spans="2:4" ht="15" x14ac:dyDescent="0.25">
      <c r="B19" s="89">
        <v>2025</v>
      </c>
      <c r="C19" s="148"/>
      <c r="D19" s="148">
        <f t="shared" si="1"/>
        <v>0</v>
      </c>
    </row>
    <row r="20" spans="2:4" ht="15" x14ac:dyDescent="0.25">
      <c r="B20" s="89">
        <v>2026</v>
      </c>
      <c r="C20" s="148"/>
      <c r="D20" s="148">
        <f t="shared" si="1"/>
        <v>0</v>
      </c>
    </row>
    <row r="21" spans="2:4" ht="15" x14ac:dyDescent="0.25">
      <c r="B21" s="89">
        <v>2027</v>
      </c>
      <c r="C21" s="148"/>
      <c r="D21" s="148">
        <f t="shared" si="1"/>
        <v>0</v>
      </c>
    </row>
    <row r="22" spans="2:4" ht="15" x14ac:dyDescent="0.25">
      <c r="B22" s="89">
        <v>2028</v>
      </c>
      <c r="C22" s="148"/>
      <c r="D22" s="148">
        <f t="shared" si="1"/>
        <v>0</v>
      </c>
    </row>
    <row r="23" spans="2:4" ht="15" x14ac:dyDescent="0.25">
      <c r="B23" s="89">
        <v>2029</v>
      </c>
      <c r="C23" s="148"/>
      <c r="D23" s="148">
        <f t="shared" si="1"/>
        <v>0</v>
      </c>
    </row>
    <row r="24" spans="2:4" ht="15" x14ac:dyDescent="0.25">
      <c r="B24" s="89">
        <v>2030</v>
      </c>
      <c r="C24" s="148"/>
      <c r="D24" s="148">
        <f t="shared" si="1"/>
        <v>0</v>
      </c>
    </row>
    <row r="25" spans="2:4" ht="15" x14ac:dyDescent="0.25">
      <c r="B25" s="89">
        <v>2031</v>
      </c>
      <c r="C25" s="148"/>
      <c r="D25" s="148">
        <f t="shared" si="1"/>
        <v>0</v>
      </c>
    </row>
  </sheetData>
  <mergeCells count="2">
    <mergeCell ref="C3:D3"/>
    <mergeCell ref="B3:B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64</v>
      </c>
    </row>
    <row r="5" spans="1:9" s="20" customFormat="1" ht="47.25" customHeight="1" x14ac:dyDescent="0.25">
      <c r="A5" s="25" t="s">
        <v>45</v>
      </c>
      <c r="B5" s="26" t="s">
        <v>46</v>
      </c>
      <c r="C5" s="21" t="s">
        <v>54</v>
      </c>
      <c r="D5" s="247" t="s">
        <v>53</v>
      </c>
      <c r="E5" s="247"/>
      <c r="F5" s="248" t="s">
        <v>63</v>
      </c>
      <c r="G5" s="248"/>
      <c r="H5" s="248"/>
      <c r="I5" s="248"/>
    </row>
    <row r="6" spans="1:9" s="20" customFormat="1" ht="16.5" customHeight="1" x14ac:dyDescent="0.25">
      <c r="A6" s="244" t="s">
        <v>47</v>
      </c>
      <c r="B6" s="244" t="s">
        <v>49</v>
      </c>
      <c r="C6" s="245"/>
      <c r="D6" s="233" t="s">
        <v>69</v>
      </c>
      <c r="E6" s="233"/>
      <c r="F6" s="234" t="s">
        <v>55</v>
      </c>
      <c r="G6" s="234"/>
      <c r="H6" s="234"/>
      <c r="I6" s="234"/>
    </row>
    <row r="7" spans="1:9" s="20" customFormat="1" ht="29.25" customHeight="1" x14ac:dyDescent="0.25">
      <c r="A7" s="244"/>
      <c r="B7" s="244"/>
      <c r="C7" s="245"/>
      <c r="D7" s="233"/>
      <c r="E7" s="233"/>
      <c r="F7" s="234" t="s">
        <v>56</v>
      </c>
      <c r="G7" s="234"/>
      <c r="H7" s="234"/>
      <c r="I7" s="234"/>
    </row>
    <row r="8" spans="1:9" s="20" customFormat="1" ht="51" customHeight="1" x14ac:dyDescent="0.25">
      <c r="A8" s="244"/>
      <c r="B8" s="29" t="s">
        <v>58</v>
      </c>
      <c r="C8" s="22"/>
      <c r="D8" s="233" t="s">
        <v>57</v>
      </c>
      <c r="E8" s="233"/>
      <c r="F8" s="234" t="s">
        <v>60</v>
      </c>
      <c r="G8" s="234"/>
      <c r="H8" s="234"/>
      <c r="I8" s="234"/>
    </row>
    <row r="9" spans="1:9" s="20" customFormat="1" ht="31.5" customHeight="1" x14ac:dyDescent="0.25">
      <c r="A9" s="244"/>
      <c r="B9" s="232" t="s">
        <v>50</v>
      </c>
      <c r="C9" s="22"/>
      <c r="D9" s="233" t="s">
        <v>59</v>
      </c>
      <c r="E9" s="233"/>
      <c r="F9" s="241" t="s">
        <v>65</v>
      </c>
      <c r="G9" s="242"/>
      <c r="H9" s="242"/>
      <c r="I9" s="243"/>
    </row>
    <row r="10" spans="1:9" s="20" customFormat="1" ht="20.25" customHeight="1" x14ac:dyDescent="0.25">
      <c r="A10" s="244"/>
      <c r="B10" s="232"/>
      <c r="C10" s="22"/>
      <c r="D10" s="233"/>
      <c r="E10" s="233"/>
      <c r="F10" s="234" t="s">
        <v>61</v>
      </c>
      <c r="G10" s="234"/>
      <c r="H10" s="234"/>
      <c r="I10" s="234"/>
    </row>
    <row r="11" spans="1:9" s="20" customFormat="1" ht="17.25" customHeight="1" x14ac:dyDescent="0.25">
      <c r="A11" s="244"/>
      <c r="B11" s="232"/>
      <c r="C11" s="22"/>
      <c r="D11" s="233"/>
      <c r="E11" s="233"/>
      <c r="F11" s="234" t="s">
        <v>62</v>
      </c>
      <c r="G11" s="234"/>
      <c r="H11" s="234"/>
      <c r="I11" s="234"/>
    </row>
    <row r="12" spans="1:9" s="20" customFormat="1" ht="60" customHeight="1" x14ac:dyDescent="0.25">
      <c r="A12" s="244" t="s">
        <v>48</v>
      </c>
      <c r="B12" s="27" t="s">
        <v>51</v>
      </c>
      <c r="C12" s="23"/>
      <c r="D12" s="24"/>
      <c r="E12" s="22"/>
      <c r="F12" s="235" t="s">
        <v>66</v>
      </c>
      <c r="G12" s="236"/>
      <c r="H12" s="236"/>
      <c r="I12" s="237"/>
    </row>
    <row r="13" spans="1:9" s="20" customFormat="1" ht="30" x14ac:dyDescent="0.25">
      <c r="A13" s="244"/>
      <c r="B13" s="28" t="s">
        <v>52</v>
      </c>
      <c r="C13" s="23"/>
      <c r="D13" s="24"/>
      <c r="E13" s="22"/>
      <c r="F13" s="238"/>
      <c r="G13" s="239"/>
      <c r="H13" s="239"/>
      <c r="I13" s="240"/>
    </row>
    <row r="18" spans="1:22" ht="21" x14ac:dyDescent="0.35">
      <c r="A18" s="246" t="s">
        <v>73</v>
      </c>
      <c r="B18" s="246"/>
      <c r="C18" s="246"/>
      <c r="D18" s="246"/>
      <c r="E18" s="246"/>
      <c r="F18" s="246"/>
      <c r="G18" s="246"/>
      <c r="H18" s="246"/>
      <c r="I18" s="246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68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217" t="s">
        <v>8</v>
      </c>
      <c r="B21" s="230" t="s">
        <v>39</v>
      </c>
      <c r="C21" s="230"/>
      <c r="D21" s="230"/>
      <c r="E21" s="230"/>
      <c r="F21" s="230"/>
      <c r="G21" s="230"/>
      <c r="H21" s="230"/>
      <c r="I21" s="231"/>
      <c r="K21" t="s">
        <v>21</v>
      </c>
      <c r="L21" t="s">
        <v>24</v>
      </c>
    </row>
    <row r="22" spans="1:22" ht="38.25" x14ac:dyDescent="0.25">
      <c r="A22" s="217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231"/>
      <c r="O22" s="8" t="s">
        <v>18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40</v>
      </c>
      <c r="K23" s="10" t="s">
        <v>42</v>
      </c>
    </row>
    <row r="24" spans="1:22" ht="15" customHeight="1" x14ac:dyDescent="0.25">
      <c r="A24" s="2">
        <v>2011</v>
      </c>
      <c r="B24" s="223" t="s">
        <v>70</v>
      </c>
      <c r="C24" s="35">
        <v>0</v>
      </c>
      <c r="D24" s="223" t="s">
        <v>72</v>
      </c>
      <c r="E24" s="223" t="s">
        <v>78</v>
      </c>
      <c r="F24" s="223"/>
      <c r="G24" s="223"/>
      <c r="H24" s="223"/>
      <c r="I24" s="34"/>
      <c r="K24" t="s">
        <v>25</v>
      </c>
      <c r="L24" s="15">
        <v>4000</v>
      </c>
      <c r="M24" s="16" t="s">
        <v>32</v>
      </c>
      <c r="N24" s="15">
        <v>6000</v>
      </c>
      <c r="O24" s="8" t="s">
        <v>27</v>
      </c>
      <c r="R24" s="18">
        <f>L24*1000/365</f>
        <v>10958.904109589041</v>
      </c>
      <c r="S24" s="19" t="s">
        <v>32</v>
      </c>
      <c r="T24" s="18">
        <f>N24*1000/365</f>
        <v>16438.35616438356</v>
      </c>
      <c r="U24" s="11" t="s">
        <v>30</v>
      </c>
      <c r="V24" t="s">
        <v>71</v>
      </c>
    </row>
    <row r="25" spans="1:22" ht="60" customHeight="1" x14ac:dyDescent="0.25">
      <c r="A25" s="2">
        <v>2012</v>
      </c>
      <c r="B25" s="223"/>
      <c r="C25" s="35">
        <v>0</v>
      </c>
      <c r="D25" s="223"/>
      <c r="E25" s="223"/>
      <c r="F25" s="223"/>
      <c r="G25" s="223"/>
      <c r="H25" s="223"/>
      <c r="I25" s="34"/>
      <c r="K25" t="s">
        <v>26</v>
      </c>
      <c r="L25" s="221">
        <v>1000</v>
      </c>
      <c r="M25" s="221"/>
      <c r="N25" s="221"/>
      <c r="O25" s="8" t="s">
        <v>27</v>
      </c>
      <c r="R25" s="222">
        <f>L25*1000/365</f>
        <v>2739.7260273972602</v>
      </c>
      <c r="S25" s="222"/>
      <c r="T25" s="222"/>
      <c r="U25" s="11" t="s">
        <v>44</v>
      </c>
    </row>
    <row r="26" spans="1:22" x14ac:dyDescent="0.25">
      <c r="A26" s="2">
        <v>2013</v>
      </c>
      <c r="B26" s="223"/>
      <c r="C26" s="35">
        <v>0</v>
      </c>
      <c r="D26" s="223"/>
      <c r="E26" s="223"/>
      <c r="F26" s="223"/>
      <c r="G26" s="223"/>
      <c r="H26" s="223"/>
      <c r="I26" s="34"/>
      <c r="K26" t="s">
        <v>28</v>
      </c>
      <c r="L26" s="221">
        <v>3000</v>
      </c>
      <c r="M26" s="221"/>
      <c r="N26" s="221"/>
      <c r="O26" s="8" t="s">
        <v>27</v>
      </c>
    </row>
    <row r="27" spans="1:22" x14ac:dyDescent="0.25">
      <c r="A27" s="2">
        <v>2014</v>
      </c>
      <c r="B27" s="223"/>
      <c r="C27" s="35">
        <v>0</v>
      </c>
      <c r="D27" s="223"/>
      <c r="E27" s="223"/>
      <c r="F27" s="223"/>
      <c r="G27" s="223"/>
      <c r="H27" s="223"/>
      <c r="I27" s="34"/>
      <c r="K27" s="9" t="s">
        <v>29</v>
      </c>
      <c r="L27" s="15">
        <v>8000</v>
      </c>
      <c r="M27" s="16" t="s">
        <v>32</v>
      </c>
      <c r="N27" s="15">
        <v>10000</v>
      </c>
      <c r="O27" s="8" t="s">
        <v>18</v>
      </c>
    </row>
    <row r="28" spans="1:22" x14ac:dyDescent="0.25">
      <c r="A28" s="2">
        <v>2015</v>
      </c>
      <c r="B28" s="223"/>
      <c r="C28" s="35">
        <v>0</v>
      </c>
      <c r="D28" s="223"/>
      <c r="E28" s="223"/>
      <c r="F28" s="223"/>
      <c r="G28" s="223"/>
      <c r="H28" s="223"/>
      <c r="I28" s="34"/>
    </row>
    <row r="29" spans="1:22" x14ac:dyDescent="0.25">
      <c r="A29" s="2">
        <v>2016</v>
      </c>
      <c r="B29" s="223"/>
      <c r="C29" s="35">
        <v>0</v>
      </c>
      <c r="D29" s="223"/>
      <c r="E29" s="223"/>
      <c r="F29" s="223"/>
      <c r="G29" s="223"/>
      <c r="H29" s="223"/>
      <c r="I29" s="34"/>
    </row>
    <row r="30" spans="1:22" x14ac:dyDescent="0.25">
      <c r="A30" s="2">
        <v>2017</v>
      </c>
      <c r="B30" s="223"/>
      <c r="C30" s="35">
        <v>0</v>
      </c>
      <c r="D30" s="223"/>
      <c r="E30" s="223"/>
      <c r="F30" s="223"/>
      <c r="G30" s="223"/>
      <c r="H30" s="223"/>
      <c r="I30" s="34"/>
    </row>
    <row r="31" spans="1:22" ht="25.5" x14ac:dyDescent="0.25">
      <c r="A31" s="2">
        <v>2018</v>
      </c>
      <c r="B31" s="223"/>
      <c r="C31" s="35">
        <v>0</v>
      </c>
      <c r="D31" s="223"/>
      <c r="E31" s="223"/>
      <c r="F31" s="223"/>
      <c r="G31" s="223"/>
      <c r="H31" s="223"/>
      <c r="I31" s="34"/>
      <c r="J31" s="9" t="s">
        <v>41</v>
      </c>
      <c r="K31" s="10" t="s">
        <v>43</v>
      </c>
    </row>
    <row r="32" spans="1:22" x14ac:dyDescent="0.25">
      <c r="A32" s="2">
        <v>2019</v>
      </c>
      <c r="B32" s="223"/>
      <c r="C32" s="35">
        <v>0</v>
      </c>
      <c r="D32" s="223"/>
      <c r="E32" s="223"/>
      <c r="F32" s="223"/>
      <c r="G32" s="223"/>
      <c r="H32" s="223"/>
      <c r="I32" s="34"/>
      <c r="K32" t="s">
        <v>25</v>
      </c>
      <c r="L32" s="17">
        <f>0.6*L35</f>
        <v>360</v>
      </c>
      <c r="M32" s="8" t="s">
        <v>27</v>
      </c>
      <c r="R32" s="18">
        <f>L32*1000/365</f>
        <v>986.30136986301375</v>
      </c>
      <c r="S32" s="11" t="s">
        <v>30</v>
      </c>
      <c r="T32" s="11"/>
    </row>
    <row r="33" spans="1:20" x14ac:dyDescent="0.25">
      <c r="A33" s="2">
        <v>2020</v>
      </c>
      <c r="B33" s="223"/>
      <c r="C33" s="35">
        <v>0</v>
      </c>
      <c r="D33" s="223"/>
      <c r="E33" s="223"/>
      <c r="F33" s="223"/>
      <c r="G33" s="223"/>
      <c r="H33" s="223"/>
      <c r="I33" s="34"/>
      <c r="K33" t="s">
        <v>26</v>
      </c>
      <c r="L33" s="17">
        <f>0.1*L35</f>
        <v>60</v>
      </c>
      <c r="M33" s="8" t="s">
        <v>27</v>
      </c>
      <c r="R33" s="18">
        <f>L33*1000/365</f>
        <v>164.38356164383561</v>
      </c>
      <c r="S33" s="11" t="s">
        <v>31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28</v>
      </c>
      <c r="L34" s="17">
        <f>0.3*L35</f>
        <v>180</v>
      </c>
      <c r="M34" s="8" t="s">
        <v>27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29</v>
      </c>
      <c r="L35" s="17">
        <v>600</v>
      </c>
      <c r="M35" s="8" t="s">
        <v>18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67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217" t="s">
        <v>8</v>
      </c>
      <c r="B37" s="224" t="s">
        <v>77</v>
      </c>
      <c r="C37" s="225"/>
      <c r="D37" s="225"/>
      <c r="E37" s="225"/>
      <c r="F37" s="225"/>
      <c r="G37" s="225"/>
      <c r="H37" s="226"/>
      <c r="I37" s="219" t="s">
        <v>39</v>
      </c>
    </row>
    <row r="38" spans="1:20" ht="38.25" x14ac:dyDescent="0.25">
      <c r="A38" s="217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20"/>
    </row>
    <row r="39" spans="1:20" x14ac:dyDescent="0.25">
      <c r="A39" s="2">
        <v>2010</v>
      </c>
      <c r="B39" s="227" t="s">
        <v>74</v>
      </c>
      <c r="C39" s="227" t="s">
        <v>75</v>
      </c>
      <c r="D39" s="227" t="s">
        <v>74</v>
      </c>
      <c r="E39" s="227" t="s">
        <v>75</v>
      </c>
      <c r="F39" s="227" t="s">
        <v>75</v>
      </c>
      <c r="G39" s="227" t="s">
        <v>75</v>
      </c>
      <c r="H39" s="227" t="s">
        <v>75</v>
      </c>
      <c r="I39" s="14">
        <f>'timbulan sampah'!E5</f>
        <v>125.88047999999999</v>
      </c>
    </row>
    <row r="40" spans="1:20" x14ac:dyDescent="0.25">
      <c r="A40" s="2">
        <v>2011</v>
      </c>
      <c r="B40" s="228"/>
      <c r="C40" s="228"/>
      <c r="D40" s="228"/>
      <c r="E40" s="228"/>
      <c r="F40" s="228"/>
      <c r="G40" s="228"/>
      <c r="H40" s="228"/>
      <c r="I40" s="14">
        <f>'timbulan sampah'!E6</f>
        <v>128.31984</v>
      </c>
      <c r="K40" t="s">
        <v>19</v>
      </c>
      <c r="O40" s="8" t="s">
        <v>20</v>
      </c>
    </row>
    <row r="41" spans="1:20" x14ac:dyDescent="0.25">
      <c r="A41" s="2">
        <v>2012</v>
      </c>
      <c r="B41" s="228"/>
      <c r="C41" s="228"/>
      <c r="D41" s="228"/>
      <c r="E41" s="228"/>
      <c r="F41" s="228"/>
      <c r="G41" s="228"/>
      <c r="H41" s="228"/>
      <c r="I41" s="14">
        <f>'timbulan sampah'!E7</f>
        <v>130.75083999999998</v>
      </c>
      <c r="K41" t="s">
        <v>22</v>
      </c>
      <c r="O41" s="8" t="s">
        <v>23</v>
      </c>
    </row>
    <row r="42" spans="1:20" x14ac:dyDescent="0.25">
      <c r="A42" s="2">
        <v>2013</v>
      </c>
      <c r="B42" s="228"/>
      <c r="C42" s="228"/>
      <c r="D42" s="228"/>
      <c r="E42" s="228"/>
      <c r="F42" s="228"/>
      <c r="G42" s="228"/>
      <c r="H42" s="228"/>
      <c r="I42" s="14">
        <f>'timbulan sampah'!E8</f>
        <v>133.12111999999999</v>
      </c>
    </row>
    <row r="43" spans="1:20" x14ac:dyDescent="0.25">
      <c r="A43" s="2">
        <v>2014</v>
      </c>
      <c r="B43" s="228"/>
      <c r="C43" s="228"/>
      <c r="D43" s="228"/>
      <c r="E43" s="228"/>
      <c r="F43" s="228"/>
      <c r="G43" s="228"/>
      <c r="H43" s="228"/>
      <c r="I43" s="14">
        <f>'timbulan sampah'!E9</f>
        <v>135.42627999999999</v>
      </c>
    </row>
    <row r="44" spans="1:20" x14ac:dyDescent="0.25">
      <c r="A44" s="2">
        <v>2015</v>
      </c>
      <c r="B44" s="228"/>
      <c r="C44" s="228"/>
      <c r="D44" s="228"/>
      <c r="E44" s="228"/>
      <c r="F44" s="228"/>
      <c r="G44" s="228"/>
      <c r="H44" s="228"/>
      <c r="I44" s="14">
        <f>'timbulan sampah'!E10</f>
        <v>137.71295999999998</v>
      </c>
    </row>
    <row r="45" spans="1:20" x14ac:dyDescent="0.25">
      <c r="A45" s="2">
        <v>2016</v>
      </c>
      <c r="B45" s="228"/>
      <c r="C45" s="228"/>
      <c r="D45" s="228"/>
      <c r="E45" s="228"/>
      <c r="F45" s="228"/>
      <c r="G45" s="228"/>
      <c r="H45" s="228"/>
      <c r="I45" s="14">
        <f>'timbulan sampah'!E11</f>
        <v>142.99758</v>
      </c>
    </row>
    <row r="46" spans="1:20" x14ac:dyDescent="0.25">
      <c r="A46" s="2">
        <v>2017</v>
      </c>
      <c r="B46" s="228"/>
      <c r="C46" s="228"/>
      <c r="D46" s="228"/>
      <c r="E46" s="228"/>
      <c r="F46" s="228"/>
      <c r="G46" s="228"/>
      <c r="H46" s="228"/>
      <c r="I46" s="14">
        <f>'timbulan sampah'!E12</f>
        <v>146.31936000000002</v>
      </c>
    </row>
    <row r="47" spans="1:20" x14ac:dyDescent="0.25">
      <c r="A47" s="2">
        <v>2018</v>
      </c>
      <c r="B47" s="228"/>
      <c r="C47" s="228"/>
      <c r="D47" s="228"/>
      <c r="E47" s="228"/>
      <c r="F47" s="228"/>
      <c r="G47" s="228"/>
      <c r="H47" s="228"/>
      <c r="I47" s="14">
        <f>'timbulan sampah'!E13</f>
        <v>149.64114000000001</v>
      </c>
    </row>
    <row r="48" spans="1:20" x14ac:dyDescent="0.25">
      <c r="A48" s="2">
        <v>2019</v>
      </c>
      <c r="B48" s="228"/>
      <c r="C48" s="228"/>
      <c r="D48" s="228"/>
      <c r="E48" s="228"/>
      <c r="F48" s="228"/>
      <c r="G48" s="228"/>
      <c r="H48" s="228"/>
      <c r="I48" s="14">
        <f>'timbulan sampah'!E14</f>
        <v>152.96292000000003</v>
      </c>
    </row>
    <row r="49" spans="1:21" x14ac:dyDescent="0.25">
      <c r="A49" s="2">
        <v>2020</v>
      </c>
      <c r="B49" s="229"/>
      <c r="C49" s="229"/>
      <c r="D49" s="229"/>
      <c r="E49" s="229"/>
      <c r="F49" s="229"/>
      <c r="G49" s="229"/>
      <c r="H49" s="229"/>
      <c r="I49" s="14">
        <f>'timbulan sampah'!E15</f>
        <v>156.28470000000002</v>
      </c>
    </row>
    <row r="52" spans="1:21" x14ac:dyDescent="0.25">
      <c r="A52" s="217" t="s">
        <v>8</v>
      </c>
      <c r="B52" s="218" t="s">
        <v>0</v>
      </c>
      <c r="C52" s="218"/>
      <c r="D52" s="218"/>
      <c r="E52" s="218"/>
      <c r="F52" s="218"/>
      <c r="G52" s="218"/>
      <c r="H52" s="218"/>
      <c r="I52" s="219" t="s">
        <v>9</v>
      </c>
    </row>
    <row r="53" spans="1:21" ht="42.75" customHeight="1" x14ac:dyDescent="0.25">
      <c r="A53" s="217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20"/>
    </row>
    <row r="54" spans="1:21" ht="17.25" customHeight="1" x14ac:dyDescent="0.25">
      <c r="A54" s="2">
        <v>2010</v>
      </c>
      <c r="B54" s="249" t="s">
        <v>76</v>
      </c>
      <c r="C54" s="249" t="s">
        <v>76</v>
      </c>
      <c r="D54" s="249" t="s">
        <v>76</v>
      </c>
      <c r="E54" s="249" t="s">
        <v>76</v>
      </c>
      <c r="F54" s="249" t="s">
        <v>76</v>
      </c>
      <c r="G54" s="249" t="s">
        <v>76</v>
      </c>
      <c r="H54" s="249" t="s">
        <v>76</v>
      </c>
      <c r="I54" s="3">
        <v>1</v>
      </c>
    </row>
    <row r="55" spans="1:21" x14ac:dyDescent="0.25">
      <c r="A55" s="2">
        <v>2011</v>
      </c>
      <c r="B55" s="250"/>
      <c r="C55" s="250"/>
      <c r="D55" s="250"/>
      <c r="E55" s="250"/>
      <c r="F55" s="250"/>
      <c r="G55" s="250"/>
      <c r="H55" s="250"/>
      <c r="I55" s="3">
        <v>1</v>
      </c>
    </row>
    <row r="56" spans="1:21" x14ac:dyDescent="0.25">
      <c r="A56" s="2">
        <v>2012</v>
      </c>
      <c r="B56" s="250"/>
      <c r="C56" s="250"/>
      <c r="D56" s="250"/>
      <c r="E56" s="250"/>
      <c r="F56" s="250"/>
      <c r="G56" s="250"/>
      <c r="H56" s="250"/>
      <c r="I56" s="3">
        <v>1</v>
      </c>
    </row>
    <row r="57" spans="1:21" x14ac:dyDescent="0.25">
      <c r="A57" s="2">
        <v>2013</v>
      </c>
      <c r="B57" s="250"/>
      <c r="C57" s="250"/>
      <c r="D57" s="250"/>
      <c r="E57" s="250"/>
      <c r="F57" s="250"/>
      <c r="G57" s="250"/>
      <c r="H57" s="250"/>
      <c r="I57" s="3">
        <v>1</v>
      </c>
    </row>
    <row r="58" spans="1:21" x14ac:dyDescent="0.25">
      <c r="A58" s="2">
        <v>2014</v>
      </c>
      <c r="B58" s="250"/>
      <c r="C58" s="250"/>
      <c r="D58" s="250"/>
      <c r="E58" s="250"/>
      <c r="F58" s="250"/>
      <c r="G58" s="250"/>
      <c r="H58" s="250"/>
      <c r="I58" s="3">
        <v>1</v>
      </c>
    </row>
    <row r="59" spans="1:21" x14ac:dyDescent="0.25">
      <c r="A59" s="2">
        <v>2015</v>
      </c>
      <c r="B59" s="250"/>
      <c r="C59" s="250"/>
      <c r="D59" s="250"/>
      <c r="E59" s="250"/>
      <c r="F59" s="250"/>
      <c r="G59" s="250"/>
      <c r="H59" s="250"/>
      <c r="I59" s="3">
        <v>1</v>
      </c>
    </row>
    <row r="60" spans="1:21" x14ac:dyDescent="0.25">
      <c r="A60" s="2">
        <v>2016</v>
      </c>
      <c r="B60" s="250"/>
      <c r="C60" s="250"/>
      <c r="D60" s="250"/>
      <c r="E60" s="250"/>
      <c r="F60" s="250"/>
      <c r="G60" s="250"/>
      <c r="H60" s="250"/>
      <c r="I60" s="3">
        <v>1</v>
      </c>
    </row>
    <row r="61" spans="1:21" x14ac:dyDescent="0.25">
      <c r="A61" s="2">
        <v>2017</v>
      </c>
      <c r="B61" s="250"/>
      <c r="C61" s="250"/>
      <c r="D61" s="250"/>
      <c r="E61" s="250"/>
      <c r="F61" s="250"/>
      <c r="G61" s="250"/>
      <c r="H61" s="250"/>
      <c r="I61" s="3">
        <v>1</v>
      </c>
    </row>
    <row r="62" spans="1:21" x14ac:dyDescent="0.25">
      <c r="A62" s="2">
        <v>2018</v>
      </c>
      <c r="B62" s="250"/>
      <c r="C62" s="250"/>
      <c r="D62" s="250"/>
      <c r="E62" s="250"/>
      <c r="F62" s="250"/>
      <c r="G62" s="250"/>
      <c r="H62" s="250"/>
      <c r="I62" s="3">
        <v>1</v>
      </c>
    </row>
    <row r="63" spans="1:21" x14ac:dyDescent="0.25">
      <c r="A63" s="2">
        <v>2019</v>
      </c>
      <c r="B63" s="250"/>
      <c r="C63" s="250"/>
      <c r="D63" s="250"/>
      <c r="E63" s="250"/>
      <c r="F63" s="250"/>
      <c r="G63" s="250"/>
      <c r="H63" s="250"/>
      <c r="I63" s="3">
        <v>1</v>
      </c>
      <c r="U63" s="4"/>
    </row>
    <row r="64" spans="1:21" x14ac:dyDescent="0.25">
      <c r="A64" s="2">
        <v>2020</v>
      </c>
      <c r="B64" s="251"/>
      <c r="C64" s="251"/>
      <c r="D64" s="251"/>
      <c r="E64" s="251"/>
      <c r="F64" s="251"/>
      <c r="G64" s="251"/>
      <c r="H64" s="251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  <mergeCell ref="D5:E5"/>
    <mergeCell ref="F5:I5"/>
    <mergeCell ref="F6:I6"/>
    <mergeCell ref="F7:I7"/>
    <mergeCell ref="F8:I8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115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108</v>
      </c>
    </row>
    <row r="6" spans="1:19" ht="54" customHeight="1" x14ac:dyDescent="0.25">
      <c r="A6" s="252" t="s">
        <v>10</v>
      </c>
      <c r="B6" s="253" t="s">
        <v>109</v>
      </c>
      <c r="C6" s="253"/>
      <c r="D6" s="253"/>
      <c r="E6" s="71" t="s">
        <v>113</v>
      </c>
      <c r="F6" s="252" t="s">
        <v>10</v>
      </c>
      <c r="G6" s="253" t="s">
        <v>110</v>
      </c>
      <c r="H6" s="253"/>
      <c r="I6" s="253"/>
      <c r="J6" s="72" t="s">
        <v>114</v>
      </c>
      <c r="K6" s="252" t="s">
        <v>10</v>
      </c>
      <c r="L6" s="253" t="s">
        <v>111</v>
      </c>
      <c r="M6" s="253"/>
      <c r="N6" s="253"/>
      <c r="O6" s="72" t="s">
        <v>114</v>
      </c>
      <c r="P6" s="252" t="s">
        <v>10</v>
      </c>
      <c r="Q6" s="253" t="s">
        <v>112</v>
      </c>
      <c r="R6" s="253"/>
      <c r="S6" s="253"/>
    </row>
    <row r="7" spans="1:19" x14ac:dyDescent="0.25">
      <c r="A7" s="252"/>
      <c r="B7" s="252" t="s">
        <v>81</v>
      </c>
      <c r="C7" s="252"/>
      <c r="D7" s="253" t="s">
        <v>83</v>
      </c>
      <c r="E7" s="69"/>
      <c r="F7" s="252"/>
      <c r="G7" s="252" t="s">
        <v>81</v>
      </c>
      <c r="H7" s="252"/>
      <c r="I7" s="253" t="s">
        <v>83</v>
      </c>
      <c r="K7" s="252"/>
      <c r="L7" s="252" t="s">
        <v>81</v>
      </c>
      <c r="M7" s="252"/>
      <c r="N7" s="253" t="s">
        <v>83</v>
      </c>
      <c r="P7" s="252"/>
      <c r="Q7" s="252" t="s">
        <v>81</v>
      </c>
      <c r="R7" s="252"/>
      <c r="S7" s="253" t="s">
        <v>83</v>
      </c>
    </row>
    <row r="8" spans="1:19" x14ac:dyDescent="0.25">
      <c r="A8" s="252"/>
      <c r="B8" s="74" t="s">
        <v>84</v>
      </c>
      <c r="C8" s="74" t="s">
        <v>85</v>
      </c>
      <c r="D8" s="253"/>
      <c r="E8" s="6"/>
      <c r="F8" s="252"/>
      <c r="G8" s="74" t="s">
        <v>84</v>
      </c>
      <c r="H8" s="74" t="s">
        <v>85</v>
      </c>
      <c r="I8" s="253"/>
      <c r="K8" s="252"/>
      <c r="L8" s="74" t="s">
        <v>84</v>
      </c>
      <c r="M8" s="74" t="s">
        <v>85</v>
      </c>
      <c r="N8" s="253"/>
      <c r="P8" s="252"/>
      <c r="Q8" s="74" t="s">
        <v>84</v>
      </c>
      <c r="R8" s="74" t="s">
        <v>85</v>
      </c>
      <c r="S8" s="253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79</v>
      </c>
      <c r="K22" t="s">
        <v>119</v>
      </c>
      <c r="L22">
        <v>16000</v>
      </c>
    </row>
    <row r="23" spans="1:19" ht="15.75" thickBot="1" x14ac:dyDescent="0.3">
      <c r="A23" s="260" t="s">
        <v>10</v>
      </c>
      <c r="B23" s="262" t="s">
        <v>80</v>
      </c>
      <c r="C23" s="263"/>
      <c r="D23" s="263"/>
      <c r="E23" s="263"/>
      <c r="F23" s="264"/>
      <c r="K23" t="s">
        <v>120</v>
      </c>
      <c r="L23">
        <v>280</v>
      </c>
      <c r="M23" t="s">
        <v>122</v>
      </c>
    </row>
    <row r="24" spans="1:19" ht="15.75" thickBot="1" x14ac:dyDescent="0.3">
      <c r="A24" s="261"/>
      <c r="B24" s="262" t="s">
        <v>81</v>
      </c>
      <c r="C24" s="264"/>
      <c r="D24" s="262" t="s">
        <v>82</v>
      </c>
      <c r="E24" s="264"/>
      <c r="F24" s="265" t="s">
        <v>83</v>
      </c>
      <c r="K24" t="s">
        <v>121</v>
      </c>
      <c r="L24">
        <v>4800</v>
      </c>
      <c r="M24" t="s">
        <v>122</v>
      </c>
    </row>
    <row r="25" spans="1:19" x14ac:dyDescent="0.25">
      <c r="A25" s="261"/>
      <c r="B25" s="36" t="s">
        <v>84</v>
      </c>
      <c r="C25" s="36" t="s">
        <v>85</v>
      </c>
      <c r="D25" s="36" t="s">
        <v>86</v>
      </c>
      <c r="E25" s="36" t="s">
        <v>85</v>
      </c>
      <c r="F25" s="266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87</v>
      </c>
    </row>
    <row r="40" spans="1:6" ht="15.75" thickBot="1" x14ac:dyDescent="0.3">
      <c r="A40" s="267" t="s">
        <v>10</v>
      </c>
      <c r="B40" s="42" t="s">
        <v>88</v>
      </c>
      <c r="C40" s="43"/>
      <c r="D40" s="43"/>
      <c r="E40" s="43"/>
      <c r="F40" s="43"/>
    </row>
    <row r="41" spans="1:6" ht="15.75" thickBot="1" x14ac:dyDescent="0.3">
      <c r="A41" s="268"/>
      <c r="B41" s="42" t="s">
        <v>81</v>
      </c>
      <c r="C41" s="44"/>
      <c r="D41" s="42" t="s">
        <v>82</v>
      </c>
      <c r="E41" s="44"/>
      <c r="F41" s="45" t="s">
        <v>89</v>
      </c>
    </row>
    <row r="42" spans="1:6" x14ac:dyDescent="0.25">
      <c r="A42" s="268"/>
      <c r="B42" s="46" t="s">
        <v>84</v>
      </c>
      <c r="C42" s="46" t="s">
        <v>85</v>
      </c>
      <c r="D42" s="46" t="s">
        <v>86</v>
      </c>
      <c r="E42" s="46" t="s">
        <v>85</v>
      </c>
      <c r="F42" s="46" t="s">
        <v>90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 t="e">
        <v>#REF!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 t="e">
        <v>#REF!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 t="e">
        <v>#REF!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 t="e">
        <v>#REF!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v>1.6998420538962109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v>1.7650720752018383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v>1.8060740356403577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v>1.8470759960788758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v>1.888077956517396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v>1.9290799169559145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v>1.9700818773944342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91</v>
      </c>
      <c r="B57" s="51"/>
      <c r="C57" s="50"/>
      <c r="D57" s="51"/>
    </row>
    <row r="58" spans="1:6" ht="15.75" thickBot="1" x14ac:dyDescent="0.3">
      <c r="A58" s="254" t="s">
        <v>10</v>
      </c>
      <c r="B58" s="256" t="s">
        <v>92</v>
      </c>
      <c r="C58" s="257"/>
      <c r="D58" s="53" t="s">
        <v>93</v>
      </c>
      <c r="E58" s="54"/>
      <c r="F58" s="55" t="s">
        <v>94</v>
      </c>
    </row>
    <row r="59" spans="1:6" ht="63.75" thickBot="1" x14ac:dyDescent="0.3">
      <c r="A59" s="255"/>
      <c r="B59" s="56" t="s">
        <v>95</v>
      </c>
      <c r="C59" s="56" t="s">
        <v>96</v>
      </c>
      <c r="D59" s="57" t="s">
        <v>97</v>
      </c>
      <c r="E59" s="57" t="s">
        <v>98</v>
      </c>
      <c r="F59" s="58" t="s">
        <v>99</v>
      </c>
    </row>
    <row r="60" spans="1:6" ht="15.75" thickBot="1" x14ac:dyDescent="0.3">
      <c r="A60" s="255"/>
      <c r="B60" s="258" t="s">
        <v>100</v>
      </c>
      <c r="C60" s="59" t="s">
        <v>101</v>
      </c>
      <c r="D60" s="60" t="s">
        <v>102</v>
      </c>
      <c r="E60" s="61" t="s">
        <v>103</v>
      </c>
      <c r="F60" s="62" t="s">
        <v>104</v>
      </c>
    </row>
    <row r="61" spans="1:6" ht="26.25" x14ac:dyDescent="0.25">
      <c r="A61" s="255"/>
      <c r="B61" s="259"/>
      <c r="C61" s="63" t="s">
        <v>105</v>
      </c>
      <c r="D61" s="64"/>
      <c r="E61" s="65" t="s">
        <v>106</v>
      </c>
      <c r="F61" s="66" t="s">
        <v>107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6:A8"/>
    <mergeCell ref="B6:D6"/>
    <mergeCell ref="F6:F8"/>
    <mergeCell ref="G6:I6"/>
    <mergeCell ref="K6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timbulan sampah</vt:lpstr>
      <vt:lpstr>Fraksi pengelolaan sampah BaU</vt:lpstr>
      <vt:lpstr>Sheet1</vt:lpstr>
      <vt:lpstr>Rekapitulasi BaU Emisi GRK</vt:lpstr>
      <vt:lpstr>Rekap BAU Emisi Industri Sawitt</vt:lpstr>
      <vt:lpstr>Frksi pengelolaan smph Mitigasi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2017-09-27T07:20:58Z</dcterms:modified>
</cp:coreProperties>
</file>