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drawings/drawing10.xml" ContentType="application/vnd.openxmlformats-officedocument.drawing+xml"/>
  <Override PartName="/xl/comments15.xml" ContentType="application/vnd.openxmlformats-officedocument.spreadsheetml.comments+xml"/>
  <Override PartName="/xl/drawings/drawing11.xml" ContentType="application/vnd.openxmlformats-officedocument.drawing+xml"/>
  <Override PartName="/xl/comments16.xml" ContentType="application/vnd.openxmlformats-officedocument.spreadsheetml.comments+xml"/>
  <Override PartName="/xl/drawings/drawing12.xml" ContentType="application/vnd.openxmlformats-officedocument.drawing+xml"/>
  <Override PartName="/xl/comments17.xml" ContentType="application/vnd.openxmlformats-officedocument.spreadsheetml.comments+xml"/>
  <Override PartName="/xl/drawings/drawing13.xml" ContentType="application/vnd.openxmlformats-officedocument.drawing+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F:\GIZ_GELAMAI\8_RAD GRK Revisi\Perhitungan BAU Baseline dan Mitigasi_Hitung Ulang\Limbah\Hitungan Limbah_Mitigasi_2010-2030_IW\Balikpapan\"/>
    </mc:Choice>
  </mc:AlternateContent>
  <bookViews>
    <workbookView xWindow="0" yWindow="0" windowWidth="20490" windowHeight="7755" tabRatio="820" firstSheet="1" activeTab="7"/>
  </bookViews>
  <sheets>
    <sheet name="Instructions" sheetId="1" r:id="rId1"/>
    <sheet name="Parameters" sheetId="4" r:id="rId2"/>
    <sheet name="MCF" sheetId="8" r:id="rId3"/>
    <sheet name="Activity" sheetId="6" r:id="rId4"/>
    <sheet name="Dry_Matter_Content" sheetId="30" r:id="rId5"/>
    <sheet name="Amnt_Deposited" sheetId="7" r:id="rId6"/>
    <sheet name="Recovery_OX" sheetId="28" r:id="rId7"/>
    <sheet name="Results" sheetId="17" r:id="rId8"/>
    <sheet name="HWP" sheetId="38" r:id="rId9"/>
    <sheet name="Stored_C" sheetId="39" r:id="rId10"/>
    <sheet name="Theory" sheetId="2" r:id="rId11"/>
    <sheet name="Defaults" sheetId="5" r:id="rId12"/>
    <sheet name="Food" sheetId="18" r:id="rId13"/>
    <sheet name="Paper" sheetId="31" r:id="rId14"/>
    <sheet name="Nappies" sheetId="35" r:id="rId15"/>
    <sheet name="Garden" sheetId="32" r:id="rId16"/>
    <sheet name="Wood" sheetId="34" r:id="rId17"/>
    <sheet name="Textiles" sheetId="33" r:id="rId18"/>
    <sheet name="Sludge" sheetId="36" r:id="rId19"/>
    <sheet name="MSW" sheetId="37" r:id="rId20"/>
    <sheet name="Industry" sheetId="40" r:id="rId21"/>
  </sheets>
  <externalReferences>
    <externalReference r:id="rId22"/>
    <externalReference r:id="rId23"/>
    <externalReference r:id="rId24"/>
  </externalReferences>
  <definedNames>
    <definedName name="CH4_fraction" localSheetId="8">[1]Parameters!$E$39</definedName>
    <definedName name="CH4_fraction" localSheetId="9">[1]Parameters!$E$39</definedName>
    <definedName name="CH4_fraction">Parameters!$E$51</definedName>
    <definedName name="city">Parameters!$D$2</definedName>
    <definedName name="conv" localSheetId="8">[1]Parameters!$E$41</definedName>
    <definedName name="conv" localSheetId="9">[1]Parameters!$E$41</definedName>
    <definedName name="conv">Parameters!$E$53</definedName>
    <definedName name="country" localSheetId="8">[1]Parameters!$D$2</definedName>
    <definedName name="country" localSheetId="9">[1]Parameters!$D$2</definedName>
    <definedName name="country">Parameters!$D$4</definedName>
    <definedName name="DOC_table" localSheetId="8">[1]Defaults!$P$8:$Q$17</definedName>
    <definedName name="DOC_table" localSheetId="9">[1]Defaults!$P$8:$Q$17</definedName>
    <definedName name="DOC_table">Defaults!$P$6:$S$20</definedName>
    <definedName name="DOCF" localSheetId="8">[1]Parameters!$E$23</definedName>
    <definedName name="DOCF" localSheetId="9">[1]Parameters!$E$23</definedName>
    <definedName name="DOCF">Parameters!$E$30</definedName>
    <definedName name="half_life" localSheetId="8">[1]Defaults!$D$8:$K$12</definedName>
    <definedName name="half_life" localSheetId="9">[1]Defaults!$D$8:$K$12</definedName>
    <definedName name="half_life">Defaults!$D$8:$K$12</definedName>
    <definedName name="ox" localSheetId="8">[1]Parameters!$E$43</definedName>
    <definedName name="ox" localSheetId="9">[1]Parameters!$E$43</definedName>
    <definedName name="ox">Parameters!$E$55</definedName>
    <definedName name="_xlnm.Print_Area" localSheetId="0">Instructions!$A$8:$I$158</definedName>
    <definedName name="_xlnm.Print_Area" localSheetId="1">Parameters!$A$1:$F$64</definedName>
    <definedName name="_xlnm.Print_Area" localSheetId="10">Theory!$A$1:$H$72</definedName>
    <definedName name="province">Parameters!$D$3</definedName>
    <definedName name="Regional_data" localSheetId="8">[1]Defaults!$W$8:$AH$26</definedName>
    <definedName name="Regional_data" localSheetId="9">[1]Defaults!$W$8:$AH$26</definedName>
    <definedName name="Regional_data">Defaults!$W$8:$AH$26</definedName>
    <definedName name="Select2" localSheetId="8">[1]Defaults!$O$20</definedName>
    <definedName name="Select2" localSheetId="9">[1]Defaults!$O$20</definedName>
    <definedName name="Select2">Defaults!$O$23</definedName>
    <definedName name="Select3" localSheetId="8">[1]Defaults!$W$5</definedName>
    <definedName name="Select3" localSheetId="9">[1]Defaults!$W$5</definedName>
    <definedName name="Select3">Defaults!$W$5</definedName>
    <definedName name="selected" localSheetId="8">[1]Defaults!$G$17</definedName>
    <definedName name="selected" localSheetId="9">[1]Defaults!$G$17</definedName>
    <definedName name="selected">Defaults!$G$17</definedName>
    <definedName name="year" localSheetId="8">[1]Parameters!$E$9</definedName>
    <definedName name="year" localSheetId="9">[1]Parameters!$E$9</definedName>
    <definedName name="year">Parameters!$E$11</definedName>
  </definedNames>
  <calcPr calcId="152511"/>
  <customWorkbookViews>
    <customWorkbookView name="Per - Personlig visning" guid="{B400968E-E9A7-41C3-9739-36597C9C6BC6}" mergeInterval="0" personalView="1" maximized="1" windowWidth="1020" windowHeight="569"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C25" i="6" l="1"/>
  <c r="C26" i="6"/>
  <c r="C27" i="6"/>
  <c r="C28" i="6"/>
  <c r="C29" i="6"/>
  <c r="C30" i="6"/>
  <c r="C29" i="28" s="1"/>
  <c r="C31" i="6"/>
  <c r="C30" i="28" s="1"/>
  <c r="C32" i="6"/>
  <c r="C31" i="28" s="1"/>
  <c r="C33" i="6"/>
  <c r="C32" i="28" s="1"/>
  <c r="C34" i="6"/>
  <c r="C33" i="28" s="1"/>
  <c r="C35" i="6"/>
  <c r="C34" i="28" s="1"/>
  <c r="C36" i="6"/>
  <c r="C35" i="28" s="1"/>
  <c r="C37" i="6"/>
  <c r="C36" i="28" s="1"/>
  <c r="C38" i="6"/>
  <c r="C37" i="28" s="1"/>
  <c r="C39" i="6"/>
  <c r="C38" i="28" s="1"/>
  <c r="C40" i="6"/>
  <c r="C39" i="28" s="1"/>
  <c r="C41" i="6"/>
  <c r="C40" i="28" s="1"/>
  <c r="C42" i="6"/>
  <c r="C41" i="28" s="1"/>
  <c r="C43" i="6"/>
  <c r="C42" i="28" s="1"/>
  <c r="C24" i="6"/>
  <c r="C14" i="6"/>
  <c r="C15" i="6"/>
  <c r="C16" i="6"/>
  <c r="C17" i="6"/>
  <c r="C18" i="6"/>
  <c r="C19" i="6"/>
  <c r="C20" i="6"/>
  <c r="C21" i="6"/>
  <c r="C22" i="6"/>
  <c r="C23" i="6"/>
  <c r="C13" i="6"/>
  <c r="E21" i="6" l="1"/>
  <c r="S33" i="8"/>
  <c r="C13" i="8"/>
  <c r="E25" i="4" l="1"/>
  <c r="E24" i="4"/>
  <c r="E23" i="4"/>
  <c r="E22" i="4"/>
  <c r="E21" i="4"/>
  <c r="E20" i="4"/>
  <c r="E19" i="4"/>
  <c r="E18" i="4"/>
  <c r="E17" i="4"/>
  <c r="E16" i="4"/>
  <c r="E15" i="4"/>
  <c r="O8" i="6" l="1"/>
  <c r="N8" i="6"/>
  <c r="M8" i="6"/>
  <c r="L8" i="6"/>
  <c r="K8" i="6"/>
  <c r="J8" i="6"/>
  <c r="I8" i="6"/>
  <c r="F8" i="6"/>
  <c r="E8" i="6"/>
  <c r="C116" i="4" l="1"/>
  <c r="E116" i="4" s="1"/>
  <c r="C115" i="4"/>
  <c r="E115" i="4" s="1"/>
  <c r="C114" i="4"/>
  <c r="E114" i="4" s="1"/>
  <c r="C113" i="4"/>
  <c r="E113" i="4" s="1"/>
  <c r="E112" i="4"/>
  <c r="C111" i="4"/>
  <c r="E111" i="4" s="1"/>
  <c r="E110" i="4"/>
  <c r="C109" i="4"/>
  <c r="E109" i="4" s="1"/>
  <c r="C108" i="4"/>
  <c r="E108" i="4" s="1"/>
  <c r="C105" i="4"/>
  <c r="E105" i="4" s="1"/>
  <c r="C104" i="4"/>
  <c r="E104" i="4" s="1"/>
  <c r="C103" i="4"/>
  <c r="E103" i="4" s="1"/>
  <c r="C102" i="4"/>
  <c r="E102" i="4" s="1"/>
  <c r="C101" i="4"/>
  <c r="E101" i="4" s="1"/>
  <c r="C100" i="4"/>
  <c r="E100" i="4" s="1"/>
  <c r="C99" i="4"/>
  <c r="E99" i="4" s="1"/>
  <c r="C98" i="4"/>
  <c r="E98" i="4" s="1"/>
  <c r="C97" i="4"/>
  <c r="E97" i="4" s="1"/>
  <c r="C94" i="4"/>
  <c r="E94" i="4" s="1"/>
  <c r="E93" i="4"/>
  <c r="E92" i="4"/>
  <c r="E91" i="4"/>
  <c r="E90" i="4"/>
  <c r="E89" i="4"/>
  <c r="E88" i="4"/>
  <c r="E87" i="4"/>
  <c r="E86" i="4"/>
  <c r="E106" i="4" l="1"/>
  <c r="E95" i="4"/>
  <c r="E117" i="4"/>
  <c r="B13" i="38"/>
  <c r="B14" i="38" s="1"/>
  <c r="B15" i="38" s="1"/>
  <c r="B16" i="38" s="1"/>
  <c r="B17" i="38" s="1"/>
  <c r="B18" i="38" s="1"/>
  <c r="B19" i="38" s="1"/>
  <c r="B20" i="38" s="1"/>
  <c r="B21" i="38" s="1"/>
  <c r="B22" i="38" s="1"/>
  <c r="B23" i="38" s="1"/>
  <c r="B24" i="38" s="1"/>
  <c r="B25" i="38" s="1"/>
  <c r="B26" i="38" s="1"/>
  <c r="B27" i="38" s="1"/>
  <c r="B28" i="38" s="1"/>
  <c r="B29" i="38" s="1"/>
  <c r="B30" i="38" s="1"/>
  <c r="B31" i="38" s="1"/>
  <c r="B32" i="38" s="1"/>
  <c r="B33" i="38" s="1"/>
  <c r="B34" i="38" s="1"/>
  <c r="B35" i="38" s="1"/>
  <c r="B36" i="38" s="1"/>
  <c r="B37" i="38" s="1"/>
  <c r="B38" i="38" s="1"/>
  <c r="B39" i="38" s="1"/>
  <c r="B40" i="38" s="1"/>
  <c r="B41" i="38" s="1"/>
  <c r="B42" i="38" s="1"/>
  <c r="B43" i="38" s="1"/>
  <c r="B44" i="38" s="1"/>
  <c r="B45" i="38" s="1"/>
  <c r="B46" i="38" s="1"/>
  <c r="B47" i="38" s="1"/>
  <c r="B48" i="38" s="1"/>
  <c r="B49" i="38" s="1"/>
  <c r="B50" i="38" s="1"/>
  <c r="B51" i="38" s="1"/>
  <c r="B52" i="38" s="1"/>
  <c r="B53" i="38" s="1"/>
  <c r="B54" i="38" s="1"/>
  <c r="B55" i="38" s="1"/>
  <c r="B56" i="38" s="1"/>
  <c r="B57" i="38" s="1"/>
  <c r="B58" i="38" s="1"/>
  <c r="B59" i="38" s="1"/>
  <c r="B60" i="38" s="1"/>
  <c r="B61" i="38" s="1"/>
  <c r="B62" i="38" s="1"/>
  <c r="B63" i="38" s="1"/>
  <c r="B64" i="38" s="1"/>
  <c r="B65" i="38" s="1"/>
  <c r="B66" i="38" s="1"/>
  <c r="B67" i="38" s="1"/>
  <c r="B68" i="38" s="1"/>
  <c r="B69" i="38" s="1"/>
  <c r="B70" i="38" s="1"/>
  <c r="B71" i="38" s="1"/>
  <c r="B72" i="38" s="1"/>
  <c r="B73" i="38" s="1"/>
  <c r="B74" i="38" s="1"/>
  <c r="B75" i="38" s="1"/>
  <c r="B76" i="38" s="1"/>
  <c r="B77" i="38" s="1"/>
  <c r="B78" i="38" s="1"/>
  <c r="B79" i="38" s="1"/>
  <c r="B80" i="38" s="1"/>
  <c r="B81" i="38" s="1"/>
  <c r="B82" i="38" s="1"/>
  <c r="B83" i="38" s="1"/>
  <c r="B84" i="38" s="1"/>
  <c r="B85" i="38" s="1"/>
  <c r="B86" i="38" s="1"/>
  <c r="B87" i="38" s="1"/>
  <c r="B88" i="38" s="1"/>
  <c r="B89" i="38" s="1"/>
  <c r="B90" i="38" s="1"/>
  <c r="B91" i="38" s="1"/>
  <c r="B92" i="38" s="1"/>
  <c r="B19" i="39"/>
  <c r="B20" i="39" s="1"/>
  <c r="B21" i="39" s="1"/>
  <c r="B22" i="39" s="1"/>
  <c r="B23" i="39" s="1"/>
  <c r="B24" i="39" s="1"/>
  <c r="B25" i="39" s="1"/>
  <c r="B26" i="39" s="1"/>
  <c r="B27" i="39" s="1"/>
  <c r="B28" i="39" s="1"/>
  <c r="B29" i="39" s="1"/>
  <c r="B30" i="39" s="1"/>
  <c r="B31" i="39" s="1"/>
  <c r="B32" i="39" s="1"/>
  <c r="B33" i="39" s="1"/>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B67" i="39" s="1"/>
  <c r="B68" i="39" s="1"/>
  <c r="B69" i="39" s="1"/>
  <c r="B70" i="39" s="1"/>
  <c r="B71" i="39" s="1"/>
  <c r="B72" i="39" s="1"/>
  <c r="B73" i="39" s="1"/>
  <c r="B74" i="39" s="1"/>
  <c r="B75" i="39" s="1"/>
  <c r="B76" i="39" s="1"/>
  <c r="B77" i="39" s="1"/>
  <c r="B78" i="39" s="1"/>
  <c r="B79" i="39" s="1"/>
  <c r="B80" i="39" s="1"/>
  <c r="B81" i="39" s="1"/>
  <c r="B82" i="39" s="1"/>
  <c r="B83" i="39" s="1"/>
  <c r="B84" i="39" s="1"/>
  <c r="B85" i="39" s="1"/>
  <c r="B86" i="39" s="1"/>
  <c r="B87" i="39" s="1"/>
  <c r="B88" i="39" s="1"/>
  <c r="B89" i="39" s="1"/>
  <c r="B90" i="39" s="1"/>
  <c r="B91" i="39" s="1"/>
  <c r="B92" i="39" s="1"/>
  <c r="B93" i="39" s="1"/>
  <c r="B94" i="39" s="1"/>
  <c r="B95" i="39" s="1"/>
  <c r="B96" i="39" s="1"/>
  <c r="B97" i="39" s="1"/>
  <c r="B98" i="39" s="1"/>
  <c r="D2" i="39"/>
  <c r="D3" i="39"/>
  <c r="P99" i="36"/>
  <c r="P98" i="36"/>
  <c r="P97" i="36"/>
  <c r="P96" i="36"/>
  <c r="P95" i="36"/>
  <c r="P94" i="36"/>
  <c r="P93" i="36"/>
  <c r="P92" i="36"/>
  <c r="P91" i="36"/>
  <c r="P90" i="36"/>
  <c r="P89" i="36"/>
  <c r="P88" i="36"/>
  <c r="P87" i="36"/>
  <c r="P86" i="36"/>
  <c r="P85" i="36"/>
  <c r="P84" i="36"/>
  <c r="P83" i="36"/>
  <c r="P82" i="36"/>
  <c r="P81" i="36"/>
  <c r="P80" i="36"/>
  <c r="P79" i="36"/>
  <c r="P78" i="36"/>
  <c r="P77" i="36"/>
  <c r="P76" i="36"/>
  <c r="P75" i="36"/>
  <c r="P74" i="36"/>
  <c r="P73" i="36"/>
  <c r="P72" i="36"/>
  <c r="P71" i="36"/>
  <c r="P70" i="36"/>
  <c r="P69" i="36"/>
  <c r="P68" i="36"/>
  <c r="P67" i="36"/>
  <c r="P66" i="36"/>
  <c r="P65" i="36"/>
  <c r="P64" i="36"/>
  <c r="P63" i="36"/>
  <c r="P62" i="36"/>
  <c r="P61" i="36"/>
  <c r="P60" i="36"/>
  <c r="P59" i="36"/>
  <c r="P58" i="36"/>
  <c r="P57" i="36"/>
  <c r="P56" i="36"/>
  <c r="P55" i="36"/>
  <c r="P54" i="36"/>
  <c r="P53" i="36"/>
  <c r="P52" i="36"/>
  <c r="P51" i="36"/>
  <c r="P50" i="36"/>
  <c r="P49" i="36"/>
  <c r="P48" i="36"/>
  <c r="P47" i="36"/>
  <c r="P46" i="36"/>
  <c r="P45" i="36"/>
  <c r="P44" i="36"/>
  <c r="P43" i="36"/>
  <c r="P42" i="36"/>
  <c r="P41" i="36"/>
  <c r="P40" i="36"/>
  <c r="P39" i="36"/>
  <c r="P38" i="36"/>
  <c r="P37" i="36"/>
  <c r="P36" i="36"/>
  <c r="P35" i="36"/>
  <c r="P34" i="36"/>
  <c r="P33" i="36"/>
  <c r="P32" i="36"/>
  <c r="P31" i="36"/>
  <c r="P30" i="36"/>
  <c r="P29" i="36"/>
  <c r="P28" i="36"/>
  <c r="P27" i="36"/>
  <c r="P26" i="36"/>
  <c r="P25" i="36"/>
  <c r="P24" i="36"/>
  <c r="P23" i="36"/>
  <c r="P22" i="36"/>
  <c r="P21" i="36"/>
  <c r="P20" i="36"/>
  <c r="P19" i="36"/>
  <c r="C99" i="36"/>
  <c r="C98" i="36"/>
  <c r="C97" i="36"/>
  <c r="C96" i="36"/>
  <c r="C95" i="36"/>
  <c r="C94" i="36"/>
  <c r="C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D99" i="40"/>
  <c r="D98" i="40"/>
  <c r="D97" i="40"/>
  <c r="D96" i="40"/>
  <c r="D95" i="40"/>
  <c r="D94" i="40"/>
  <c r="D93" i="40"/>
  <c r="D92" i="40"/>
  <c r="D91" i="40"/>
  <c r="D90" i="40"/>
  <c r="D89" i="40"/>
  <c r="D88" i="40"/>
  <c r="D87" i="40"/>
  <c r="D86" i="40"/>
  <c r="D85" i="40"/>
  <c r="D84" i="40"/>
  <c r="D83" i="40"/>
  <c r="D82" i="40"/>
  <c r="D81" i="40"/>
  <c r="D80" i="40"/>
  <c r="D79" i="40"/>
  <c r="D78" i="40"/>
  <c r="D77" i="40"/>
  <c r="D76" i="40"/>
  <c r="D75" i="40"/>
  <c r="D74" i="40"/>
  <c r="D73" i="40"/>
  <c r="D72" i="40"/>
  <c r="D71" i="40"/>
  <c r="D70" i="40"/>
  <c r="D69" i="40"/>
  <c r="D68" i="40"/>
  <c r="D67" i="40"/>
  <c r="D66" i="40"/>
  <c r="D65" i="40"/>
  <c r="D64" i="40"/>
  <c r="D63" i="40"/>
  <c r="D62" i="40"/>
  <c r="D61" i="40"/>
  <c r="D60" i="40"/>
  <c r="D59" i="40"/>
  <c r="D58" i="40"/>
  <c r="D57" i="40"/>
  <c r="D56" i="40"/>
  <c r="D55" i="40"/>
  <c r="D54" i="40"/>
  <c r="D53" i="40"/>
  <c r="D52" i="40"/>
  <c r="D51" i="40"/>
  <c r="D50" i="40"/>
  <c r="D49" i="40"/>
  <c r="D48" i="40"/>
  <c r="D47" i="40"/>
  <c r="D46" i="40"/>
  <c r="D45" i="40"/>
  <c r="D44" i="40"/>
  <c r="D43" i="40"/>
  <c r="D42" i="40"/>
  <c r="D41" i="40"/>
  <c r="D40" i="40"/>
  <c r="D39" i="40"/>
  <c r="D38" i="40"/>
  <c r="D37" i="40"/>
  <c r="D36" i="40"/>
  <c r="D35" i="40"/>
  <c r="D34" i="40"/>
  <c r="D33" i="40"/>
  <c r="D32" i="40"/>
  <c r="D31" i="40"/>
  <c r="D30" i="40"/>
  <c r="D29" i="40"/>
  <c r="D28" i="40"/>
  <c r="D27" i="40"/>
  <c r="D26" i="40"/>
  <c r="D25" i="40"/>
  <c r="D24" i="40"/>
  <c r="D23" i="40"/>
  <c r="D22" i="40"/>
  <c r="D21" i="40"/>
  <c r="D20" i="40"/>
  <c r="D19" i="40"/>
  <c r="D99" i="35"/>
  <c r="D98" i="35"/>
  <c r="D97" i="35"/>
  <c r="D96" i="35"/>
  <c r="D95" i="35"/>
  <c r="D94" i="35"/>
  <c r="D93" i="35"/>
  <c r="D92" i="35"/>
  <c r="D91" i="35"/>
  <c r="D90" i="35"/>
  <c r="D89" i="35"/>
  <c r="D88" i="35"/>
  <c r="D87" i="35"/>
  <c r="D86" i="35"/>
  <c r="D85" i="35"/>
  <c r="D84" i="35"/>
  <c r="D83" i="35"/>
  <c r="D82" i="35"/>
  <c r="D81" i="35"/>
  <c r="D80" i="35"/>
  <c r="D79" i="35"/>
  <c r="D78" i="35"/>
  <c r="D77" i="35"/>
  <c r="D76" i="35"/>
  <c r="D75" i="35"/>
  <c r="D74" i="35"/>
  <c r="D73" i="35"/>
  <c r="D72" i="35"/>
  <c r="D71" i="35"/>
  <c r="D70" i="35"/>
  <c r="D69" i="35"/>
  <c r="D68" i="35"/>
  <c r="D67" i="35"/>
  <c r="D66" i="35"/>
  <c r="D65" i="35"/>
  <c r="D64" i="35"/>
  <c r="D63" i="35"/>
  <c r="D62" i="35"/>
  <c r="D61" i="35"/>
  <c r="D60" i="35"/>
  <c r="D59" i="35"/>
  <c r="D58" i="35"/>
  <c r="D57" i="35"/>
  <c r="D56" i="35"/>
  <c r="D55" i="35"/>
  <c r="D54" i="35"/>
  <c r="D53" i="35"/>
  <c r="D52" i="35"/>
  <c r="D51" i="35"/>
  <c r="D50" i="35"/>
  <c r="D49" i="35"/>
  <c r="D48" i="35"/>
  <c r="D47" i="35"/>
  <c r="D46" i="35"/>
  <c r="D45" i="35"/>
  <c r="D44" i="35"/>
  <c r="D43" i="35"/>
  <c r="D42" i="35"/>
  <c r="D41" i="35"/>
  <c r="D40" i="35"/>
  <c r="D39" i="35"/>
  <c r="D38" i="35"/>
  <c r="D37" i="35"/>
  <c r="D36" i="35"/>
  <c r="D35" i="35"/>
  <c r="D34" i="35"/>
  <c r="D33" i="35"/>
  <c r="D32" i="35"/>
  <c r="D31" i="35"/>
  <c r="D30" i="35"/>
  <c r="D29" i="35"/>
  <c r="D28" i="35"/>
  <c r="D27" i="35"/>
  <c r="D26" i="35"/>
  <c r="D25" i="35"/>
  <c r="D24" i="35"/>
  <c r="D23" i="35"/>
  <c r="D22" i="35"/>
  <c r="D21" i="35"/>
  <c r="D20" i="35"/>
  <c r="D19" i="35"/>
  <c r="D99" i="34"/>
  <c r="D98" i="34"/>
  <c r="D97" i="34"/>
  <c r="D96" i="34"/>
  <c r="D95" i="34"/>
  <c r="D94" i="34"/>
  <c r="D93" i="34"/>
  <c r="D92" i="34"/>
  <c r="D91" i="34"/>
  <c r="D90" i="34"/>
  <c r="D89" i="34"/>
  <c r="D88" i="34"/>
  <c r="D87" i="34"/>
  <c r="D86" i="34"/>
  <c r="D85" i="34"/>
  <c r="D84" i="34"/>
  <c r="D83" i="34"/>
  <c r="D82" i="34"/>
  <c r="D81" i="34"/>
  <c r="D80" i="34"/>
  <c r="D79" i="34"/>
  <c r="D78" i="34"/>
  <c r="D77" i="34"/>
  <c r="D76" i="34"/>
  <c r="D75" i="34"/>
  <c r="D74" i="34"/>
  <c r="D73" i="34"/>
  <c r="D72" i="34"/>
  <c r="D71" i="34"/>
  <c r="D70" i="34"/>
  <c r="D69" i="34"/>
  <c r="D68" i="34"/>
  <c r="D67" i="34"/>
  <c r="D66" i="34"/>
  <c r="D65" i="34"/>
  <c r="D64" i="34"/>
  <c r="D63" i="34"/>
  <c r="D62" i="34"/>
  <c r="D61" i="34"/>
  <c r="D60" i="34"/>
  <c r="D59" i="34"/>
  <c r="D58" i="34"/>
  <c r="D57" i="34"/>
  <c r="D56" i="34"/>
  <c r="D55" i="34"/>
  <c r="D54" i="34"/>
  <c r="D53" i="34"/>
  <c r="D52" i="34"/>
  <c r="D51" i="34"/>
  <c r="D50" i="34"/>
  <c r="D49" i="34"/>
  <c r="D48" i="34"/>
  <c r="D47" i="34"/>
  <c r="D46" i="34"/>
  <c r="D45" i="34"/>
  <c r="D44" i="34"/>
  <c r="D43" i="34"/>
  <c r="D42" i="34"/>
  <c r="D41" i="34"/>
  <c r="D40" i="34"/>
  <c r="D39" i="34"/>
  <c r="D38" i="34"/>
  <c r="D37" i="34"/>
  <c r="D36" i="34"/>
  <c r="D35" i="34"/>
  <c r="D34" i="34"/>
  <c r="D33" i="34"/>
  <c r="D32" i="34"/>
  <c r="D31" i="34"/>
  <c r="D30" i="34"/>
  <c r="D29" i="34"/>
  <c r="D28" i="34"/>
  <c r="D27" i="34"/>
  <c r="D26" i="34"/>
  <c r="D25" i="34"/>
  <c r="D24" i="34"/>
  <c r="D23" i="34"/>
  <c r="D22" i="34"/>
  <c r="D21" i="34"/>
  <c r="D20" i="34"/>
  <c r="D19" i="34"/>
  <c r="I98" i="8"/>
  <c r="J98" i="8"/>
  <c r="K98" i="8"/>
  <c r="L98" i="8"/>
  <c r="S98" i="8" s="1"/>
  <c r="M98" i="8"/>
  <c r="I97" i="8"/>
  <c r="J97" i="8"/>
  <c r="K97" i="8"/>
  <c r="L97" i="8"/>
  <c r="M97" i="8"/>
  <c r="S97" i="8"/>
  <c r="I96" i="8"/>
  <c r="J96" i="8"/>
  <c r="K96" i="8"/>
  <c r="L96" i="8"/>
  <c r="S96" i="8" s="1"/>
  <c r="M96" i="8"/>
  <c r="I95" i="8"/>
  <c r="J95" i="8"/>
  <c r="K95" i="8"/>
  <c r="L95" i="8"/>
  <c r="M95" i="8"/>
  <c r="S95" i="8"/>
  <c r="I94" i="8"/>
  <c r="J94" i="8"/>
  <c r="K94" i="8"/>
  <c r="L94" i="8"/>
  <c r="S94" i="8" s="1"/>
  <c r="M94" i="8"/>
  <c r="I93" i="8"/>
  <c r="J93" i="8"/>
  <c r="K93" i="8"/>
  <c r="L93" i="8"/>
  <c r="M93" i="8"/>
  <c r="S93" i="8"/>
  <c r="I92" i="8"/>
  <c r="J92" i="8"/>
  <c r="K92" i="8"/>
  <c r="L92" i="8"/>
  <c r="S92" i="8" s="1"/>
  <c r="M92" i="8"/>
  <c r="I91" i="8"/>
  <c r="J91" i="8"/>
  <c r="K91" i="8"/>
  <c r="L91" i="8"/>
  <c r="M91" i="8"/>
  <c r="S91" i="8"/>
  <c r="I90" i="8"/>
  <c r="J90" i="8"/>
  <c r="K90" i="8"/>
  <c r="L90" i="8"/>
  <c r="S90" i="8" s="1"/>
  <c r="M90" i="8"/>
  <c r="I89" i="8"/>
  <c r="J89" i="8"/>
  <c r="K89" i="8"/>
  <c r="L89" i="8"/>
  <c r="M89" i="8"/>
  <c r="S89" i="8"/>
  <c r="I88" i="8"/>
  <c r="J88" i="8"/>
  <c r="K88" i="8"/>
  <c r="L88" i="8"/>
  <c r="S88" i="8" s="1"/>
  <c r="M88" i="8"/>
  <c r="I87" i="8"/>
  <c r="J87" i="8"/>
  <c r="K87" i="8"/>
  <c r="L87" i="8"/>
  <c r="M87" i="8"/>
  <c r="S87" i="8"/>
  <c r="I86" i="8"/>
  <c r="J86" i="8"/>
  <c r="K86" i="8"/>
  <c r="L86" i="8"/>
  <c r="S86" i="8" s="1"/>
  <c r="M86" i="8"/>
  <c r="I85" i="8"/>
  <c r="J85" i="8"/>
  <c r="K85" i="8"/>
  <c r="L85" i="8"/>
  <c r="M85" i="8"/>
  <c r="S85" i="8"/>
  <c r="I84" i="8"/>
  <c r="J84" i="8"/>
  <c r="K84" i="8"/>
  <c r="L84" i="8"/>
  <c r="S84" i="8" s="1"/>
  <c r="M84" i="8"/>
  <c r="I83" i="8"/>
  <c r="J83" i="8"/>
  <c r="N83" i="8" s="1"/>
  <c r="K83" i="8"/>
  <c r="L83" i="8"/>
  <c r="M83" i="8"/>
  <c r="S83" i="8"/>
  <c r="I82" i="8"/>
  <c r="J82" i="8"/>
  <c r="K82" i="8"/>
  <c r="L82" i="8"/>
  <c r="S82" i="8" s="1"/>
  <c r="M82" i="8"/>
  <c r="I81" i="8"/>
  <c r="J81" i="8"/>
  <c r="K81" i="8"/>
  <c r="L81" i="8"/>
  <c r="M81" i="8"/>
  <c r="S81" i="8"/>
  <c r="I80" i="8"/>
  <c r="J80" i="8"/>
  <c r="K80" i="8"/>
  <c r="L80" i="8"/>
  <c r="S80" i="8" s="1"/>
  <c r="M80" i="8"/>
  <c r="I79" i="8"/>
  <c r="J79" i="8"/>
  <c r="K79" i="8"/>
  <c r="L79" i="8"/>
  <c r="M79" i="8"/>
  <c r="S79" i="8"/>
  <c r="I78" i="8"/>
  <c r="J78" i="8"/>
  <c r="K78" i="8"/>
  <c r="L78" i="8"/>
  <c r="S78" i="8" s="1"/>
  <c r="M78" i="8"/>
  <c r="I77" i="8"/>
  <c r="J77" i="8"/>
  <c r="K77" i="8"/>
  <c r="L77" i="8"/>
  <c r="M77" i="8"/>
  <c r="S77" i="8"/>
  <c r="I76" i="8"/>
  <c r="J76" i="8"/>
  <c r="K76" i="8"/>
  <c r="L76" i="8"/>
  <c r="S76" i="8" s="1"/>
  <c r="M76" i="8"/>
  <c r="I75" i="8"/>
  <c r="J75" i="8"/>
  <c r="K75" i="8"/>
  <c r="L75" i="8"/>
  <c r="M75" i="8"/>
  <c r="S75" i="8"/>
  <c r="I74" i="8"/>
  <c r="J74" i="8"/>
  <c r="K74" i="8"/>
  <c r="L74" i="8"/>
  <c r="S74" i="8" s="1"/>
  <c r="M74" i="8"/>
  <c r="I73" i="8"/>
  <c r="J73" i="8"/>
  <c r="K73" i="8"/>
  <c r="L73" i="8"/>
  <c r="M73" i="8"/>
  <c r="S73" i="8"/>
  <c r="I72" i="8"/>
  <c r="J72" i="8"/>
  <c r="K72" i="8"/>
  <c r="L72" i="8"/>
  <c r="S72" i="8" s="1"/>
  <c r="M72" i="8"/>
  <c r="I71" i="8"/>
  <c r="J71" i="8"/>
  <c r="K71" i="8"/>
  <c r="L71" i="8"/>
  <c r="M71" i="8"/>
  <c r="S71" i="8"/>
  <c r="I70" i="8"/>
  <c r="J70" i="8"/>
  <c r="K70" i="8"/>
  <c r="L70" i="8"/>
  <c r="S70" i="8" s="1"/>
  <c r="M70" i="8"/>
  <c r="I69" i="8"/>
  <c r="J69" i="8"/>
  <c r="K69" i="8"/>
  <c r="L69" i="8"/>
  <c r="M69" i="8"/>
  <c r="S69" i="8"/>
  <c r="I68" i="8"/>
  <c r="J68" i="8"/>
  <c r="K68" i="8"/>
  <c r="L68" i="8"/>
  <c r="S68" i="8" s="1"/>
  <c r="M68" i="8"/>
  <c r="I67" i="8"/>
  <c r="J67" i="8"/>
  <c r="N67" i="8" s="1"/>
  <c r="K67" i="8"/>
  <c r="L67" i="8"/>
  <c r="M67" i="8"/>
  <c r="I66" i="8"/>
  <c r="J66" i="8"/>
  <c r="K66" i="8"/>
  <c r="L66" i="8"/>
  <c r="S66" i="8" s="1"/>
  <c r="M66" i="8"/>
  <c r="I65" i="8"/>
  <c r="J65" i="8"/>
  <c r="K65" i="8"/>
  <c r="L65" i="8"/>
  <c r="M65" i="8"/>
  <c r="S65" i="8"/>
  <c r="I64" i="8"/>
  <c r="J64" i="8"/>
  <c r="K64" i="8"/>
  <c r="L64" i="8"/>
  <c r="S64" i="8" s="1"/>
  <c r="M64" i="8"/>
  <c r="I63" i="8"/>
  <c r="J63" i="8"/>
  <c r="K63" i="8"/>
  <c r="L63" i="8"/>
  <c r="M63" i="8"/>
  <c r="S63" i="8"/>
  <c r="I62" i="8"/>
  <c r="J62" i="8"/>
  <c r="K62" i="8"/>
  <c r="L62" i="8"/>
  <c r="S62" i="8" s="1"/>
  <c r="M62" i="8"/>
  <c r="I61" i="8"/>
  <c r="J61" i="8"/>
  <c r="K61" i="8"/>
  <c r="L61" i="8"/>
  <c r="M61" i="8"/>
  <c r="S61" i="8"/>
  <c r="I60" i="8"/>
  <c r="J60" i="8"/>
  <c r="K60" i="8"/>
  <c r="L60" i="8"/>
  <c r="S60" i="8" s="1"/>
  <c r="M60" i="8"/>
  <c r="I59" i="8"/>
  <c r="J59" i="8"/>
  <c r="K59" i="8"/>
  <c r="L59" i="8"/>
  <c r="M59" i="8"/>
  <c r="S59" i="8"/>
  <c r="I58" i="8"/>
  <c r="J58" i="8"/>
  <c r="K58" i="8"/>
  <c r="L58" i="8"/>
  <c r="S58" i="8" s="1"/>
  <c r="M58" i="8"/>
  <c r="I57" i="8"/>
  <c r="J57" i="8"/>
  <c r="K57" i="8"/>
  <c r="L57" i="8"/>
  <c r="M57" i="8"/>
  <c r="S57" i="8"/>
  <c r="I56" i="8"/>
  <c r="J56" i="8"/>
  <c r="K56" i="8"/>
  <c r="L56" i="8"/>
  <c r="S56" i="8" s="1"/>
  <c r="M56" i="8"/>
  <c r="I55" i="8"/>
  <c r="J55" i="8"/>
  <c r="K55" i="8"/>
  <c r="L55" i="8"/>
  <c r="M55" i="8"/>
  <c r="S55" i="8"/>
  <c r="I54" i="8"/>
  <c r="J54" i="8"/>
  <c r="K54" i="8"/>
  <c r="L54" i="8"/>
  <c r="S54" i="8" s="1"/>
  <c r="M54" i="8"/>
  <c r="I53" i="8"/>
  <c r="J53" i="8"/>
  <c r="K53" i="8"/>
  <c r="L53" i="8"/>
  <c r="M53" i="8"/>
  <c r="S53" i="8"/>
  <c r="I52" i="8"/>
  <c r="J52" i="8"/>
  <c r="K52" i="8"/>
  <c r="L52" i="8"/>
  <c r="S52" i="8" s="1"/>
  <c r="M52" i="8"/>
  <c r="I51" i="8"/>
  <c r="J51" i="8"/>
  <c r="N51" i="8" s="1"/>
  <c r="K51" i="8"/>
  <c r="L51" i="8"/>
  <c r="M51" i="8"/>
  <c r="S51" i="8"/>
  <c r="I50" i="8"/>
  <c r="J50" i="8"/>
  <c r="K50" i="8"/>
  <c r="L50" i="8"/>
  <c r="S50" i="8" s="1"/>
  <c r="M50" i="8"/>
  <c r="I49" i="8"/>
  <c r="J49" i="8"/>
  <c r="K49" i="8"/>
  <c r="L49" i="8"/>
  <c r="M49" i="8"/>
  <c r="S49" i="8"/>
  <c r="I48" i="8"/>
  <c r="J48" i="8"/>
  <c r="K48" i="8"/>
  <c r="L48" i="8"/>
  <c r="S48" i="8" s="1"/>
  <c r="M48" i="8"/>
  <c r="I47" i="8"/>
  <c r="J47" i="8"/>
  <c r="K47" i="8"/>
  <c r="L47" i="8"/>
  <c r="M47" i="8"/>
  <c r="S47" i="8"/>
  <c r="I46" i="8"/>
  <c r="J46" i="8"/>
  <c r="K46" i="8"/>
  <c r="L46" i="8"/>
  <c r="S46" i="8" s="1"/>
  <c r="M46" i="8"/>
  <c r="I45" i="8"/>
  <c r="J45" i="8"/>
  <c r="K45" i="8"/>
  <c r="L45" i="8"/>
  <c r="M45" i="8"/>
  <c r="S45" i="8"/>
  <c r="I44" i="8"/>
  <c r="J44" i="8"/>
  <c r="K44" i="8"/>
  <c r="L44" i="8"/>
  <c r="S44" i="8" s="1"/>
  <c r="M44" i="8"/>
  <c r="I43" i="8"/>
  <c r="J43" i="8"/>
  <c r="K43" i="8"/>
  <c r="L43" i="8"/>
  <c r="M43" i="8"/>
  <c r="S43" i="8"/>
  <c r="I42" i="8"/>
  <c r="J42" i="8"/>
  <c r="K42" i="8"/>
  <c r="L42" i="8"/>
  <c r="S42" i="8" s="1"/>
  <c r="M42" i="8"/>
  <c r="I41" i="8"/>
  <c r="J41" i="8"/>
  <c r="K41" i="8"/>
  <c r="L41" i="8"/>
  <c r="M41" i="8"/>
  <c r="S41" i="8"/>
  <c r="I40" i="8"/>
  <c r="J40" i="8"/>
  <c r="K40" i="8"/>
  <c r="L40" i="8"/>
  <c r="S40" i="8" s="1"/>
  <c r="M40" i="8"/>
  <c r="I39" i="8"/>
  <c r="J39" i="8"/>
  <c r="K39" i="8"/>
  <c r="L39" i="8"/>
  <c r="M39" i="8"/>
  <c r="S39" i="8"/>
  <c r="I38" i="8"/>
  <c r="J38" i="8"/>
  <c r="K38" i="8"/>
  <c r="L38" i="8"/>
  <c r="S38" i="8" s="1"/>
  <c r="M38" i="8"/>
  <c r="I37" i="8"/>
  <c r="J37" i="8"/>
  <c r="K37" i="8"/>
  <c r="L37" i="8"/>
  <c r="M37" i="8"/>
  <c r="S37" i="8"/>
  <c r="I36" i="8"/>
  <c r="J36" i="8"/>
  <c r="K36" i="8"/>
  <c r="L36" i="8"/>
  <c r="S36" i="8" s="1"/>
  <c r="M36" i="8"/>
  <c r="I35" i="8"/>
  <c r="J35" i="8"/>
  <c r="N35" i="8" s="1"/>
  <c r="K35" i="8"/>
  <c r="L35" i="8"/>
  <c r="M35" i="8"/>
  <c r="S35" i="8"/>
  <c r="I34" i="8"/>
  <c r="J34" i="8"/>
  <c r="K34" i="8"/>
  <c r="L34" i="8"/>
  <c r="S34" i="8" s="1"/>
  <c r="M34" i="8"/>
  <c r="I33" i="8"/>
  <c r="J33" i="8"/>
  <c r="K33" i="8"/>
  <c r="L33" i="8"/>
  <c r="M33" i="8"/>
  <c r="I32" i="8"/>
  <c r="J32" i="8"/>
  <c r="K32" i="8"/>
  <c r="L32" i="8"/>
  <c r="S32" i="8" s="1"/>
  <c r="M32" i="8"/>
  <c r="I31" i="8"/>
  <c r="J31" i="8"/>
  <c r="K31" i="8"/>
  <c r="L31" i="8"/>
  <c r="M31" i="8"/>
  <c r="S31" i="8"/>
  <c r="I30" i="8"/>
  <c r="J30" i="8"/>
  <c r="K30" i="8"/>
  <c r="L30" i="8"/>
  <c r="S30" i="8" s="1"/>
  <c r="M30" i="8"/>
  <c r="I29" i="8"/>
  <c r="J29" i="8"/>
  <c r="K29" i="8"/>
  <c r="L29" i="8"/>
  <c r="M29" i="8"/>
  <c r="S29" i="8"/>
  <c r="I28" i="8"/>
  <c r="J28" i="8"/>
  <c r="K28" i="8"/>
  <c r="L28" i="8"/>
  <c r="S28" i="8" s="1"/>
  <c r="M28" i="8"/>
  <c r="I27" i="8"/>
  <c r="J27" i="8"/>
  <c r="K27" i="8"/>
  <c r="L27" i="8"/>
  <c r="M27" i="8"/>
  <c r="S27" i="8"/>
  <c r="I26" i="8"/>
  <c r="J26" i="8"/>
  <c r="K26" i="8"/>
  <c r="L26" i="8"/>
  <c r="S26" i="8" s="1"/>
  <c r="M26" i="8"/>
  <c r="I25" i="8"/>
  <c r="J25" i="8"/>
  <c r="K25" i="8"/>
  <c r="L25" i="8"/>
  <c r="M25" i="8"/>
  <c r="S25" i="8"/>
  <c r="I24" i="8"/>
  <c r="J24" i="8"/>
  <c r="K24" i="8"/>
  <c r="L24" i="8"/>
  <c r="S24" i="8" s="1"/>
  <c r="M24" i="8"/>
  <c r="I23" i="8"/>
  <c r="J23" i="8"/>
  <c r="K23" i="8"/>
  <c r="L23" i="8"/>
  <c r="M23" i="8"/>
  <c r="S23" i="8"/>
  <c r="I22" i="8"/>
  <c r="J22" i="8"/>
  <c r="K22" i="8"/>
  <c r="L22" i="8"/>
  <c r="S22" i="8" s="1"/>
  <c r="M22" i="8"/>
  <c r="I21" i="8"/>
  <c r="J21" i="8"/>
  <c r="K21" i="8"/>
  <c r="L21" i="8"/>
  <c r="M21" i="8"/>
  <c r="S21" i="8"/>
  <c r="I20" i="8"/>
  <c r="J20" i="8"/>
  <c r="K20" i="8"/>
  <c r="L20" i="8"/>
  <c r="S20" i="8" s="1"/>
  <c r="M20" i="8"/>
  <c r="I19" i="8"/>
  <c r="J19" i="8"/>
  <c r="N19" i="8" s="1"/>
  <c r="K19" i="8"/>
  <c r="L19" i="8"/>
  <c r="M19" i="8"/>
  <c r="S19" i="8"/>
  <c r="I18" i="8"/>
  <c r="J18" i="8"/>
  <c r="K18" i="8"/>
  <c r="L18" i="8"/>
  <c r="S18" i="8" s="1"/>
  <c r="M18" i="8"/>
  <c r="D36" i="4"/>
  <c r="E36" i="4" s="1"/>
  <c r="C36" i="4"/>
  <c r="B36" i="4"/>
  <c r="L47" i="4"/>
  <c r="D47" i="4"/>
  <c r="E47" i="4" s="1"/>
  <c r="C47" i="4"/>
  <c r="B47" i="4"/>
  <c r="E51" i="4"/>
  <c r="E30" i="4"/>
  <c r="W7" i="40" s="1"/>
  <c r="K7" i="40"/>
  <c r="H28" i="4"/>
  <c r="I28" i="4"/>
  <c r="J28" i="4" s="1"/>
  <c r="C28" i="4"/>
  <c r="I17" i="4"/>
  <c r="J17" i="4" s="1"/>
  <c r="R28" i="4" s="1"/>
  <c r="H17" i="4"/>
  <c r="D17" i="4"/>
  <c r="C17" i="4"/>
  <c r="B17" i="4"/>
  <c r="D28" i="4"/>
  <c r="E28" i="4" s="1"/>
  <c r="O28" i="4" s="1"/>
  <c r="K6" i="40" s="1"/>
  <c r="L28" i="4"/>
  <c r="B28" i="4"/>
  <c r="V93" i="6"/>
  <c r="X93" i="6" s="1"/>
  <c r="P94" i="7" s="1"/>
  <c r="P99" i="40" s="1"/>
  <c r="V92" i="6"/>
  <c r="X92" i="6" s="1"/>
  <c r="P93" i="7"/>
  <c r="V91" i="6"/>
  <c r="X91" i="6" s="1"/>
  <c r="P92" i="7" s="1"/>
  <c r="V90" i="6"/>
  <c r="X90" i="6" s="1"/>
  <c r="P91" i="7"/>
  <c r="V89" i="6"/>
  <c r="X89" i="6" s="1"/>
  <c r="P90" i="7" s="1"/>
  <c r="V88" i="6"/>
  <c r="X88" i="6" s="1"/>
  <c r="P89" i="7"/>
  <c r="P94" i="40" s="1"/>
  <c r="V87" i="6"/>
  <c r="X87" i="6" s="1"/>
  <c r="P88" i="7" s="1"/>
  <c r="V86" i="6"/>
  <c r="X86" i="6" s="1"/>
  <c r="P87" i="7"/>
  <c r="V85" i="6"/>
  <c r="X85" i="6" s="1"/>
  <c r="P86" i="7" s="1"/>
  <c r="P91" i="40" s="1"/>
  <c r="V84" i="6"/>
  <c r="X84" i="6" s="1"/>
  <c r="P85" i="7"/>
  <c r="V83" i="6"/>
  <c r="X83" i="6" s="1"/>
  <c r="P84" i="7" s="1"/>
  <c r="V82" i="6"/>
  <c r="X82" i="6" s="1"/>
  <c r="P83" i="7"/>
  <c r="V81" i="6"/>
  <c r="X81" i="6" s="1"/>
  <c r="P82" i="7" s="1"/>
  <c r="V80" i="6"/>
  <c r="X80" i="6" s="1"/>
  <c r="P81" i="7"/>
  <c r="P86" i="40" s="1"/>
  <c r="V79" i="6"/>
  <c r="X79" i="6" s="1"/>
  <c r="P80" i="7" s="1"/>
  <c r="V78" i="6"/>
  <c r="X78" i="6" s="1"/>
  <c r="P79" i="7"/>
  <c r="V77" i="6"/>
  <c r="X77" i="6" s="1"/>
  <c r="P78" i="7" s="1"/>
  <c r="P83" i="40" s="1"/>
  <c r="V76" i="6"/>
  <c r="X76" i="6" s="1"/>
  <c r="P77" i="7"/>
  <c r="V75" i="6"/>
  <c r="X75" i="6" s="1"/>
  <c r="P76" i="7" s="1"/>
  <c r="V74" i="6"/>
  <c r="X74" i="6" s="1"/>
  <c r="P75" i="7"/>
  <c r="V73" i="6"/>
  <c r="X73" i="6" s="1"/>
  <c r="P74" i="7" s="1"/>
  <c r="V72" i="6"/>
  <c r="X72" i="6" s="1"/>
  <c r="P73" i="7"/>
  <c r="P78" i="40" s="1"/>
  <c r="V71" i="6"/>
  <c r="X71" i="6" s="1"/>
  <c r="P72" i="7" s="1"/>
  <c r="V70" i="6"/>
  <c r="X70" i="6" s="1"/>
  <c r="P71" i="7"/>
  <c r="V69" i="6"/>
  <c r="X69" i="6" s="1"/>
  <c r="P70" i="7" s="1"/>
  <c r="P75" i="40" s="1"/>
  <c r="V68" i="6"/>
  <c r="X68" i="6" s="1"/>
  <c r="P69" i="7"/>
  <c r="V67" i="6"/>
  <c r="X67" i="6" s="1"/>
  <c r="P68" i="7" s="1"/>
  <c r="V66" i="6"/>
  <c r="X66" i="6" s="1"/>
  <c r="P67" i="7"/>
  <c r="V65" i="6"/>
  <c r="X65" i="6" s="1"/>
  <c r="P66" i="7" s="1"/>
  <c r="V64" i="6"/>
  <c r="X64" i="6" s="1"/>
  <c r="P65" i="7"/>
  <c r="P70" i="40" s="1"/>
  <c r="V63" i="6"/>
  <c r="X63" i="6" s="1"/>
  <c r="P64" i="7" s="1"/>
  <c r="V62" i="6"/>
  <c r="X62" i="6" s="1"/>
  <c r="P63" i="7"/>
  <c r="V61" i="6"/>
  <c r="X61" i="6" s="1"/>
  <c r="P62" i="7" s="1"/>
  <c r="P67" i="40" s="1"/>
  <c r="V60" i="6"/>
  <c r="X60" i="6" s="1"/>
  <c r="P61" i="7"/>
  <c r="V59" i="6"/>
  <c r="X59" i="6" s="1"/>
  <c r="P60" i="7" s="1"/>
  <c r="V58" i="6"/>
  <c r="X58" i="6" s="1"/>
  <c r="P59" i="7"/>
  <c r="V57" i="6"/>
  <c r="X57" i="6" s="1"/>
  <c r="P58" i="7" s="1"/>
  <c r="V56" i="6"/>
  <c r="X56" i="6" s="1"/>
  <c r="P57" i="7"/>
  <c r="P62" i="40" s="1"/>
  <c r="V55" i="6"/>
  <c r="X55" i="6" s="1"/>
  <c r="P56" i="7" s="1"/>
  <c r="V54" i="6"/>
  <c r="X54" i="6" s="1"/>
  <c r="P55" i="7"/>
  <c r="V53" i="6"/>
  <c r="X53" i="6" s="1"/>
  <c r="P54" i="7" s="1"/>
  <c r="P59" i="40" s="1"/>
  <c r="V52" i="6"/>
  <c r="X52" i="6" s="1"/>
  <c r="P53" i="7"/>
  <c r="V51" i="6"/>
  <c r="X51" i="6" s="1"/>
  <c r="P52" i="7" s="1"/>
  <c r="V50" i="6"/>
  <c r="X50" i="6"/>
  <c r="P51" i="7" s="1"/>
  <c r="V49" i="6"/>
  <c r="X49" i="6" s="1"/>
  <c r="P50" i="7" s="1"/>
  <c r="V48" i="6"/>
  <c r="X48" i="6"/>
  <c r="P49" i="7" s="1"/>
  <c r="P54" i="40" s="1"/>
  <c r="V47" i="6"/>
  <c r="X47" i="6" s="1"/>
  <c r="P48" i="7" s="1"/>
  <c r="V46" i="6"/>
  <c r="X46" i="6"/>
  <c r="P47" i="7" s="1"/>
  <c r="V45" i="6"/>
  <c r="X45" i="6" s="1"/>
  <c r="P46" i="7" s="1"/>
  <c r="P51" i="40" s="1"/>
  <c r="V44" i="6"/>
  <c r="X44" i="6"/>
  <c r="P45" i="7" s="1"/>
  <c r="V43" i="6"/>
  <c r="X43" i="6" s="1"/>
  <c r="P44" i="7" s="1"/>
  <c r="V42" i="6"/>
  <c r="X42" i="6"/>
  <c r="P43" i="7" s="1"/>
  <c r="V41" i="6"/>
  <c r="X41" i="6" s="1"/>
  <c r="P42" i="7" s="1"/>
  <c r="V40" i="6"/>
  <c r="X40" i="6"/>
  <c r="P41" i="7" s="1"/>
  <c r="P46" i="40" s="1"/>
  <c r="V39" i="6"/>
  <c r="X39" i="6" s="1"/>
  <c r="P40" i="7" s="1"/>
  <c r="V38" i="6"/>
  <c r="X38" i="6"/>
  <c r="P39" i="7" s="1"/>
  <c r="V37" i="6"/>
  <c r="X37" i="6" s="1"/>
  <c r="P38" i="7" s="1"/>
  <c r="P43" i="40" s="1"/>
  <c r="V36" i="6"/>
  <c r="X36" i="6"/>
  <c r="P37" i="7" s="1"/>
  <c r="V35" i="6"/>
  <c r="X35" i="6" s="1"/>
  <c r="P36" i="7" s="1"/>
  <c r="V34" i="6"/>
  <c r="X34" i="6"/>
  <c r="P35" i="7" s="1"/>
  <c r="V33" i="6"/>
  <c r="X33" i="6" s="1"/>
  <c r="P34" i="7" s="1"/>
  <c r="V32" i="6"/>
  <c r="X32" i="6"/>
  <c r="P33" i="7" s="1"/>
  <c r="P38" i="40" s="1"/>
  <c r="V31" i="6"/>
  <c r="X31" i="6" s="1"/>
  <c r="P32" i="7" s="1"/>
  <c r="V30" i="6"/>
  <c r="X30" i="6"/>
  <c r="P31" i="7" s="1"/>
  <c r="V29" i="6"/>
  <c r="X29" i="6" s="1"/>
  <c r="P30" i="7" s="1"/>
  <c r="P35" i="40" s="1"/>
  <c r="V28" i="6"/>
  <c r="X28" i="6"/>
  <c r="P29" i="7" s="1"/>
  <c r="V27" i="6"/>
  <c r="X27" i="6" s="1"/>
  <c r="P28" i="7" s="1"/>
  <c r="V26" i="6"/>
  <c r="X26" i="6"/>
  <c r="P27" i="7" s="1"/>
  <c r="V25" i="6"/>
  <c r="X25" i="6" s="1"/>
  <c r="P26" i="7" s="1"/>
  <c r="V24" i="6"/>
  <c r="X24" i="6"/>
  <c r="P25" i="7" s="1"/>
  <c r="P30" i="40" s="1"/>
  <c r="V23" i="6"/>
  <c r="X23" i="6" s="1"/>
  <c r="P24" i="7" s="1"/>
  <c r="V22" i="6"/>
  <c r="X22" i="6"/>
  <c r="P23" i="7" s="1"/>
  <c r="V21" i="6"/>
  <c r="X21" i="6" s="1"/>
  <c r="P22" i="7" s="1"/>
  <c r="P27" i="40" s="1"/>
  <c r="V20" i="6"/>
  <c r="X20" i="6"/>
  <c r="P21" i="7" s="1"/>
  <c r="V19" i="6"/>
  <c r="X19" i="6" s="1"/>
  <c r="P20" i="7" s="1"/>
  <c r="V18" i="6"/>
  <c r="X18" i="6"/>
  <c r="P19" i="7" s="1"/>
  <c r="V17" i="6"/>
  <c r="X17" i="6" s="1"/>
  <c r="P18" i="7" s="1"/>
  <c r="V16" i="6"/>
  <c r="X16" i="6"/>
  <c r="P17" i="7" s="1"/>
  <c r="P22" i="40" s="1"/>
  <c r="V15" i="6"/>
  <c r="X15" i="6" s="1"/>
  <c r="P16" i="7" s="1"/>
  <c r="V14" i="6"/>
  <c r="X14" i="6"/>
  <c r="P15" i="7" s="1"/>
  <c r="V13" i="6"/>
  <c r="X13" i="6" s="1"/>
  <c r="P14" i="7" s="1"/>
  <c r="P19" i="40" s="1"/>
  <c r="S13" i="6"/>
  <c r="S14" i="6" s="1"/>
  <c r="S15" i="6" s="1"/>
  <c r="S16" i="6" s="1"/>
  <c r="S17" i="6" s="1"/>
  <c r="S18" i="6" s="1"/>
  <c r="S19" i="6" s="1"/>
  <c r="S20" i="6" s="1"/>
  <c r="S21" i="6" s="1"/>
  <c r="S22" i="6" s="1"/>
  <c r="S23" i="6" s="1"/>
  <c r="S24" i="6" s="1"/>
  <c r="S25" i="6" s="1"/>
  <c r="S26" i="6" s="1"/>
  <c r="S27" i="6" s="1"/>
  <c r="S28" i="6" s="1"/>
  <c r="S29" i="6" s="1"/>
  <c r="S30" i="6" s="1"/>
  <c r="S31" i="6" s="1"/>
  <c r="S32" i="6" s="1"/>
  <c r="S33" i="6" s="1"/>
  <c r="S34" i="6" s="1"/>
  <c r="S35" i="6" s="1"/>
  <c r="S36" i="6" s="1"/>
  <c r="S37" i="6" s="1"/>
  <c r="S38" i="6" s="1"/>
  <c r="S39" i="6" s="1"/>
  <c r="S40" i="6" s="1"/>
  <c r="S41" i="6" s="1"/>
  <c r="S42" i="6" s="1"/>
  <c r="S43" i="6" s="1"/>
  <c r="S44" i="6" s="1"/>
  <c r="S45" i="6" s="1"/>
  <c r="S46" i="6" s="1"/>
  <c r="S47" i="6" s="1"/>
  <c r="S48" i="6" s="1"/>
  <c r="S49" i="6" s="1"/>
  <c r="S50" i="6" s="1"/>
  <c r="S51" i="6" s="1"/>
  <c r="S52" i="6" s="1"/>
  <c r="S53" i="6" s="1"/>
  <c r="S54" i="6" s="1"/>
  <c r="S55" i="6" s="1"/>
  <c r="S56" i="6" s="1"/>
  <c r="S57" i="6" s="1"/>
  <c r="S58" i="6" s="1"/>
  <c r="S59" i="6" s="1"/>
  <c r="S60" i="6" s="1"/>
  <c r="S61" i="6" s="1"/>
  <c r="S62" i="6" s="1"/>
  <c r="S63" i="6" s="1"/>
  <c r="S64" i="6" s="1"/>
  <c r="S65" i="6" s="1"/>
  <c r="S66" i="6" s="1"/>
  <c r="S67" i="6" s="1"/>
  <c r="S68" i="6" s="1"/>
  <c r="S69" i="6" s="1"/>
  <c r="S70" i="6" s="1"/>
  <c r="S71" i="6" s="1"/>
  <c r="S72" i="6" s="1"/>
  <c r="S73" i="6" s="1"/>
  <c r="S74" i="6" s="1"/>
  <c r="S75" i="6" s="1"/>
  <c r="S76" i="6" s="1"/>
  <c r="S77" i="6" s="1"/>
  <c r="S78" i="6" s="1"/>
  <c r="S79" i="6" s="1"/>
  <c r="S80" i="6" s="1"/>
  <c r="S81" i="6" s="1"/>
  <c r="S82" i="6" s="1"/>
  <c r="S83" i="6" s="1"/>
  <c r="S84" i="6" s="1"/>
  <c r="S85" i="6" s="1"/>
  <c r="S86" i="6" s="1"/>
  <c r="S87" i="6" s="1"/>
  <c r="S88" i="6" s="1"/>
  <c r="S89" i="6" s="1"/>
  <c r="S90" i="6" s="1"/>
  <c r="S91" i="6" s="1"/>
  <c r="S92" i="6" s="1"/>
  <c r="S93" i="6" s="1"/>
  <c r="G13" i="8"/>
  <c r="F13" i="8"/>
  <c r="E13" i="8"/>
  <c r="D13" i="8"/>
  <c r="D15" i="4"/>
  <c r="D16" i="4"/>
  <c r="D27" i="4"/>
  <c r="E27" i="4" s="1"/>
  <c r="B3" i="37"/>
  <c r="I16" i="4"/>
  <c r="J16" i="4" s="1"/>
  <c r="H16" i="4"/>
  <c r="D21" i="37"/>
  <c r="D22" i="37"/>
  <c r="D23" i="37"/>
  <c r="D24" i="37"/>
  <c r="D25" i="37"/>
  <c r="D26" i="37"/>
  <c r="D27" i="37"/>
  <c r="D28" i="37"/>
  <c r="D29" i="37"/>
  <c r="D30" i="37"/>
  <c r="D31" i="37"/>
  <c r="D32" i="37"/>
  <c r="D33" i="37"/>
  <c r="D34" i="37"/>
  <c r="D35" i="37"/>
  <c r="D36" i="37"/>
  <c r="D37" i="37"/>
  <c r="D38" i="37"/>
  <c r="D39" i="37"/>
  <c r="D40" i="37"/>
  <c r="D41" i="37"/>
  <c r="D42" i="37"/>
  <c r="D43" i="37"/>
  <c r="D44" i="37"/>
  <c r="D45" i="37"/>
  <c r="D46" i="37"/>
  <c r="D47" i="37"/>
  <c r="D48" i="37"/>
  <c r="D49" i="37"/>
  <c r="D50" i="37"/>
  <c r="D51" i="37"/>
  <c r="D52" i="37"/>
  <c r="D53" i="37"/>
  <c r="D54" i="37"/>
  <c r="D55" i="37"/>
  <c r="D56" i="37"/>
  <c r="D57" i="37"/>
  <c r="D58" i="37"/>
  <c r="D59" i="37"/>
  <c r="D60" i="37"/>
  <c r="D61" i="37"/>
  <c r="D62" i="37"/>
  <c r="D63" i="37"/>
  <c r="D64" i="37"/>
  <c r="D65" i="37"/>
  <c r="D66" i="37"/>
  <c r="D67" i="37"/>
  <c r="D68" i="37"/>
  <c r="D69" i="37"/>
  <c r="D70" i="37"/>
  <c r="D71" i="37"/>
  <c r="D72" i="37"/>
  <c r="D73" i="37"/>
  <c r="D74" i="37"/>
  <c r="D75" i="37"/>
  <c r="D76" i="37"/>
  <c r="D77" i="37"/>
  <c r="D78" i="37"/>
  <c r="D79" i="37"/>
  <c r="D80" i="37"/>
  <c r="D81" i="37"/>
  <c r="D82" i="37"/>
  <c r="D83" i="37"/>
  <c r="D84" i="37"/>
  <c r="D85" i="37"/>
  <c r="D86" i="37"/>
  <c r="D87" i="37"/>
  <c r="D88" i="37"/>
  <c r="D89" i="37"/>
  <c r="D90" i="37"/>
  <c r="D91" i="37"/>
  <c r="D92" i="37"/>
  <c r="D93" i="37"/>
  <c r="D94" i="37"/>
  <c r="D95" i="37"/>
  <c r="D96" i="37"/>
  <c r="D97" i="37"/>
  <c r="D98" i="37"/>
  <c r="D99" i="37"/>
  <c r="D20" i="37"/>
  <c r="D19" i="37"/>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D63" i="36"/>
  <c r="D64" i="36"/>
  <c r="D65" i="36"/>
  <c r="D66" i="36"/>
  <c r="D67" i="36"/>
  <c r="D68" i="36"/>
  <c r="D69" i="36"/>
  <c r="D70" i="36"/>
  <c r="D71" i="36"/>
  <c r="D72" i="36"/>
  <c r="D73" i="36"/>
  <c r="D74" i="36"/>
  <c r="D75" i="36"/>
  <c r="D76" i="36"/>
  <c r="D77" i="36"/>
  <c r="D78" i="36"/>
  <c r="D79" i="36"/>
  <c r="D80" i="36"/>
  <c r="D81" i="36"/>
  <c r="D82" i="36"/>
  <c r="D83" i="36"/>
  <c r="D84" i="36"/>
  <c r="D85" i="36"/>
  <c r="D86" i="36"/>
  <c r="D87" i="36"/>
  <c r="D88" i="36"/>
  <c r="D89" i="36"/>
  <c r="D90" i="36"/>
  <c r="D91" i="36"/>
  <c r="D92" i="36"/>
  <c r="D93" i="36"/>
  <c r="D94" i="36"/>
  <c r="D95" i="36"/>
  <c r="D96" i="36"/>
  <c r="D97" i="36"/>
  <c r="D98" i="36"/>
  <c r="D99" i="36"/>
  <c r="D20" i="36"/>
  <c r="D19" i="36"/>
  <c r="D35" i="4"/>
  <c r="E35" i="4" s="1"/>
  <c r="O35" i="4" s="1"/>
  <c r="C35" i="4"/>
  <c r="C16" i="4"/>
  <c r="C42" i="4"/>
  <c r="D42" i="4"/>
  <c r="E42" i="4" s="1"/>
  <c r="C43" i="4"/>
  <c r="D43" i="4"/>
  <c r="E43" i="4"/>
  <c r="O43" i="4" s="1"/>
  <c r="C44" i="4"/>
  <c r="D44" i="4"/>
  <c r="E44" i="4" s="1"/>
  <c r="O44" i="4" s="1"/>
  <c r="D41" i="4"/>
  <c r="E41" i="4" s="1"/>
  <c r="O41" i="4" s="1"/>
  <c r="C41" i="4"/>
  <c r="B35" i="4"/>
  <c r="B16" i="4"/>
  <c r="I64" i="4"/>
  <c r="J64" i="4" s="1"/>
  <c r="R64" i="4" s="1"/>
  <c r="I63" i="4"/>
  <c r="J63" i="4" s="1"/>
  <c r="R63" i="4" s="1"/>
  <c r="I62" i="4"/>
  <c r="J62" i="4" s="1"/>
  <c r="D64" i="4"/>
  <c r="E64" i="4" s="1"/>
  <c r="O64" i="4" s="1"/>
  <c r="D63" i="4"/>
  <c r="E63" i="4" s="1"/>
  <c r="D62" i="4"/>
  <c r="E62" i="4" s="1"/>
  <c r="E5" i="17"/>
  <c r="B5" i="17"/>
  <c r="H5" i="17"/>
  <c r="I3" i="7"/>
  <c r="B3" i="35"/>
  <c r="B3" i="34"/>
  <c r="D39" i="4"/>
  <c r="E39" i="4" s="1"/>
  <c r="O39" i="4" s="1"/>
  <c r="K8" i="34" s="1"/>
  <c r="K10" i="34" s="1"/>
  <c r="D38" i="4"/>
  <c r="E38" i="4" s="1"/>
  <c r="O38" i="4" s="1"/>
  <c r="C39" i="4"/>
  <c r="C38" i="4"/>
  <c r="B44" i="4"/>
  <c r="B43" i="4"/>
  <c r="B42" i="4"/>
  <c r="B41" i="4"/>
  <c r="B40" i="4"/>
  <c r="B39" i="4"/>
  <c r="B38" i="4"/>
  <c r="B37" i="4"/>
  <c r="B34" i="4"/>
  <c r="B46" i="4"/>
  <c r="D46" i="4"/>
  <c r="E46" i="4" s="1"/>
  <c r="C46" i="4"/>
  <c r="I93" i="6"/>
  <c r="I92" i="6"/>
  <c r="I91" i="6"/>
  <c r="I90" i="6"/>
  <c r="I89" i="6"/>
  <c r="I88" i="6"/>
  <c r="I87" i="6"/>
  <c r="I86" i="6"/>
  <c r="I85" i="6"/>
  <c r="I84" i="6"/>
  <c r="I83" i="6"/>
  <c r="I82" i="6"/>
  <c r="I81" i="6"/>
  <c r="I80" i="6"/>
  <c r="G81" i="7" s="1"/>
  <c r="P86" i="34" s="1"/>
  <c r="I79" i="6"/>
  <c r="I78" i="6"/>
  <c r="I77" i="6"/>
  <c r="I76" i="6"/>
  <c r="I75" i="6"/>
  <c r="I74" i="6"/>
  <c r="I73" i="6"/>
  <c r="I72" i="6"/>
  <c r="I71" i="6"/>
  <c r="I70" i="6"/>
  <c r="I69" i="6"/>
  <c r="I68" i="6"/>
  <c r="I67" i="6"/>
  <c r="I66" i="6"/>
  <c r="I65" i="6"/>
  <c r="I64" i="6"/>
  <c r="I63" i="6"/>
  <c r="I62" i="6"/>
  <c r="I61" i="6"/>
  <c r="G62" i="7" s="1"/>
  <c r="P67" i="34" s="1"/>
  <c r="I60" i="6"/>
  <c r="I59" i="6"/>
  <c r="I58" i="6"/>
  <c r="I57" i="6"/>
  <c r="I56" i="6"/>
  <c r="G57" i="7" s="1"/>
  <c r="P62" i="34" s="1"/>
  <c r="I55" i="6"/>
  <c r="G56" i="7" s="1"/>
  <c r="P61" i="34" s="1"/>
  <c r="I54" i="6"/>
  <c r="I53" i="6"/>
  <c r="G54" i="7" s="1"/>
  <c r="P59" i="34" s="1"/>
  <c r="I52" i="6"/>
  <c r="I51" i="6"/>
  <c r="I50" i="6"/>
  <c r="I49" i="6"/>
  <c r="I48" i="6"/>
  <c r="I47" i="6"/>
  <c r="G48" i="7" s="1"/>
  <c r="P53" i="34" s="1"/>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G93" i="6"/>
  <c r="G92" i="6"/>
  <c r="G91" i="6"/>
  <c r="G90" i="6"/>
  <c r="G89" i="6"/>
  <c r="G88" i="6"/>
  <c r="G87" i="6"/>
  <c r="G86" i="6"/>
  <c r="G85" i="6"/>
  <c r="G84" i="6"/>
  <c r="G83" i="6"/>
  <c r="G82" i="6"/>
  <c r="G81" i="6"/>
  <c r="G80" i="6"/>
  <c r="E81" i="7" s="1"/>
  <c r="P86" i="35" s="1"/>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I13" i="6"/>
  <c r="G13" i="6"/>
  <c r="I2" i="7"/>
  <c r="O21" i="6"/>
  <c r="I11" i="4"/>
  <c r="J11" i="4"/>
  <c r="I27" i="4"/>
  <c r="J27" i="4" s="1"/>
  <c r="R27" i="4" s="1"/>
  <c r="H11" i="39"/>
  <c r="H27" i="4"/>
  <c r="C27" i="4"/>
  <c r="B27" i="4"/>
  <c r="B21" i="4"/>
  <c r="H15" i="4"/>
  <c r="I15" i="4"/>
  <c r="J15" i="4" s="1"/>
  <c r="D21" i="4"/>
  <c r="O21" i="4"/>
  <c r="K6" i="35" s="1"/>
  <c r="D20" i="4"/>
  <c r="O20" i="4" s="1"/>
  <c r="K6" i="34" s="1"/>
  <c r="C15" i="4"/>
  <c r="I21" i="4"/>
  <c r="J21" i="4" s="1"/>
  <c r="I20" i="4"/>
  <c r="J20" i="4" s="1"/>
  <c r="R20" i="4" s="1"/>
  <c r="H21" i="4"/>
  <c r="H20" i="4"/>
  <c r="C21" i="4"/>
  <c r="C20" i="4"/>
  <c r="R21" i="4"/>
  <c r="B20" i="4"/>
  <c r="I25" i="4"/>
  <c r="J25" i="4" s="1"/>
  <c r="I24" i="4"/>
  <c r="J24" i="4" s="1"/>
  <c r="R24" i="4" s="1"/>
  <c r="I23" i="4"/>
  <c r="J23" i="4"/>
  <c r="R23" i="4" s="1"/>
  <c r="I22" i="4"/>
  <c r="J22" i="4" s="1"/>
  <c r="R22" i="4" s="1"/>
  <c r="D25" i="4"/>
  <c r="O25" i="4" s="1"/>
  <c r="D24" i="4"/>
  <c r="O24" i="4" s="1"/>
  <c r="D23" i="4"/>
  <c r="O23" i="4" s="1"/>
  <c r="D22" i="4"/>
  <c r="O22" i="4"/>
  <c r="H25" i="4"/>
  <c r="H24" i="4"/>
  <c r="H23" i="4"/>
  <c r="H22" i="4"/>
  <c r="C25" i="4"/>
  <c r="C24" i="4"/>
  <c r="C23" i="4"/>
  <c r="C22" i="4"/>
  <c r="R62" i="4"/>
  <c r="AC4" i="5"/>
  <c r="AB4" i="5"/>
  <c r="Z4" i="5"/>
  <c r="AD97" i="17"/>
  <c r="AD96" i="17"/>
  <c r="AD95" i="17"/>
  <c r="AD94" i="17"/>
  <c r="AD93" i="17"/>
  <c r="AD92" i="17"/>
  <c r="AD91" i="17"/>
  <c r="AD90" i="17"/>
  <c r="AD89" i="17"/>
  <c r="AD88" i="17"/>
  <c r="AD87" i="17"/>
  <c r="AD86" i="17"/>
  <c r="AD85" i="17"/>
  <c r="AD84" i="17"/>
  <c r="AD83" i="17"/>
  <c r="AD82" i="17"/>
  <c r="AD81" i="17"/>
  <c r="AD80" i="17"/>
  <c r="AD79" i="17"/>
  <c r="AD78" i="17"/>
  <c r="AD77" i="17"/>
  <c r="AD76" i="17"/>
  <c r="AD75" i="17"/>
  <c r="AD74" i="17"/>
  <c r="AD73" i="17"/>
  <c r="AD72" i="17"/>
  <c r="AD71" i="17"/>
  <c r="AD70" i="17"/>
  <c r="AD69" i="17"/>
  <c r="AD68" i="17"/>
  <c r="AD67" i="17"/>
  <c r="AD66" i="17"/>
  <c r="AD65" i="17"/>
  <c r="AD64" i="17"/>
  <c r="AD63" i="17"/>
  <c r="AD62" i="17"/>
  <c r="AD61" i="17"/>
  <c r="AD60" i="17"/>
  <c r="AD59" i="17"/>
  <c r="AD58" i="17"/>
  <c r="AD57" i="17"/>
  <c r="AD56" i="17"/>
  <c r="AD55" i="17"/>
  <c r="AD54" i="17"/>
  <c r="AD53" i="17"/>
  <c r="AD52" i="17"/>
  <c r="AD51" i="17"/>
  <c r="AD50" i="17"/>
  <c r="AD49" i="17"/>
  <c r="AD48" i="17"/>
  <c r="AD47" i="17"/>
  <c r="AD46" i="17"/>
  <c r="AD45" i="17"/>
  <c r="AD44" i="17"/>
  <c r="AD43" i="17"/>
  <c r="AD42" i="17"/>
  <c r="AD41" i="17"/>
  <c r="AD40" i="17"/>
  <c r="AD39" i="17"/>
  <c r="AD38" i="17"/>
  <c r="AD37" i="17"/>
  <c r="AD36" i="17"/>
  <c r="AD35" i="17"/>
  <c r="AD34" i="17"/>
  <c r="AD33" i="17"/>
  <c r="AD32" i="17"/>
  <c r="AD31" i="17"/>
  <c r="AD30" i="17"/>
  <c r="AD29" i="17"/>
  <c r="AD28" i="17"/>
  <c r="AD27" i="17"/>
  <c r="AD26" i="17"/>
  <c r="AD25" i="17"/>
  <c r="AD24" i="17"/>
  <c r="AD23" i="17"/>
  <c r="AD22" i="17"/>
  <c r="AD21" i="17"/>
  <c r="AD20" i="17"/>
  <c r="AD19" i="17"/>
  <c r="AD18" i="17"/>
  <c r="AD17" i="17"/>
  <c r="S17" i="17"/>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D99"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48" i="33"/>
  <c r="D49" i="33"/>
  <c r="D50" i="33"/>
  <c r="D51" i="33"/>
  <c r="D52" i="33"/>
  <c r="D53"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5" i="33"/>
  <c r="D86" i="33"/>
  <c r="D87" i="33"/>
  <c r="D88" i="33"/>
  <c r="D89" i="33"/>
  <c r="D90" i="33"/>
  <c r="D91" i="33"/>
  <c r="D92" i="33"/>
  <c r="D93" i="33"/>
  <c r="D94" i="33"/>
  <c r="D95" i="33"/>
  <c r="D96" i="33"/>
  <c r="D97" i="33"/>
  <c r="D98" i="33"/>
  <c r="D20" i="33"/>
  <c r="D19" i="33"/>
  <c r="B3" i="33"/>
  <c r="D99" i="32"/>
  <c r="D21" i="32"/>
  <c r="D22" i="32"/>
  <c r="D23" i="32"/>
  <c r="D24" i="32"/>
  <c r="D25" i="32"/>
  <c r="D26" i="32"/>
  <c r="D27" i="32"/>
  <c r="D28" i="32"/>
  <c r="D29" i="32"/>
  <c r="D30" i="32"/>
  <c r="D31" i="32"/>
  <c r="D32" i="32"/>
  <c r="D33" i="32"/>
  <c r="D34" i="32"/>
  <c r="D35" i="32"/>
  <c r="D36" i="32"/>
  <c r="D37" i="32"/>
  <c r="D38" i="32"/>
  <c r="D39" i="32"/>
  <c r="D40" i="32"/>
  <c r="D41" i="32"/>
  <c r="D42" i="32"/>
  <c r="D43" i="32"/>
  <c r="D44" i="32"/>
  <c r="D45" i="32"/>
  <c r="D46" i="32"/>
  <c r="D47" i="32"/>
  <c r="D48" i="32"/>
  <c r="D49" i="32"/>
  <c r="D50" i="32"/>
  <c r="D51" i="32"/>
  <c r="D52" i="32"/>
  <c r="D53" i="32"/>
  <c r="D54" i="32"/>
  <c r="D55" i="32"/>
  <c r="D56" i="32"/>
  <c r="D57" i="32"/>
  <c r="D58" i="32"/>
  <c r="D59" i="32"/>
  <c r="D60" i="32"/>
  <c r="D61" i="32"/>
  <c r="D62" i="32"/>
  <c r="D63" i="32"/>
  <c r="D64" i="32"/>
  <c r="D65" i="32"/>
  <c r="D66" i="32"/>
  <c r="D67" i="32"/>
  <c r="D68" i="32"/>
  <c r="D69" i="32"/>
  <c r="D70" i="32"/>
  <c r="D71" i="32"/>
  <c r="D72" i="32"/>
  <c r="D73" i="32"/>
  <c r="D74" i="32"/>
  <c r="D75" i="32"/>
  <c r="D76" i="32"/>
  <c r="D77" i="32"/>
  <c r="D78" i="32"/>
  <c r="D79" i="32"/>
  <c r="D80" i="32"/>
  <c r="D81" i="32"/>
  <c r="D82" i="32"/>
  <c r="D83" i="32"/>
  <c r="D84" i="32"/>
  <c r="D85" i="32"/>
  <c r="D86" i="32"/>
  <c r="D87" i="32"/>
  <c r="D88" i="32"/>
  <c r="D89" i="32"/>
  <c r="D90" i="32"/>
  <c r="D91" i="32"/>
  <c r="D92" i="32"/>
  <c r="D93" i="32"/>
  <c r="D94" i="32"/>
  <c r="D95" i="32"/>
  <c r="D96" i="32"/>
  <c r="D97" i="32"/>
  <c r="D98" i="32"/>
  <c r="D20" i="32"/>
  <c r="D19" i="32"/>
  <c r="B3" i="32"/>
  <c r="D99" i="31"/>
  <c r="D21" i="31"/>
  <c r="D22" i="31"/>
  <c r="D23" i="31"/>
  <c r="D24" i="31"/>
  <c r="D25" i="31"/>
  <c r="D26" i="31"/>
  <c r="D27" i="31"/>
  <c r="D28" i="31"/>
  <c r="D29" i="31"/>
  <c r="D30" i="31"/>
  <c r="D31" i="31"/>
  <c r="D32" i="31"/>
  <c r="D33" i="31"/>
  <c r="D34" i="31"/>
  <c r="D35" i="31"/>
  <c r="D36" i="31"/>
  <c r="D37" i="31"/>
  <c r="D38" i="31"/>
  <c r="D39" i="31"/>
  <c r="D40" i="31"/>
  <c r="D41" i="31"/>
  <c r="D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80" i="31"/>
  <c r="D81" i="31"/>
  <c r="D82" i="31"/>
  <c r="D83" i="31"/>
  <c r="D84" i="31"/>
  <c r="D85" i="31"/>
  <c r="D86" i="31"/>
  <c r="D87" i="31"/>
  <c r="D88" i="31"/>
  <c r="D89" i="31"/>
  <c r="D90" i="31"/>
  <c r="D91" i="31"/>
  <c r="D92" i="31"/>
  <c r="D93" i="31"/>
  <c r="D94" i="31"/>
  <c r="D95" i="31"/>
  <c r="D96" i="31"/>
  <c r="D97" i="31"/>
  <c r="D98" i="31"/>
  <c r="D20" i="31"/>
  <c r="D19" i="31"/>
  <c r="B3" i="31"/>
  <c r="R25" i="4"/>
  <c r="I19" i="4"/>
  <c r="J19" i="4" s="1"/>
  <c r="R19" i="4" s="1"/>
  <c r="I18" i="4"/>
  <c r="J18" i="4" s="1"/>
  <c r="R18" i="4" s="1"/>
  <c r="W6" i="33" s="1"/>
  <c r="H19" i="4"/>
  <c r="H18" i="4"/>
  <c r="L15" i="4"/>
  <c r="L16" i="4"/>
  <c r="L19" i="4"/>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20" i="18"/>
  <c r="D19" i="18"/>
  <c r="E14" i="6"/>
  <c r="B6" i="30"/>
  <c r="B7" i="30" s="1"/>
  <c r="B8" i="30" s="1"/>
  <c r="B9" i="30" s="1"/>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B79" i="30" s="1"/>
  <c r="B80" i="30" s="1"/>
  <c r="B81" i="30" s="1"/>
  <c r="B82" i="30" s="1"/>
  <c r="B83" i="30" s="1"/>
  <c r="B84" i="30" s="1"/>
  <c r="B85" i="30" s="1"/>
  <c r="B86" i="30" s="1"/>
  <c r="B25" i="4"/>
  <c r="M14" i="6"/>
  <c r="N14" i="6"/>
  <c r="M15" i="6"/>
  <c r="N15" i="6"/>
  <c r="M16" i="6"/>
  <c r="N16" i="6"/>
  <c r="M17" i="6"/>
  <c r="N17" i="6"/>
  <c r="M18" i="6"/>
  <c r="N18" i="6"/>
  <c r="M19" i="6"/>
  <c r="N19" i="6"/>
  <c r="M20" i="6"/>
  <c r="N20" i="6"/>
  <c r="M21" i="6"/>
  <c r="N21" i="6"/>
  <c r="M22" i="6"/>
  <c r="N22" i="6"/>
  <c r="M23" i="6"/>
  <c r="N23" i="6"/>
  <c r="M24" i="6"/>
  <c r="N24" i="6"/>
  <c r="M25" i="6"/>
  <c r="N25" i="6"/>
  <c r="M26" i="6"/>
  <c r="N26" i="6"/>
  <c r="M27" i="6"/>
  <c r="N27" i="6"/>
  <c r="M28" i="6"/>
  <c r="N28" i="6"/>
  <c r="M29" i="6"/>
  <c r="N29" i="6"/>
  <c r="M30" i="6"/>
  <c r="N30" i="6"/>
  <c r="M31" i="6"/>
  <c r="N31" i="6"/>
  <c r="M32" i="6"/>
  <c r="N32" i="6"/>
  <c r="M33" i="6"/>
  <c r="N33" i="6"/>
  <c r="O34" i="7"/>
  <c r="C39" i="37" s="1"/>
  <c r="M34" i="6"/>
  <c r="N34" i="6"/>
  <c r="M35" i="6"/>
  <c r="N35" i="6"/>
  <c r="M36" i="6"/>
  <c r="N36" i="6"/>
  <c r="M37" i="6"/>
  <c r="N37" i="6"/>
  <c r="M38" i="6"/>
  <c r="N38" i="6"/>
  <c r="M39" i="6"/>
  <c r="N39" i="6"/>
  <c r="M40" i="6"/>
  <c r="N40" i="6"/>
  <c r="M41" i="6"/>
  <c r="N41" i="6"/>
  <c r="M42" i="6"/>
  <c r="N42" i="6"/>
  <c r="L43" i="7" s="1"/>
  <c r="M43" i="6"/>
  <c r="K44" i="7" s="1"/>
  <c r="N43" i="6"/>
  <c r="M44" i="6"/>
  <c r="N44" i="6"/>
  <c r="M45" i="6"/>
  <c r="N45" i="6"/>
  <c r="M46" i="6"/>
  <c r="K47" i="7" s="1"/>
  <c r="N46" i="6"/>
  <c r="M47" i="6"/>
  <c r="N47" i="6"/>
  <c r="M48" i="6"/>
  <c r="N48" i="6"/>
  <c r="M49" i="6"/>
  <c r="N49" i="6"/>
  <c r="M50" i="6"/>
  <c r="N50" i="6"/>
  <c r="M51" i="6"/>
  <c r="N51" i="6"/>
  <c r="M52" i="6"/>
  <c r="N52" i="6"/>
  <c r="M53" i="6"/>
  <c r="N53" i="6"/>
  <c r="M54" i="6"/>
  <c r="N54" i="6"/>
  <c r="M55" i="6"/>
  <c r="N55" i="6"/>
  <c r="M56" i="6"/>
  <c r="N56" i="6"/>
  <c r="M57" i="6"/>
  <c r="N57" i="6"/>
  <c r="M58" i="6"/>
  <c r="N58" i="6"/>
  <c r="E59" i="7"/>
  <c r="P64" i="35" s="1"/>
  <c r="M59" i="6"/>
  <c r="N59" i="6"/>
  <c r="M60" i="6"/>
  <c r="N60" i="6"/>
  <c r="M61" i="6"/>
  <c r="N61" i="6"/>
  <c r="M62" i="6"/>
  <c r="N62" i="6"/>
  <c r="M63" i="6"/>
  <c r="N63" i="6"/>
  <c r="M64" i="6"/>
  <c r="N64" i="6"/>
  <c r="M65" i="6"/>
  <c r="N65" i="6"/>
  <c r="M66" i="6"/>
  <c r="N66" i="6"/>
  <c r="M67" i="6"/>
  <c r="N67" i="6"/>
  <c r="M68" i="6"/>
  <c r="N68" i="6"/>
  <c r="M69" i="6"/>
  <c r="N69" i="6"/>
  <c r="M70" i="6"/>
  <c r="N70" i="6"/>
  <c r="M71" i="6"/>
  <c r="N71" i="6"/>
  <c r="M72" i="6"/>
  <c r="N72" i="6"/>
  <c r="M73" i="6"/>
  <c r="N73" i="6"/>
  <c r="M74" i="6"/>
  <c r="N74" i="6"/>
  <c r="M75" i="6"/>
  <c r="N75" i="6"/>
  <c r="M76" i="6"/>
  <c r="N76" i="6"/>
  <c r="M77" i="6"/>
  <c r="N77" i="6"/>
  <c r="M78" i="6"/>
  <c r="N78" i="6"/>
  <c r="M79" i="6"/>
  <c r="N79" i="6"/>
  <c r="F80" i="7"/>
  <c r="M80" i="6"/>
  <c r="K81" i="7" s="1"/>
  <c r="N80" i="6"/>
  <c r="M81" i="6"/>
  <c r="K82" i="7" s="1"/>
  <c r="N81" i="6"/>
  <c r="G82" i="7"/>
  <c r="P87" i="34" s="1"/>
  <c r="M82" i="6"/>
  <c r="N82" i="6"/>
  <c r="M83" i="6"/>
  <c r="N83" i="6"/>
  <c r="M84" i="6"/>
  <c r="N84" i="6"/>
  <c r="M85" i="6"/>
  <c r="N85" i="6"/>
  <c r="L86" i="7" s="1"/>
  <c r="M86" i="6"/>
  <c r="N86" i="6"/>
  <c r="M87" i="6"/>
  <c r="N87" i="6"/>
  <c r="M88" i="6"/>
  <c r="N88" i="6"/>
  <c r="M89" i="6"/>
  <c r="N89" i="6"/>
  <c r="M90" i="6"/>
  <c r="N90" i="6"/>
  <c r="M91" i="6"/>
  <c r="N91" i="6"/>
  <c r="M92" i="6"/>
  <c r="N92" i="6"/>
  <c r="L93" i="7" s="1"/>
  <c r="M93" i="6"/>
  <c r="N93" i="6"/>
  <c r="M13" i="6"/>
  <c r="N13" i="6"/>
  <c r="O42" i="4"/>
  <c r="C40" i="4"/>
  <c r="D40" i="4"/>
  <c r="E40" i="4" s="1"/>
  <c r="O40" i="4" s="1"/>
  <c r="K8" i="35" s="1"/>
  <c r="D37" i="4"/>
  <c r="E37" i="4" s="1"/>
  <c r="O37" i="4" s="1"/>
  <c r="W8" i="33" s="1"/>
  <c r="W9" i="33" s="1"/>
  <c r="C37" i="4"/>
  <c r="B24" i="4"/>
  <c r="B23" i="4"/>
  <c r="B22" i="4"/>
  <c r="B19" i="4"/>
  <c r="B18" i="4"/>
  <c r="L35" i="4"/>
  <c r="D34" i="4"/>
  <c r="E34" i="4" s="1"/>
  <c r="O34" i="4" s="1"/>
  <c r="O45" i="4"/>
  <c r="F18" i="8"/>
  <c r="L38" i="4"/>
  <c r="L34" i="4"/>
  <c r="E65" i="6"/>
  <c r="O62" i="4"/>
  <c r="F78" i="6"/>
  <c r="H91" i="6"/>
  <c r="O63" i="4"/>
  <c r="J78" i="6"/>
  <c r="D18" i="4"/>
  <c r="O18" i="4" s="1"/>
  <c r="K6" i="33" s="1"/>
  <c r="D19" i="4"/>
  <c r="O19" i="4" s="1"/>
  <c r="K50" i="6"/>
  <c r="L30" i="6"/>
  <c r="C93" i="8"/>
  <c r="D93" i="8"/>
  <c r="E93" i="8"/>
  <c r="F93" i="8"/>
  <c r="G93" i="8"/>
  <c r="K7" i="37"/>
  <c r="W7" i="35"/>
  <c r="W7" i="33"/>
  <c r="C92" i="8"/>
  <c r="D92" i="8"/>
  <c r="E92" i="8"/>
  <c r="F92" i="8"/>
  <c r="G92" i="8"/>
  <c r="C91" i="8"/>
  <c r="D91" i="8"/>
  <c r="E91" i="8"/>
  <c r="F91" i="8"/>
  <c r="G91" i="8"/>
  <c r="C90" i="8"/>
  <c r="D90" i="8"/>
  <c r="E90" i="8"/>
  <c r="F90" i="8"/>
  <c r="G90" i="8"/>
  <c r="C89" i="8"/>
  <c r="D89" i="8"/>
  <c r="E89" i="8"/>
  <c r="F89" i="8"/>
  <c r="G89" i="8"/>
  <c r="C88" i="8"/>
  <c r="D88" i="8"/>
  <c r="E88" i="8"/>
  <c r="F88" i="8"/>
  <c r="G88" i="8"/>
  <c r="C87" i="8"/>
  <c r="D87" i="8"/>
  <c r="E87" i="8"/>
  <c r="F87" i="8"/>
  <c r="G87" i="8"/>
  <c r="C86" i="8"/>
  <c r="D86" i="8"/>
  <c r="E86" i="8"/>
  <c r="F86" i="8"/>
  <c r="G86" i="8"/>
  <c r="C85" i="8"/>
  <c r="D85" i="8"/>
  <c r="E85" i="8"/>
  <c r="F85" i="8"/>
  <c r="G85" i="8"/>
  <c r="C84" i="8"/>
  <c r="D84" i="8"/>
  <c r="E84" i="8"/>
  <c r="F84" i="8"/>
  <c r="G84" i="8"/>
  <c r="C83" i="8"/>
  <c r="D83" i="8"/>
  <c r="E83" i="8"/>
  <c r="F83" i="8"/>
  <c r="G83" i="8"/>
  <c r="C82" i="8"/>
  <c r="D82" i="8"/>
  <c r="E82" i="8"/>
  <c r="F82" i="8"/>
  <c r="G82" i="8"/>
  <c r="C81" i="8"/>
  <c r="D81" i="8"/>
  <c r="E81" i="8"/>
  <c r="F81" i="8"/>
  <c r="G81" i="8"/>
  <c r="C80" i="8"/>
  <c r="D80" i="8"/>
  <c r="E80" i="8"/>
  <c r="F80" i="8"/>
  <c r="G80" i="8"/>
  <c r="C79" i="8"/>
  <c r="D79" i="8"/>
  <c r="E79" i="8"/>
  <c r="F79" i="8"/>
  <c r="G79" i="8"/>
  <c r="C78" i="8"/>
  <c r="D78" i="8"/>
  <c r="E78" i="8"/>
  <c r="F78" i="8"/>
  <c r="G78" i="8"/>
  <c r="C77" i="8"/>
  <c r="D77" i="8"/>
  <c r="E77" i="8"/>
  <c r="F77" i="8"/>
  <c r="G77" i="8"/>
  <c r="C76" i="8"/>
  <c r="D76" i="8"/>
  <c r="E76" i="8"/>
  <c r="F76" i="8"/>
  <c r="G76" i="8"/>
  <c r="C75" i="8"/>
  <c r="D75" i="8"/>
  <c r="E75" i="8"/>
  <c r="F75" i="8"/>
  <c r="G75" i="8"/>
  <c r="C74" i="8"/>
  <c r="D74" i="8"/>
  <c r="E74" i="8"/>
  <c r="F74" i="8"/>
  <c r="G74" i="8"/>
  <c r="C73" i="8"/>
  <c r="D73" i="8"/>
  <c r="E73" i="8"/>
  <c r="F73" i="8"/>
  <c r="G73" i="8"/>
  <c r="C72" i="8"/>
  <c r="D72" i="8"/>
  <c r="E72" i="8"/>
  <c r="F72" i="8"/>
  <c r="G72" i="8"/>
  <c r="C71" i="8"/>
  <c r="D71" i="8"/>
  <c r="E71" i="8"/>
  <c r="F71" i="8"/>
  <c r="G71" i="8"/>
  <c r="C70" i="8"/>
  <c r="D70" i="8"/>
  <c r="E70" i="8"/>
  <c r="F70" i="8"/>
  <c r="G70" i="8"/>
  <c r="C69" i="8"/>
  <c r="D69" i="8"/>
  <c r="E69" i="8"/>
  <c r="F69" i="8"/>
  <c r="G69" i="8"/>
  <c r="C68" i="8"/>
  <c r="D68" i="8"/>
  <c r="E68" i="8"/>
  <c r="F68" i="8"/>
  <c r="G68" i="8"/>
  <c r="C67" i="8"/>
  <c r="D67" i="8"/>
  <c r="E67" i="8"/>
  <c r="F67" i="8"/>
  <c r="G67" i="8"/>
  <c r="C66" i="8"/>
  <c r="D66" i="8"/>
  <c r="E66" i="8"/>
  <c r="F66" i="8"/>
  <c r="G66" i="8"/>
  <c r="C65" i="8"/>
  <c r="D65" i="8"/>
  <c r="E65" i="8"/>
  <c r="F65" i="8"/>
  <c r="G65" i="8"/>
  <c r="C64" i="8"/>
  <c r="D64" i="8"/>
  <c r="E64" i="8"/>
  <c r="F64" i="8"/>
  <c r="G64" i="8"/>
  <c r="C63" i="8"/>
  <c r="D63" i="8"/>
  <c r="E63" i="8"/>
  <c r="F63" i="8"/>
  <c r="G63" i="8"/>
  <c r="C62" i="8"/>
  <c r="D62" i="8"/>
  <c r="E62" i="8"/>
  <c r="F62" i="8"/>
  <c r="G62" i="8"/>
  <c r="C61" i="8"/>
  <c r="D61" i="8"/>
  <c r="E61" i="8"/>
  <c r="F61" i="8"/>
  <c r="G61" i="8"/>
  <c r="C60" i="8"/>
  <c r="D60" i="8"/>
  <c r="E60" i="8"/>
  <c r="F60" i="8"/>
  <c r="G60" i="8"/>
  <c r="C59" i="8"/>
  <c r="D59" i="8"/>
  <c r="E59" i="8"/>
  <c r="F59" i="8"/>
  <c r="G59" i="8"/>
  <c r="C58" i="8"/>
  <c r="D58" i="8"/>
  <c r="E58" i="8"/>
  <c r="F58" i="8"/>
  <c r="G58" i="8"/>
  <c r="C57" i="8"/>
  <c r="D57" i="8"/>
  <c r="E57" i="8"/>
  <c r="F57" i="8"/>
  <c r="G57" i="8"/>
  <c r="C56" i="8"/>
  <c r="D56" i="8"/>
  <c r="E56" i="8"/>
  <c r="F56" i="8"/>
  <c r="G56" i="8"/>
  <c r="C55" i="8"/>
  <c r="D55" i="8"/>
  <c r="E55" i="8"/>
  <c r="F55" i="8"/>
  <c r="G55" i="8"/>
  <c r="C54" i="8"/>
  <c r="D54" i="8"/>
  <c r="E54" i="8"/>
  <c r="F54" i="8"/>
  <c r="G54" i="8"/>
  <c r="C53" i="8"/>
  <c r="D53" i="8"/>
  <c r="E53" i="8"/>
  <c r="F53" i="8"/>
  <c r="G53" i="8"/>
  <c r="C52" i="8"/>
  <c r="D52" i="8"/>
  <c r="E52" i="8"/>
  <c r="F52" i="8"/>
  <c r="G52" i="8"/>
  <c r="C51" i="8"/>
  <c r="D51" i="8"/>
  <c r="E51" i="8"/>
  <c r="F51" i="8"/>
  <c r="G51" i="8"/>
  <c r="C50" i="8"/>
  <c r="D50" i="8"/>
  <c r="E50" i="8"/>
  <c r="F50" i="8"/>
  <c r="G50" i="8"/>
  <c r="C49" i="8"/>
  <c r="D49" i="8"/>
  <c r="E49" i="8"/>
  <c r="F49" i="8"/>
  <c r="G49" i="8"/>
  <c r="C48" i="8"/>
  <c r="D48" i="8"/>
  <c r="E48" i="8"/>
  <c r="F48" i="8"/>
  <c r="G48" i="8"/>
  <c r="C47" i="8"/>
  <c r="D47" i="8"/>
  <c r="E47" i="8"/>
  <c r="F47" i="8"/>
  <c r="G47" i="8"/>
  <c r="C46" i="8"/>
  <c r="D46" i="8"/>
  <c r="E46" i="8"/>
  <c r="F46" i="8"/>
  <c r="G46" i="8"/>
  <c r="C45" i="8"/>
  <c r="D45" i="8"/>
  <c r="E45" i="8"/>
  <c r="F45" i="8"/>
  <c r="G45" i="8"/>
  <c r="C44" i="8"/>
  <c r="D44" i="8"/>
  <c r="E44" i="8"/>
  <c r="F44" i="8"/>
  <c r="G44" i="8"/>
  <c r="C43" i="8"/>
  <c r="D43" i="8"/>
  <c r="E43" i="8"/>
  <c r="F43" i="8"/>
  <c r="G43" i="8"/>
  <c r="C42" i="8"/>
  <c r="D42" i="8"/>
  <c r="E42" i="8"/>
  <c r="F42" i="8"/>
  <c r="G42" i="8"/>
  <c r="C41" i="8"/>
  <c r="D41" i="8"/>
  <c r="E41" i="8"/>
  <c r="F41" i="8"/>
  <c r="G41" i="8"/>
  <c r="C40" i="8"/>
  <c r="D40" i="8"/>
  <c r="E40" i="8"/>
  <c r="F40" i="8"/>
  <c r="G40" i="8"/>
  <c r="C39" i="8"/>
  <c r="D39" i="8"/>
  <c r="E39" i="8"/>
  <c r="F39" i="8"/>
  <c r="G39" i="8"/>
  <c r="C38" i="8"/>
  <c r="D38" i="8"/>
  <c r="E38" i="8"/>
  <c r="F38" i="8"/>
  <c r="G38" i="8"/>
  <c r="C37" i="8"/>
  <c r="D37" i="8"/>
  <c r="E37" i="8"/>
  <c r="F37" i="8"/>
  <c r="G37" i="8"/>
  <c r="C36" i="8"/>
  <c r="D36" i="8"/>
  <c r="E36" i="8"/>
  <c r="F36" i="8"/>
  <c r="G36" i="8"/>
  <c r="C35" i="8"/>
  <c r="D35" i="8"/>
  <c r="E35" i="8"/>
  <c r="F35" i="8"/>
  <c r="G35" i="8"/>
  <c r="C34" i="8"/>
  <c r="D34" i="8"/>
  <c r="E34" i="8"/>
  <c r="F34" i="8"/>
  <c r="G34" i="8"/>
  <c r="C33" i="8"/>
  <c r="D33" i="8"/>
  <c r="E33" i="8"/>
  <c r="F33" i="8"/>
  <c r="G33" i="8"/>
  <c r="C32" i="8"/>
  <c r="D32" i="8"/>
  <c r="E32" i="8"/>
  <c r="F32" i="8"/>
  <c r="G32" i="8"/>
  <c r="C31" i="8"/>
  <c r="D31" i="8"/>
  <c r="E31" i="8"/>
  <c r="F31" i="8"/>
  <c r="G31" i="8"/>
  <c r="C30" i="8"/>
  <c r="D30" i="8"/>
  <c r="E30" i="8"/>
  <c r="F30" i="8"/>
  <c r="G30" i="8"/>
  <c r="C29" i="8"/>
  <c r="D29" i="8"/>
  <c r="E29" i="8"/>
  <c r="F29" i="8"/>
  <c r="G29" i="8"/>
  <c r="C28" i="8"/>
  <c r="D28" i="8"/>
  <c r="E28" i="8"/>
  <c r="F28" i="8"/>
  <c r="G28" i="8"/>
  <c r="C27" i="8"/>
  <c r="D27" i="8"/>
  <c r="E27" i="8"/>
  <c r="F27" i="8"/>
  <c r="G27" i="8"/>
  <c r="C26" i="8"/>
  <c r="D26" i="8"/>
  <c r="E26" i="8"/>
  <c r="F26" i="8"/>
  <c r="G26" i="8"/>
  <c r="C25" i="8"/>
  <c r="D25" i="8"/>
  <c r="E25" i="8"/>
  <c r="F25" i="8"/>
  <c r="G25" i="8"/>
  <c r="C24" i="8"/>
  <c r="D24" i="8"/>
  <c r="E24" i="8"/>
  <c r="F24" i="8"/>
  <c r="G24" i="8"/>
  <c r="C23" i="8"/>
  <c r="D23" i="8"/>
  <c r="E23" i="8"/>
  <c r="F23" i="8"/>
  <c r="G23" i="8"/>
  <c r="C22" i="8"/>
  <c r="D22" i="8"/>
  <c r="E22" i="8"/>
  <c r="F22" i="8"/>
  <c r="G22" i="8"/>
  <c r="C21" i="8"/>
  <c r="D21" i="8"/>
  <c r="E21" i="8"/>
  <c r="F21" i="8"/>
  <c r="G21" i="8"/>
  <c r="C20" i="8"/>
  <c r="D20" i="8"/>
  <c r="E20" i="8"/>
  <c r="F20" i="8"/>
  <c r="G20" i="8"/>
  <c r="C19" i="8"/>
  <c r="D19" i="8"/>
  <c r="E19" i="8"/>
  <c r="F19" i="8"/>
  <c r="G19" i="8"/>
  <c r="C18" i="8"/>
  <c r="D18" i="8"/>
  <c r="E18" i="8"/>
  <c r="G18" i="8"/>
  <c r="K13" i="37"/>
  <c r="W13" i="33"/>
  <c r="E53" i="4"/>
  <c r="W4" i="5"/>
  <c r="X4" i="5"/>
  <c r="AH25" i="5" s="1"/>
  <c r="Y4" i="5"/>
  <c r="AA4" i="5"/>
  <c r="AD4" i="5"/>
  <c r="E58" i="4"/>
  <c r="E59" i="4"/>
  <c r="E55" i="4"/>
  <c r="F12" i="28" s="1"/>
  <c r="C94" i="8"/>
  <c r="D94" i="8"/>
  <c r="E94" i="8"/>
  <c r="F94" i="8"/>
  <c r="G94" i="8"/>
  <c r="C95" i="8"/>
  <c r="D95" i="8"/>
  <c r="E95" i="8"/>
  <c r="F95" i="8"/>
  <c r="G95" i="8"/>
  <c r="C96" i="8"/>
  <c r="D96" i="8"/>
  <c r="E96" i="8"/>
  <c r="F96" i="8"/>
  <c r="G96" i="8"/>
  <c r="C97" i="8"/>
  <c r="D97" i="8"/>
  <c r="E97" i="8"/>
  <c r="F97" i="8"/>
  <c r="G97" i="8"/>
  <c r="C98" i="8"/>
  <c r="D98" i="8"/>
  <c r="E98" i="8"/>
  <c r="F98" i="8"/>
  <c r="G98" i="8"/>
  <c r="B14" i="7"/>
  <c r="O19" i="37" s="1"/>
  <c r="O19" i="18"/>
  <c r="B3" i="18"/>
  <c r="AE8" i="5"/>
  <c r="AE9" i="5"/>
  <c r="AE10" i="5"/>
  <c r="AE11" i="5"/>
  <c r="AF32" i="5"/>
  <c r="AF11" i="5" s="1"/>
  <c r="AG32" i="5"/>
  <c r="AG11" i="5" s="1"/>
  <c r="AE12" i="5"/>
  <c r="AE13" i="5"/>
  <c r="AE14" i="5"/>
  <c r="AE15" i="5"/>
  <c r="AE16" i="5"/>
  <c r="AE17" i="5"/>
  <c r="AE18" i="5"/>
  <c r="AE19" i="5"/>
  <c r="AE20" i="5"/>
  <c r="AE21" i="5"/>
  <c r="AE22" i="5"/>
  <c r="AE23" i="5"/>
  <c r="AE24" i="5"/>
  <c r="AE25" i="5"/>
  <c r="AE26" i="5"/>
  <c r="W29" i="5"/>
  <c r="X29" i="5"/>
  <c r="Y29" i="5"/>
  <c r="Z29" i="5"/>
  <c r="AD29" i="5"/>
  <c r="C39" i="5"/>
  <c r="C41" i="5"/>
  <c r="F13" i="28"/>
  <c r="B17" i="17"/>
  <c r="B18" i="17" s="1"/>
  <c r="B19" i="17"/>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B12" i="28"/>
  <c r="B13" i="28" s="1"/>
  <c r="B14" i="28" s="1"/>
  <c r="B15" i="28" s="1"/>
  <c r="B16" i="28" s="1"/>
  <c r="B17" i="28" s="1"/>
  <c r="B18" i="28" s="1"/>
  <c r="B19" i="28" s="1"/>
  <c r="B20" i="28" s="1"/>
  <c r="B21" i="28" s="1"/>
  <c r="B22" i="28" s="1"/>
  <c r="B23" i="28" s="1"/>
  <c r="B24" i="28" s="1"/>
  <c r="B25" i="28" s="1"/>
  <c r="B26" i="28" s="1"/>
  <c r="B27" i="28" s="1"/>
  <c r="B28" i="28" s="1"/>
  <c r="B29" i="28" s="1"/>
  <c r="B30" i="28" s="1"/>
  <c r="B31" i="28" s="1"/>
  <c r="B32" i="28" s="1"/>
  <c r="B33" i="28" s="1"/>
  <c r="B34" i="28" s="1"/>
  <c r="B35" i="28" s="1"/>
  <c r="B36" i="28" s="1"/>
  <c r="B37" i="28" s="1"/>
  <c r="B38" i="28" s="1"/>
  <c r="B39" i="28" s="1"/>
  <c r="B40" i="28" s="1"/>
  <c r="B41" i="28" s="1"/>
  <c r="B42" i="28" s="1"/>
  <c r="B43" i="28" s="1"/>
  <c r="B44" i="28" s="1"/>
  <c r="B45" i="28" s="1"/>
  <c r="B46" i="28" s="1"/>
  <c r="B47" i="28" s="1"/>
  <c r="B48" i="28" s="1"/>
  <c r="B49" i="28" s="1"/>
  <c r="B50" i="28" s="1"/>
  <c r="B51" i="28" s="1"/>
  <c r="B52" i="28" s="1"/>
  <c r="B53" i="28" s="1"/>
  <c r="B54" i="28" s="1"/>
  <c r="B55" i="28" s="1"/>
  <c r="B56" i="28" s="1"/>
  <c r="B57" i="28" s="1"/>
  <c r="B58" i="28" s="1"/>
  <c r="B59" i="28" s="1"/>
  <c r="B60" i="28" s="1"/>
  <c r="B61" i="28" s="1"/>
  <c r="B62" i="28" s="1"/>
  <c r="B63" i="28" s="1"/>
  <c r="B64" i="28" s="1"/>
  <c r="B65" i="28" s="1"/>
  <c r="B66" i="28" s="1"/>
  <c r="B67" i="28" s="1"/>
  <c r="B68" i="28" s="1"/>
  <c r="B69" i="28" s="1"/>
  <c r="B70" i="28" s="1"/>
  <c r="B71" i="28" s="1"/>
  <c r="B72" i="28" s="1"/>
  <c r="B73" i="28" s="1"/>
  <c r="B74" i="28" s="1"/>
  <c r="B75" i="28" s="1"/>
  <c r="B76" i="28" s="1"/>
  <c r="B77" i="28" s="1"/>
  <c r="B78" i="28" s="1"/>
  <c r="B79" i="28" s="1"/>
  <c r="B80" i="28" s="1"/>
  <c r="B81" i="28" s="1"/>
  <c r="B82" i="28" s="1"/>
  <c r="B83" i="28" s="1"/>
  <c r="B84" i="28" s="1"/>
  <c r="B85" i="28" s="1"/>
  <c r="B86" i="28" s="1"/>
  <c r="B87" i="28" s="1"/>
  <c r="B88" i="28" s="1"/>
  <c r="B89" i="28" s="1"/>
  <c r="B90" i="28" s="1"/>
  <c r="B91" i="28" s="1"/>
  <c r="B92" i="28" s="1"/>
  <c r="I4" i="7"/>
  <c r="B13" i="6"/>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18" i="8"/>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15" i="4"/>
  <c r="C18" i="4"/>
  <c r="C19" i="4"/>
  <c r="C34" i="4"/>
  <c r="D53" i="4"/>
  <c r="B62" i="4"/>
  <c r="B63" i="4"/>
  <c r="B64" i="4"/>
  <c r="F75" i="28"/>
  <c r="E83" i="6"/>
  <c r="J17" i="6"/>
  <c r="K13" i="18"/>
  <c r="H76" i="6"/>
  <c r="J46" i="6"/>
  <c r="E70" i="6"/>
  <c r="E29" i="6"/>
  <c r="E18" i="6"/>
  <c r="E43" i="6"/>
  <c r="F43" i="6"/>
  <c r="H43" i="6"/>
  <c r="J43" i="6"/>
  <c r="K43" i="6"/>
  <c r="L43" i="6"/>
  <c r="E44" i="6"/>
  <c r="E35" i="6"/>
  <c r="E34" i="6"/>
  <c r="E37" i="6"/>
  <c r="E28" i="6"/>
  <c r="E20" i="6"/>
  <c r="E58" i="6"/>
  <c r="J41" i="6"/>
  <c r="E67" i="6"/>
  <c r="E23" i="6"/>
  <c r="J80" i="6"/>
  <c r="E63" i="6"/>
  <c r="F63" i="6"/>
  <c r="H63" i="6"/>
  <c r="J63" i="6"/>
  <c r="K63" i="6"/>
  <c r="L63" i="6"/>
  <c r="J53" i="6"/>
  <c r="E46" i="6"/>
  <c r="C47" i="7" s="1"/>
  <c r="P52" i="18" s="1"/>
  <c r="L65" i="6"/>
  <c r="E82" i="6"/>
  <c r="C83" i="7" s="1"/>
  <c r="E64" i="6"/>
  <c r="E76" i="6"/>
  <c r="E60" i="6"/>
  <c r="L13" i="6"/>
  <c r="J67" i="6"/>
  <c r="E55" i="6"/>
  <c r="E36" i="6"/>
  <c r="K51" i="6"/>
  <c r="E54" i="6"/>
  <c r="E13" i="6"/>
  <c r="E66" i="6"/>
  <c r="E79" i="6"/>
  <c r="F79" i="6"/>
  <c r="H79" i="6"/>
  <c r="J79" i="6"/>
  <c r="K79" i="6"/>
  <c r="L79" i="6"/>
  <c r="J42" i="6"/>
  <c r="E88" i="6"/>
  <c r="J22" i="6"/>
  <c r="J92" i="6"/>
  <c r="E87" i="6"/>
  <c r="E51" i="6"/>
  <c r="E33" i="6"/>
  <c r="J82" i="6"/>
  <c r="E45" i="6"/>
  <c r="E27" i="6"/>
  <c r="E74" i="6"/>
  <c r="E57" i="6"/>
  <c r="E78" i="7"/>
  <c r="P83" i="35" s="1"/>
  <c r="L89" i="6"/>
  <c r="K38" i="6"/>
  <c r="K28" i="6"/>
  <c r="L38" i="6"/>
  <c r="E38" i="6"/>
  <c r="F38" i="6"/>
  <c r="H38" i="6"/>
  <c r="J38" i="6"/>
  <c r="K17" i="6"/>
  <c r="F91" i="6"/>
  <c r="D92" i="7" s="1"/>
  <c r="C97" i="35" s="1"/>
  <c r="K42" i="6"/>
  <c r="F40" i="7"/>
  <c r="L93" i="6"/>
  <c r="L54" i="6"/>
  <c r="K23" i="6"/>
  <c r="K88" i="6"/>
  <c r="I89" i="7" s="1"/>
  <c r="L40" i="6"/>
  <c r="L24" i="6"/>
  <c r="L42" i="6"/>
  <c r="K65" i="6"/>
  <c r="F18" i="6"/>
  <c r="K26" i="6"/>
  <c r="O54" i="7"/>
  <c r="L34" i="6"/>
  <c r="F41" i="6"/>
  <c r="F93" i="6"/>
  <c r="F20" i="6"/>
  <c r="L71" i="6"/>
  <c r="G72" i="7"/>
  <c r="P77" i="34" s="1"/>
  <c r="L55" i="6"/>
  <c r="L25" i="6"/>
  <c r="K22" i="6"/>
  <c r="E22" i="6"/>
  <c r="F22" i="6"/>
  <c r="H22" i="6"/>
  <c r="L22" i="6"/>
  <c r="F92" i="6"/>
  <c r="K47" i="6"/>
  <c r="F26" i="6"/>
  <c r="L17" i="6"/>
  <c r="L75" i="6"/>
  <c r="F77" i="6"/>
  <c r="D78" i="7" s="1"/>
  <c r="C83" i="35" s="1"/>
  <c r="L52" i="6"/>
  <c r="L57" i="6"/>
  <c r="L70" i="6"/>
  <c r="L72" i="6"/>
  <c r="K25" i="6"/>
  <c r="K72" i="6"/>
  <c r="E72" i="6"/>
  <c r="F72" i="6"/>
  <c r="D73" i="7" s="1"/>
  <c r="C78" i="35" s="1"/>
  <c r="H72" i="6"/>
  <c r="J72" i="6"/>
  <c r="K46" i="6"/>
  <c r="I47" i="7" s="1"/>
  <c r="F53" i="6"/>
  <c r="L86" i="6"/>
  <c r="F48" i="7"/>
  <c r="C53" i="34" s="1"/>
  <c r="G74" i="7"/>
  <c r="P79" i="34" s="1"/>
  <c r="K92" i="6"/>
  <c r="F59" i="6"/>
  <c r="C46" i="7"/>
  <c r="C51" i="18" s="1"/>
  <c r="K48" i="6"/>
  <c r="L46" i="6"/>
  <c r="O68" i="7"/>
  <c r="O65" i="7"/>
  <c r="E79" i="7"/>
  <c r="P84" i="35" s="1"/>
  <c r="F19" i="6"/>
  <c r="L68" i="6"/>
  <c r="L39" i="6"/>
  <c r="L29" i="6"/>
  <c r="K77" i="6"/>
  <c r="K55" i="6"/>
  <c r="I56" i="7" s="1"/>
  <c r="K81" i="6"/>
  <c r="K59" i="6"/>
  <c r="K74" i="6"/>
  <c r="I75" i="7" s="1"/>
  <c r="L64" i="7"/>
  <c r="E71" i="7"/>
  <c r="P76" i="35" s="1"/>
  <c r="F86" i="6"/>
  <c r="H14" i="6"/>
  <c r="K68" i="6"/>
  <c r="L31" i="6"/>
  <c r="L59" i="6"/>
  <c r="L83" i="6"/>
  <c r="H86" i="6"/>
  <c r="H26" i="6"/>
  <c r="L18" i="6"/>
  <c r="L80" i="6"/>
  <c r="L81" i="6"/>
  <c r="L44" i="6"/>
  <c r="L82" i="6"/>
  <c r="L45" i="6"/>
  <c r="L78" i="6"/>
  <c r="K53" i="6"/>
  <c r="I54" i="7" s="1"/>
  <c r="K87" i="6"/>
  <c r="K33" i="6"/>
  <c r="K78" i="6"/>
  <c r="K19" i="6"/>
  <c r="K75" i="6"/>
  <c r="K52" i="6"/>
  <c r="K18" i="6"/>
  <c r="L23" i="6"/>
  <c r="H67" i="6"/>
  <c r="H80" i="6"/>
  <c r="H71" i="6"/>
  <c r="H53" i="6"/>
  <c r="K36" i="6"/>
  <c r="K70" i="6"/>
  <c r="L87" i="6"/>
  <c r="H36" i="6"/>
  <c r="F37" i="7" s="1"/>
  <c r="H48" i="6"/>
  <c r="L26" i="6"/>
  <c r="L27" i="6"/>
  <c r="L20" i="6"/>
  <c r="L49" i="6"/>
  <c r="L16" i="6"/>
  <c r="L50" i="6"/>
  <c r="L90" i="6"/>
  <c r="K34" i="6"/>
  <c r="K45" i="6"/>
  <c r="I46" i="7" s="1"/>
  <c r="K84" i="6"/>
  <c r="K57" i="6"/>
  <c r="K54" i="6"/>
  <c r="K27" i="6"/>
  <c r="K91" i="6"/>
  <c r="K16" i="6"/>
  <c r="H32" i="6"/>
  <c r="F32" i="6"/>
  <c r="F69" i="6"/>
  <c r="F48" i="6"/>
  <c r="F30" i="6"/>
  <c r="F84" i="6"/>
  <c r="F29" i="6"/>
  <c r="F60" i="6"/>
  <c r="F90" i="6"/>
  <c r="F27" i="6"/>
  <c r="F49" i="6"/>
  <c r="F73" i="6"/>
  <c r="F62" i="6"/>
  <c r="F46" i="6"/>
  <c r="F89" i="6"/>
  <c r="F28" i="6"/>
  <c r="F54" i="6"/>
  <c r="F51" i="6"/>
  <c r="F58" i="6"/>
  <c r="F67" i="6"/>
  <c r="F35" i="6"/>
  <c r="D36" i="7" s="1"/>
  <c r="C41" i="31" s="1"/>
  <c r="F15" i="6"/>
  <c r="F82" i="6"/>
  <c r="D83" i="7" s="1"/>
  <c r="F13" i="6"/>
  <c r="F33" i="6"/>
  <c r="F87" i="6"/>
  <c r="F61" i="6"/>
  <c r="F31" i="6"/>
  <c r="F75" i="6"/>
  <c r="F34" i="6"/>
  <c r="F55" i="6"/>
  <c r="L62" i="6"/>
  <c r="L51" i="6"/>
  <c r="L84" i="6"/>
  <c r="L60" i="6"/>
  <c r="L41" i="6"/>
  <c r="L21" i="6"/>
  <c r="L76" i="6"/>
  <c r="L53" i="6"/>
  <c r="J54" i="7" s="1"/>
  <c r="L33" i="6"/>
  <c r="L14" i="6"/>
  <c r="L48" i="6"/>
  <c r="L91" i="6"/>
  <c r="L47" i="6"/>
  <c r="L74" i="6"/>
  <c r="L67" i="6"/>
  <c r="J68" i="7" s="1"/>
  <c r="L56" i="6"/>
  <c r="L64" i="6"/>
  <c r="L73" i="6"/>
  <c r="L85" i="6"/>
  <c r="K37" i="6"/>
  <c r="K29" i="6"/>
  <c r="K32" i="6"/>
  <c r="K44" i="6"/>
  <c r="K24" i="6"/>
  <c r="K80" i="6"/>
  <c r="K67" i="6"/>
  <c r="K35" i="6"/>
  <c r="K40" i="6"/>
  <c r="K86" i="6"/>
  <c r="K73" i="6"/>
  <c r="K41" i="6"/>
  <c r="K56" i="6"/>
  <c r="K71" i="6"/>
  <c r="K21" i="6"/>
  <c r="K90" i="6"/>
  <c r="K66" i="6"/>
  <c r="K76" i="6"/>
  <c r="I77" i="7" s="1"/>
  <c r="K93" i="6"/>
  <c r="K61" i="6"/>
  <c r="K82" i="6"/>
  <c r="I83" i="7" s="1"/>
  <c r="K62" i="6"/>
  <c r="K20" i="6"/>
  <c r="K58" i="6"/>
  <c r="L15" i="6"/>
  <c r="L36" i="6"/>
  <c r="L61" i="6"/>
  <c r="L77" i="6"/>
  <c r="J78" i="7" s="1"/>
  <c r="F83" i="6"/>
  <c r="F57" i="6"/>
  <c r="F23" i="6"/>
  <c r="L32" i="6"/>
  <c r="L37" i="6"/>
  <c r="L19" i="6"/>
  <c r="L69" i="6"/>
  <c r="L28" i="6"/>
  <c r="L58" i="6"/>
  <c r="L88" i="6"/>
  <c r="J89" i="7" s="1"/>
  <c r="L35" i="6"/>
  <c r="L66" i="6"/>
  <c r="L92" i="6"/>
  <c r="K31" i="6"/>
  <c r="K85" i="6"/>
  <c r="K39" i="6"/>
  <c r="K30" i="6"/>
  <c r="K49" i="6"/>
  <c r="I50" i="7" s="1"/>
  <c r="K89" i="6"/>
  <c r="K13" i="6"/>
  <c r="K83" i="6"/>
  <c r="K14" i="6"/>
  <c r="K60" i="6"/>
  <c r="K64" i="6"/>
  <c r="F68" i="6"/>
  <c r="F24" i="6"/>
  <c r="K69" i="6"/>
  <c r="F39" i="6"/>
  <c r="F50" i="6"/>
  <c r="K15" i="6"/>
  <c r="F21" i="6"/>
  <c r="F37" i="6"/>
  <c r="E81" i="6"/>
  <c r="E42" i="6"/>
  <c r="E90" i="6"/>
  <c r="E15" i="6"/>
  <c r="E52" i="6"/>
  <c r="E85" i="6"/>
  <c r="E89" i="6"/>
  <c r="E69" i="6"/>
  <c r="E47" i="6"/>
  <c r="C48" i="7" s="1"/>
  <c r="E16" i="6"/>
  <c r="E86" i="6"/>
  <c r="E84" i="6"/>
  <c r="E41" i="6"/>
  <c r="E59" i="6"/>
  <c r="E26" i="6"/>
  <c r="E39" i="6"/>
  <c r="E48" i="6"/>
  <c r="E61" i="6"/>
  <c r="E91" i="6"/>
  <c r="C92" i="7" s="1"/>
  <c r="P97" i="18" s="1"/>
  <c r="E68" i="6"/>
  <c r="E53" i="6"/>
  <c r="E17" i="6"/>
  <c r="E93" i="6"/>
  <c r="E77" i="6"/>
  <c r="C78" i="7" s="1"/>
  <c r="E25" i="6"/>
  <c r="E73" i="6"/>
  <c r="E78" i="6"/>
  <c r="E62" i="6"/>
  <c r="C63" i="7" s="1"/>
  <c r="P68" i="18" s="1"/>
  <c r="E30" i="6"/>
  <c r="E80" i="6"/>
  <c r="C81" i="7" s="1"/>
  <c r="E50" i="6"/>
  <c r="E75" i="6"/>
  <c r="J91" i="6"/>
  <c r="J25" i="6"/>
  <c r="J44" i="6"/>
  <c r="J18" i="6"/>
  <c r="J86" i="6"/>
  <c r="J30" i="6"/>
  <c r="J73" i="6"/>
  <c r="J34" i="6"/>
  <c r="H35" i="7" s="1"/>
  <c r="P40" i="33" s="1"/>
  <c r="J74" i="6"/>
  <c r="H75" i="7" s="1"/>
  <c r="J15" i="6"/>
  <c r="J60" i="6"/>
  <c r="J31" i="6"/>
  <c r="J40" i="6"/>
  <c r="J62" i="6"/>
  <c r="J26" i="6"/>
  <c r="J57" i="6"/>
  <c r="J28" i="6"/>
  <c r="J54" i="6"/>
  <c r="J88" i="6"/>
  <c r="J19" i="6"/>
  <c r="J66" i="6"/>
  <c r="J50" i="6"/>
  <c r="J64" i="6"/>
  <c r="J27" i="6"/>
  <c r="J52" i="6"/>
  <c r="J76" i="6"/>
  <c r="H77" i="7" s="1"/>
  <c r="J83" i="6"/>
  <c r="J71" i="6"/>
  <c r="J59" i="6"/>
  <c r="J49" i="6"/>
  <c r="J37" i="6"/>
  <c r="J24" i="6"/>
  <c r="J85" i="6"/>
  <c r="J21" i="6"/>
  <c r="J58" i="6"/>
  <c r="J84" i="6"/>
  <c r="J75" i="6"/>
  <c r="J55" i="6"/>
  <c r="J29" i="6"/>
  <c r="J16" i="6"/>
  <c r="J47" i="6"/>
  <c r="H48" i="7" s="1"/>
  <c r="J68" i="6"/>
  <c r="J14" i="6"/>
  <c r="J87" i="6"/>
  <c r="J93" i="6"/>
  <c r="J39" i="6"/>
  <c r="J70" i="6"/>
  <c r="J51" i="6"/>
  <c r="J35" i="6"/>
  <c r="J13" i="6"/>
  <c r="J45" i="6"/>
  <c r="J77" i="6"/>
  <c r="H46" i="6"/>
  <c r="H52" i="6"/>
  <c r="H20" i="6"/>
  <c r="H84" i="6"/>
  <c r="J65" i="6"/>
  <c r="H27" i="6"/>
  <c r="J56" i="6"/>
  <c r="H74" i="6"/>
  <c r="J20" i="6"/>
  <c r="AH19" i="5"/>
  <c r="H45" i="6"/>
  <c r="H39" i="6"/>
  <c r="H85" i="6"/>
  <c r="H66" i="6"/>
  <c r="H59" i="6"/>
  <c r="H49" i="6"/>
  <c r="H78" i="6"/>
  <c r="H15" i="6"/>
  <c r="H51" i="6"/>
  <c r="H19" i="6"/>
  <c r="H89" i="6"/>
  <c r="H77" i="6"/>
  <c r="H37" i="6"/>
  <c r="H44" i="6"/>
  <c r="H68" i="6"/>
  <c r="H35" i="6"/>
  <c r="H24" i="6"/>
  <c r="H16" i="6"/>
  <c r="H90" i="6"/>
  <c r="H58" i="6"/>
  <c r="H33" i="6"/>
  <c r="H25" i="6"/>
  <c r="H75" i="6"/>
  <c r="H23" i="6"/>
  <c r="H54" i="6"/>
  <c r="H61" i="6"/>
  <c r="F62" i="7" s="1"/>
  <c r="H56" i="6"/>
  <c r="H87" i="6"/>
  <c r="H17" i="6"/>
  <c r="H60" i="6"/>
  <c r="H28" i="6"/>
  <c r="H18" i="6"/>
  <c r="H82" i="6"/>
  <c r="H42" i="6"/>
  <c r="H13" i="6"/>
  <c r="H73" i="6"/>
  <c r="H83" i="6"/>
  <c r="H57" i="6"/>
  <c r="H50" i="6"/>
  <c r="H62" i="6"/>
  <c r="H88" i="6"/>
  <c r="H40" i="6"/>
  <c r="H93" i="6"/>
  <c r="H70" i="6"/>
  <c r="H29" i="6"/>
  <c r="H64" i="6"/>
  <c r="H65" i="6"/>
  <c r="J33" i="6"/>
  <c r="J61" i="6"/>
  <c r="J90" i="6"/>
  <c r="H81" i="6"/>
  <c r="H21" i="6"/>
  <c r="H92" i="6"/>
  <c r="H30" i="6"/>
  <c r="H31" i="6"/>
  <c r="J32" i="6"/>
  <c r="H47" i="6"/>
  <c r="H34" i="6"/>
  <c r="F35" i="7" s="1"/>
  <c r="C40" i="32" s="1"/>
  <c r="H41" i="6"/>
  <c r="H55" i="6"/>
  <c r="F66" i="6"/>
  <c r="F64" i="6"/>
  <c r="F81" i="6"/>
  <c r="F45" i="6"/>
  <c r="F70" i="6"/>
  <c r="D71" i="7" s="1"/>
  <c r="P76" i="31" s="1"/>
  <c r="F56" i="6"/>
  <c r="D57" i="7" s="1"/>
  <c r="P62" i="31" s="1"/>
  <c r="F74" i="6"/>
  <c r="F88" i="6"/>
  <c r="D89" i="7" s="1"/>
  <c r="C94" i="35" s="1"/>
  <c r="F47" i="6"/>
  <c r="F14" i="6"/>
  <c r="F71" i="6"/>
  <c r="F44" i="6"/>
  <c r="F16" i="6"/>
  <c r="F65" i="6"/>
  <c r="F42" i="6"/>
  <c r="F85" i="6"/>
  <c r="F52" i="6"/>
  <c r="F17" i="6"/>
  <c r="F80" i="6"/>
  <c r="F36" i="6"/>
  <c r="F40" i="6"/>
  <c r="F25" i="6"/>
  <c r="F76" i="6"/>
  <c r="E19" i="6"/>
  <c r="E56" i="6"/>
  <c r="E24" i="6"/>
  <c r="E40" i="6"/>
  <c r="E49" i="6"/>
  <c r="E32" i="6"/>
  <c r="E31" i="6"/>
  <c r="E71" i="6"/>
  <c r="E92" i="6"/>
  <c r="H69" i="6"/>
  <c r="J89" i="6"/>
  <c r="J48" i="6"/>
  <c r="J23" i="6"/>
  <c r="J81" i="6"/>
  <c r="J69" i="6"/>
  <c r="J36" i="6"/>
  <c r="O81" i="7"/>
  <c r="C86" i="37" s="1"/>
  <c r="L89" i="7"/>
  <c r="L45" i="7"/>
  <c r="O43" i="7"/>
  <c r="P48" i="37" s="1"/>
  <c r="O48" i="7"/>
  <c r="C53" i="37" s="1"/>
  <c r="F70" i="28"/>
  <c r="F74" i="28"/>
  <c r="F48" i="28"/>
  <c r="F71" i="28"/>
  <c r="F47" i="28"/>
  <c r="F28" i="28"/>
  <c r="F18" i="28"/>
  <c r="F27" i="28"/>
  <c r="F49" i="28"/>
  <c r="F50" i="28"/>
  <c r="F68" i="28"/>
  <c r="F43" i="28"/>
  <c r="F21" i="28"/>
  <c r="F69" i="28"/>
  <c r="F44" i="28"/>
  <c r="F22" i="28"/>
  <c r="F58" i="28"/>
  <c r="F33" i="28"/>
  <c r="F34" i="28"/>
  <c r="F84" i="28"/>
  <c r="F64" i="28"/>
  <c r="F37" i="28"/>
  <c r="F85" i="28"/>
  <c r="F65" i="28"/>
  <c r="F38" i="28"/>
  <c r="F88" i="28"/>
  <c r="F86" i="28"/>
  <c r="F87" i="28"/>
  <c r="F92" i="28"/>
  <c r="F80" i="28"/>
  <c r="F53" i="28"/>
  <c r="F31" i="28"/>
  <c r="F81" i="28"/>
  <c r="F54" i="28"/>
  <c r="F32" i="28"/>
  <c r="F90" i="28"/>
  <c r="F78" i="28"/>
  <c r="F41" i="28"/>
  <c r="F79" i="28"/>
  <c r="F42" i="28"/>
  <c r="F89" i="28"/>
  <c r="F76" i="28"/>
  <c r="F66" i="28"/>
  <c r="F51" i="28"/>
  <c r="F39" i="28"/>
  <c r="F29" i="28"/>
  <c r="F19" i="28"/>
  <c r="F77" i="28"/>
  <c r="F67" i="28"/>
  <c r="F52" i="28"/>
  <c r="F40" i="28"/>
  <c r="F30" i="28"/>
  <c r="F20" i="28"/>
  <c r="F15" i="28"/>
  <c r="F62" i="28"/>
  <c r="F25" i="28"/>
  <c r="F63" i="28"/>
  <c r="F26" i="28"/>
  <c r="F14" i="28"/>
  <c r="F82" i="28"/>
  <c r="F72" i="28"/>
  <c r="F55" i="28"/>
  <c r="F45" i="28"/>
  <c r="F35" i="28"/>
  <c r="F23" i="28"/>
  <c r="F83" i="28"/>
  <c r="F73" i="28"/>
  <c r="F56" i="28"/>
  <c r="F46" i="28"/>
  <c r="F36" i="28"/>
  <c r="F24" i="28"/>
  <c r="F57" i="28"/>
  <c r="F91" i="28"/>
  <c r="F59" i="28"/>
  <c r="F16" i="28"/>
  <c r="W13" i="18"/>
  <c r="K7" i="18"/>
  <c r="W7" i="18"/>
  <c r="F60" i="28"/>
  <c r="F61" i="28"/>
  <c r="F17" i="28"/>
  <c r="B19" i="35"/>
  <c r="K7" i="31"/>
  <c r="W7" i="31"/>
  <c r="K13" i="31"/>
  <c r="W13" i="31"/>
  <c r="K7" i="32"/>
  <c r="W7" i="32"/>
  <c r="K13" i="32"/>
  <c r="W13" i="32"/>
  <c r="K7" i="33"/>
  <c r="K13" i="33"/>
  <c r="E74" i="7"/>
  <c r="P79" i="35" s="1"/>
  <c r="E54" i="7"/>
  <c r="P59" i="35" s="1"/>
  <c r="E46" i="7"/>
  <c r="P51" i="35" s="1"/>
  <c r="E35" i="7"/>
  <c r="P40" i="35" s="1"/>
  <c r="O46" i="4"/>
  <c r="K7" i="34"/>
  <c r="W7" i="34"/>
  <c r="K13" i="34"/>
  <c r="W13" i="34"/>
  <c r="K7" i="35"/>
  <c r="K13" i="35"/>
  <c r="O73" i="7"/>
  <c r="P78" i="37" s="1"/>
  <c r="J48" i="7"/>
  <c r="O52" i="7"/>
  <c r="C57" i="37" s="1"/>
  <c r="L77" i="7"/>
  <c r="G43" i="7"/>
  <c r="P48" i="34" s="1"/>
  <c r="K89" i="7"/>
  <c r="O89" i="7"/>
  <c r="P94" i="37" s="1"/>
  <c r="O79" i="7"/>
  <c r="C84" i="37" s="1"/>
  <c r="L37" i="7"/>
  <c r="O46" i="7"/>
  <c r="C51" i="37" s="1"/>
  <c r="G88" i="7"/>
  <c r="P93" i="34" s="1"/>
  <c r="L57" i="7"/>
  <c r="F65" i="7"/>
  <c r="P70" i="32" s="1"/>
  <c r="C75" i="7"/>
  <c r="C80" i="18" s="1"/>
  <c r="L74" i="7"/>
  <c r="O45" i="7"/>
  <c r="L72" i="7"/>
  <c r="I85" i="7"/>
  <c r="G92" i="7"/>
  <c r="P97" i="34" s="1"/>
  <c r="J92" i="7"/>
  <c r="K92" i="7"/>
  <c r="O92" i="7"/>
  <c r="P97" i="37" s="1"/>
  <c r="H76" i="7"/>
  <c r="P81" i="33" s="1"/>
  <c r="I49" i="7"/>
  <c r="L49" i="7"/>
  <c r="J81" i="7"/>
  <c r="F81" i="7"/>
  <c r="D81" i="7"/>
  <c r="C86" i="31" s="1"/>
  <c r="H81" i="7"/>
  <c r="C54" i="7"/>
  <c r="W13" i="35"/>
  <c r="W7" i="36"/>
  <c r="W13" i="36"/>
  <c r="W7" i="37"/>
  <c r="W13" i="37"/>
  <c r="K7" i="36"/>
  <c r="K13" i="36"/>
  <c r="C53" i="32"/>
  <c r="C97" i="37"/>
  <c r="P20" i="40"/>
  <c r="C20" i="40"/>
  <c r="P24" i="40"/>
  <c r="C24" i="40"/>
  <c r="P29" i="40"/>
  <c r="C29" i="40"/>
  <c r="P31" i="40"/>
  <c r="C31" i="40"/>
  <c r="P33" i="40"/>
  <c r="C33" i="40"/>
  <c r="P37" i="40"/>
  <c r="C37" i="40"/>
  <c r="P39" i="40"/>
  <c r="C39" i="40"/>
  <c r="P41" i="40"/>
  <c r="C41" i="40"/>
  <c r="P45" i="40"/>
  <c r="C45" i="40"/>
  <c r="P47" i="40"/>
  <c r="C47" i="40"/>
  <c r="P49" i="40"/>
  <c r="C49" i="40"/>
  <c r="P53" i="40"/>
  <c r="C53" i="40"/>
  <c r="P55" i="40"/>
  <c r="C55" i="40"/>
  <c r="P57" i="40"/>
  <c r="C57" i="40"/>
  <c r="P60" i="40"/>
  <c r="C60" i="40"/>
  <c r="C62" i="40"/>
  <c r="P64" i="40"/>
  <c r="C64" i="40"/>
  <c r="P66" i="40"/>
  <c r="C66" i="40"/>
  <c r="P68" i="40"/>
  <c r="C68" i="40"/>
  <c r="C70" i="40"/>
  <c r="P72" i="40"/>
  <c r="C72" i="40"/>
  <c r="P74" i="40"/>
  <c r="C74" i="40"/>
  <c r="P76" i="40"/>
  <c r="C76" i="40"/>
  <c r="C78" i="40"/>
  <c r="P80" i="40"/>
  <c r="C80" i="40"/>
  <c r="P82" i="40"/>
  <c r="C82" i="40"/>
  <c r="P84" i="40"/>
  <c r="C84" i="40"/>
  <c r="C86" i="40"/>
  <c r="P88" i="40"/>
  <c r="C88" i="40"/>
  <c r="P90" i="40"/>
  <c r="C90" i="40"/>
  <c r="P93" i="40"/>
  <c r="C93" i="40"/>
  <c r="P95" i="40"/>
  <c r="C95" i="40"/>
  <c r="P97" i="40"/>
  <c r="C97" i="40"/>
  <c r="C99" i="40"/>
  <c r="P51" i="37"/>
  <c r="P57" i="37"/>
  <c r="C19" i="40"/>
  <c r="P21" i="40"/>
  <c r="C21" i="40"/>
  <c r="P23" i="40"/>
  <c r="C23" i="40"/>
  <c r="P25" i="40"/>
  <c r="C25" i="40"/>
  <c r="P26" i="40"/>
  <c r="C26" i="40"/>
  <c r="P28" i="40"/>
  <c r="C28" i="40"/>
  <c r="C30" i="40"/>
  <c r="P32" i="40"/>
  <c r="C32" i="40"/>
  <c r="P34" i="40"/>
  <c r="C34" i="40"/>
  <c r="P36" i="40"/>
  <c r="C36" i="40"/>
  <c r="C38" i="40"/>
  <c r="P40" i="40"/>
  <c r="C40" i="40"/>
  <c r="P42" i="40"/>
  <c r="C42" i="40"/>
  <c r="P44" i="40"/>
  <c r="C44" i="40"/>
  <c r="C46" i="40"/>
  <c r="P48" i="40"/>
  <c r="C48" i="40"/>
  <c r="P50" i="40"/>
  <c r="C50" i="40"/>
  <c r="P52" i="40"/>
  <c r="C52" i="40"/>
  <c r="C54" i="40"/>
  <c r="P56" i="40"/>
  <c r="C56" i="40"/>
  <c r="P58" i="40"/>
  <c r="C58" i="40"/>
  <c r="P61" i="40"/>
  <c r="C61" i="40"/>
  <c r="P63" i="40"/>
  <c r="C63" i="40"/>
  <c r="P65" i="40"/>
  <c r="C65" i="40"/>
  <c r="P69" i="40"/>
  <c r="C69" i="40"/>
  <c r="P71" i="40"/>
  <c r="C71" i="40"/>
  <c r="P73" i="40"/>
  <c r="C73" i="40"/>
  <c r="P77" i="40"/>
  <c r="C77" i="40"/>
  <c r="P79" i="40"/>
  <c r="C79" i="40"/>
  <c r="P81" i="40"/>
  <c r="C81" i="40"/>
  <c r="P85" i="40"/>
  <c r="C85" i="40"/>
  <c r="P87" i="40"/>
  <c r="C87" i="40"/>
  <c r="P89" i="40"/>
  <c r="C89" i="40"/>
  <c r="P92" i="40"/>
  <c r="C92" i="40"/>
  <c r="P96" i="40"/>
  <c r="C96" i="40"/>
  <c r="P98" i="40"/>
  <c r="C98" i="40"/>
  <c r="F12" i="39"/>
  <c r="R16" i="4"/>
  <c r="O17" i="4"/>
  <c r="K6" i="32" s="1"/>
  <c r="W8" i="34"/>
  <c r="W6" i="36"/>
  <c r="W8" i="35"/>
  <c r="K8" i="33"/>
  <c r="K8" i="37"/>
  <c r="K12" i="37" s="1"/>
  <c r="W8" i="37"/>
  <c r="W10" i="35"/>
  <c r="K12" i="34"/>
  <c r="K9" i="34"/>
  <c r="K12" i="35"/>
  <c r="K9" i="37"/>
  <c r="W10" i="37"/>
  <c r="W12" i="37"/>
  <c r="W9" i="37"/>
  <c r="R18" i="8" l="1"/>
  <c r="E19" i="35" s="1"/>
  <c r="R32" i="8"/>
  <c r="R29" i="8"/>
  <c r="E30" i="36" s="1"/>
  <c r="B15" i="7"/>
  <c r="B20" i="33" s="1"/>
  <c r="B19" i="36"/>
  <c r="O19" i="32"/>
  <c r="O19" i="33"/>
  <c r="O19" i="40"/>
  <c r="O20" i="31"/>
  <c r="O19" i="34"/>
  <c r="B19" i="32"/>
  <c r="B19" i="18"/>
  <c r="B19" i="37"/>
  <c r="B19" i="31"/>
  <c r="O19" i="31"/>
  <c r="O19" i="36"/>
  <c r="O20" i="33"/>
  <c r="B16" i="7"/>
  <c r="B21" i="31" s="1"/>
  <c r="B19" i="33"/>
  <c r="O19" i="35"/>
  <c r="B19" i="40"/>
  <c r="B19" i="34"/>
  <c r="P97" i="31"/>
  <c r="C94" i="37"/>
  <c r="C40" i="33"/>
  <c r="P42" i="32"/>
  <c r="C42" i="32"/>
  <c r="R26" i="4"/>
  <c r="R15" i="4"/>
  <c r="S67" i="8"/>
  <c r="L79" i="7"/>
  <c r="H50" i="7"/>
  <c r="C55" i="33" s="1"/>
  <c r="O62" i="7"/>
  <c r="C67" i="37" s="1"/>
  <c r="E62" i="7"/>
  <c r="P67" i="35" s="1"/>
  <c r="AH16" i="5"/>
  <c r="H56" i="7"/>
  <c r="C74" i="7"/>
  <c r="P79" i="18" s="1"/>
  <c r="C62" i="7"/>
  <c r="P67" i="18" s="1"/>
  <c r="C43" i="7"/>
  <c r="C48" i="18" s="1"/>
  <c r="J65" i="7"/>
  <c r="G45" i="7"/>
  <c r="P50" i="34" s="1"/>
  <c r="G85" i="7"/>
  <c r="P90" i="34" s="1"/>
  <c r="F36" i="7"/>
  <c r="P41" i="32" s="1"/>
  <c r="H96" i="8"/>
  <c r="H20" i="8"/>
  <c r="L81" i="7"/>
  <c r="K10" i="37"/>
  <c r="C91" i="40"/>
  <c r="C83" i="40"/>
  <c r="C75" i="40"/>
  <c r="C51" i="40"/>
  <c r="C27" i="40"/>
  <c r="AH15" i="5"/>
  <c r="AH24" i="5"/>
  <c r="K73" i="7"/>
  <c r="K65" i="7"/>
  <c r="H74" i="7"/>
  <c r="P79" i="33" s="1"/>
  <c r="I57" i="7"/>
  <c r="H58" i="7"/>
  <c r="C63" i="33" s="1"/>
  <c r="W13" i="40"/>
  <c r="K13" i="40"/>
  <c r="C94" i="40"/>
  <c r="C67" i="40"/>
  <c r="C59" i="40"/>
  <c r="C43" i="40"/>
  <c r="C35" i="40"/>
  <c r="C22" i="40"/>
  <c r="C78" i="37"/>
  <c r="O74" i="7"/>
  <c r="K75" i="7"/>
  <c r="K56" i="7"/>
  <c r="F57" i="7"/>
  <c r="C62" i="32" s="1"/>
  <c r="D79" i="7"/>
  <c r="C84" i="31" s="1"/>
  <c r="P53" i="32"/>
  <c r="K48" i="7"/>
  <c r="H73" i="7"/>
  <c r="C78" i="33" s="1"/>
  <c r="O56" i="7"/>
  <c r="C57" i="7"/>
  <c r="C62" i="18" s="1"/>
  <c r="D48" i="7"/>
  <c r="C53" i="35" s="1"/>
  <c r="K63" i="7"/>
  <c r="H39" i="7"/>
  <c r="C44" i="33" s="1"/>
  <c r="J55" i="7"/>
  <c r="F83" i="7"/>
  <c r="C88" i="34" s="1"/>
  <c r="R81" i="8"/>
  <c r="E82" i="33" s="1"/>
  <c r="L65" i="7"/>
  <c r="L56" i="7"/>
  <c r="L54" i="7"/>
  <c r="L48" i="7"/>
  <c r="E48" i="7"/>
  <c r="P53" i="35" s="1"/>
  <c r="E92" i="7"/>
  <c r="P97" i="35" s="1"/>
  <c r="G89" i="7"/>
  <c r="P94" i="34" s="1"/>
  <c r="P73" i="37"/>
  <c r="C73" i="37"/>
  <c r="L71" i="7"/>
  <c r="L63" i="7"/>
  <c r="E68" i="7"/>
  <c r="P73" i="35" s="1"/>
  <c r="E72" i="7"/>
  <c r="P77" i="35" s="1"/>
  <c r="G68" i="7"/>
  <c r="P73" i="34" s="1"/>
  <c r="P86" i="37"/>
  <c r="I78" i="7"/>
  <c r="I39" i="7"/>
  <c r="H47" i="7"/>
  <c r="C52" i="33" s="1"/>
  <c r="E83" i="7"/>
  <c r="P88" i="35" s="1"/>
  <c r="L47" i="7"/>
  <c r="C72" i="7"/>
  <c r="C77" i="18" s="1"/>
  <c r="D72" i="7"/>
  <c r="P77" i="31" s="1"/>
  <c r="F63" i="7"/>
  <c r="C68" i="32" s="1"/>
  <c r="F78" i="7"/>
  <c r="J39" i="7"/>
  <c r="H83" i="7"/>
  <c r="C88" i="33" s="1"/>
  <c r="H42" i="7"/>
  <c r="C47" i="33" s="1"/>
  <c r="C71" i="7"/>
  <c r="P76" i="18" s="1"/>
  <c r="L78" i="7"/>
  <c r="K83" i="7"/>
  <c r="O72" i="7"/>
  <c r="C77" i="37" s="1"/>
  <c r="C70" i="32"/>
  <c r="J71" i="7"/>
  <c r="C39" i="7"/>
  <c r="P44" i="18" s="1"/>
  <c r="H68" i="7"/>
  <c r="J47" i="7"/>
  <c r="E47" i="7"/>
  <c r="P52" i="35" s="1"/>
  <c r="I71" i="7"/>
  <c r="F47" i="7"/>
  <c r="C52" i="32" s="1"/>
  <c r="H60" i="7"/>
  <c r="J83" i="7"/>
  <c r="K94" i="7"/>
  <c r="K78" i="7"/>
  <c r="K68" i="7"/>
  <c r="K51" i="7"/>
  <c r="K49" i="7"/>
  <c r="K45" i="7"/>
  <c r="K37" i="7"/>
  <c r="K35" i="7"/>
  <c r="G35" i="7"/>
  <c r="P40" i="34" s="1"/>
  <c r="G39" i="7"/>
  <c r="P44" i="34" s="1"/>
  <c r="G47" i="7"/>
  <c r="P52" i="34" s="1"/>
  <c r="G63" i="7"/>
  <c r="P68" i="34" s="1"/>
  <c r="G71" i="7"/>
  <c r="P76" i="34" s="1"/>
  <c r="G75" i="7"/>
  <c r="P80" i="34" s="1"/>
  <c r="G79" i="7"/>
  <c r="P84" i="34" s="1"/>
  <c r="C70" i="34"/>
  <c r="G78" i="7"/>
  <c r="P83" i="34" s="1"/>
  <c r="H72" i="7"/>
  <c r="D39" i="7"/>
  <c r="C44" i="31" s="1"/>
  <c r="O71" i="7"/>
  <c r="P76" i="37" s="1"/>
  <c r="C68" i="7"/>
  <c r="P73" i="18" s="1"/>
  <c r="O47" i="7"/>
  <c r="O40" i="7"/>
  <c r="P45" i="37" s="1"/>
  <c r="O78" i="7"/>
  <c r="I63" i="7"/>
  <c r="J63" i="7"/>
  <c r="D63" i="7"/>
  <c r="C68" i="35" s="1"/>
  <c r="C73" i="7"/>
  <c r="C78" i="18" s="1"/>
  <c r="I43" i="7"/>
  <c r="I44" i="7"/>
  <c r="H88" i="8"/>
  <c r="H34" i="8"/>
  <c r="H66" i="8"/>
  <c r="R34" i="8"/>
  <c r="Q35" i="37" s="1"/>
  <c r="H62" i="8"/>
  <c r="H70" i="8"/>
  <c r="H74" i="8"/>
  <c r="H78" i="8"/>
  <c r="R35" i="8"/>
  <c r="Q36" i="32" s="1"/>
  <c r="H46" i="8"/>
  <c r="R60" i="8"/>
  <c r="E61" i="40" s="1"/>
  <c r="F61" i="40" s="1"/>
  <c r="R95" i="8"/>
  <c r="E96" i="18" s="1"/>
  <c r="H57" i="8"/>
  <c r="H27" i="8"/>
  <c r="R31" i="8"/>
  <c r="Q32" i="34" s="1"/>
  <c r="H38" i="8"/>
  <c r="H50" i="8"/>
  <c r="H89" i="8"/>
  <c r="H29" i="8"/>
  <c r="H40" i="8"/>
  <c r="C45" i="32"/>
  <c r="P45" i="32"/>
  <c r="C48" i="37"/>
  <c r="J82" i="7"/>
  <c r="O50" i="7"/>
  <c r="E82" i="7"/>
  <c r="P87" i="35" s="1"/>
  <c r="F58" i="7"/>
  <c r="C63" i="34" s="1"/>
  <c r="H40" i="7"/>
  <c r="P45" i="33" s="1"/>
  <c r="D37" i="7"/>
  <c r="C42" i="35" s="1"/>
  <c r="I37" i="7"/>
  <c r="L88" i="7"/>
  <c r="C88" i="7"/>
  <c r="C93" i="18" s="1"/>
  <c r="E52" i="7"/>
  <c r="P57" i="35" s="1"/>
  <c r="I52" i="7"/>
  <c r="O35" i="7"/>
  <c r="J35" i="7"/>
  <c r="G77" i="7"/>
  <c r="P82" i="34" s="1"/>
  <c r="J77" i="7"/>
  <c r="C77" i="7"/>
  <c r="C82" i="18" s="1"/>
  <c r="C35" i="7"/>
  <c r="P40" i="18" s="1"/>
  <c r="K88" i="7"/>
  <c r="L52" i="7"/>
  <c r="L50" i="7"/>
  <c r="L46" i="7"/>
  <c r="L40" i="7"/>
  <c r="G40" i="7"/>
  <c r="P45" i="34" s="1"/>
  <c r="G52" i="7"/>
  <c r="P57" i="34" s="1"/>
  <c r="P53" i="37"/>
  <c r="C86" i="33"/>
  <c r="P86" i="33"/>
  <c r="H85" i="7"/>
  <c r="P90" i="33" s="1"/>
  <c r="P77" i="37"/>
  <c r="F45" i="7"/>
  <c r="P50" i="32" s="1"/>
  <c r="J88" i="7"/>
  <c r="K46" i="7"/>
  <c r="J37" i="7"/>
  <c r="F50" i="7"/>
  <c r="P55" i="32" s="1"/>
  <c r="O77" i="7"/>
  <c r="P82" i="37" s="1"/>
  <c r="H37" i="7"/>
  <c r="C42" i="33" s="1"/>
  <c r="L85" i="7"/>
  <c r="C37" i="7"/>
  <c r="C42" i="18" s="1"/>
  <c r="I58" i="7"/>
  <c r="I73" i="7"/>
  <c r="G49" i="7"/>
  <c r="P54" i="34" s="1"/>
  <c r="O49" i="7"/>
  <c r="C54" i="37" s="1"/>
  <c r="J43" i="7"/>
  <c r="F43" i="7"/>
  <c r="K77" i="7"/>
  <c r="K54" i="7"/>
  <c r="K52" i="7"/>
  <c r="K40" i="7"/>
  <c r="E45" i="7"/>
  <c r="P50" i="35" s="1"/>
  <c r="E57" i="7"/>
  <c r="P62" i="35" s="1"/>
  <c r="E77" i="7"/>
  <c r="P82" i="35" s="1"/>
  <c r="G65" i="7"/>
  <c r="P70" i="34" s="1"/>
  <c r="P84" i="37"/>
  <c r="C45" i="34"/>
  <c r="F82" i="7"/>
  <c r="H54" i="7"/>
  <c r="P59" i="33" s="1"/>
  <c r="C49" i="7"/>
  <c r="C54" i="18" s="1"/>
  <c r="O85" i="7"/>
  <c r="P90" i="37" s="1"/>
  <c r="L75" i="7"/>
  <c r="C56" i="7"/>
  <c r="H57" i="7"/>
  <c r="C62" i="33" s="1"/>
  <c r="L62" i="7"/>
  <c r="O88" i="7"/>
  <c r="H46" i="7"/>
  <c r="C51" i="33" s="1"/>
  <c r="G46" i="7"/>
  <c r="P51" i="34" s="1"/>
  <c r="G37" i="7"/>
  <c r="P42" i="34" s="1"/>
  <c r="G50" i="7"/>
  <c r="P55" i="34" s="1"/>
  <c r="F77" i="7"/>
  <c r="C82" i="34" s="1"/>
  <c r="H88" i="7"/>
  <c r="J46" i="7"/>
  <c r="L73" i="7"/>
  <c r="E43" i="7"/>
  <c r="P48" i="35" s="1"/>
  <c r="E85" i="7"/>
  <c r="P90" i="35" s="1"/>
  <c r="K50" i="7"/>
  <c r="J85" i="7"/>
  <c r="K85" i="7"/>
  <c r="D77" i="7"/>
  <c r="P82" i="31" s="1"/>
  <c r="F56" i="7"/>
  <c r="C61" i="32" s="1"/>
  <c r="F74" i="7"/>
  <c r="C79" i="34" s="1"/>
  <c r="F88" i="7"/>
  <c r="C93" i="32" s="1"/>
  <c r="F38" i="7"/>
  <c r="P43" i="32" s="1"/>
  <c r="F52" i="7"/>
  <c r="C57" i="34" s="1"/>
  <c r="F75" i="7"/>
  <c r="C80" i="32" s="1"/>
  <c r="F85" i="7"/>
  <c r="C90" i="32" s="1"/>
  <c r="H52" i="7"/>
  <c r="C40" i="7"/>
  <c r="C45" i="18" s="1"/>
  <c r="D40" i="7"/>
  <c r="C45" i="35" s="1"/>
  <c r="I65" i="7"/>
  <c r="I40" i="7"/>
  <c r="I62" i="7"/>
  <c r="I45" i="7"/>
  <c r="J49" i="7"/>
  <c r="D56" i="7"/>
  <c r="P61" i="31" s="1"/>
  <c r="D50" i="7"/>
  <c r="C55" i="35" s="1"/>
  <c r="J40" i="7"/>
  <c r="E63" i="7"/>
  <c r="P68" i="35" s="1"/>
  <c r="O63" i="7"/>
  <c r="P68" i="37" s="1"/>
  <c r="F68" i="7"/>
  <c r="L68" i="7"/>
  <c r="F39" i="7"/>
  <c r="P44" i="32" s="1"/>
  <c r="E39" i="7"/>
  <c r="P44" i="35" s="1"/>
  <c r="L39" i="7"/>
  <c r="O39" i="7"/>
  <c r="C44" i="37" s="1"/>
  <c r="J87" i="7"/>
  <c r="L83" i="7"/>
  <c r="G83" i="7"/>
  <c r="P88" i="34" s="1"/>
  <c r="O83" i="7"/>
  <c r="F51" i="7"/>
  <c r="P56" i="32" s="1"/>
  <c r="H71" i="7"/>
  <c r="C76" i="33" s="1"/>
  <c r="H45" i="7"/>
  <c r="P50" i="33" s="1"/>
  <c r="C79" i="7"/>
  <c r="C84" i="18" s="1"/>
  <c r="J36" i="7"/>
  <c r="I74" i="7"/>
  <c r="I68" i="7"/>
  <c r="D52" i="7"/>
  <c r="C57" i="31" s="1"/>
  <c r="D47" i="7"/>
  <c r="P52" i="31" s="1"/>
  <c r="D54" i="7"/>
  <c r="C59" i="31" s="1"/>
  <c r="J73" i="7"/>
  <c r="J56" i="7"/>
  <c r="H43" i="7"/>
  <c r="P48" i="33" s="1"/>
  <c r="E50" i="7"/>
  <c r="P55" i="35" s="1"/>
  <c r="R52" i="8"/>
  <c r="Q53" i="18" s="1"/>
  <c r="H75" i="8"/>
  <c r="R79" i="8"/>
  <c r="Q80" i="33" s="1"/>
  <c r="R33" i="8"/>
  <c r="E34" i="37" s="1"/>
  <c r="H36" i="8"/>
  <c r="H37" i="8"/>
  <c r="R49" i="8"/>
  <c r="R57" i="8"/>
  <c r="Q58" i="36" s="1"/>
  <c r="R58" i="36" s="1"/>
  <c r="H76" i="8"/>
  <c r="R21" i="8"/>
  <c r="E22" i="32" s="1"/>
  <c r="R25" i="8"/>
  <c r="E26" i="33" s="1"/>
  <c r="R82" i="8"/>
  <c r="Q83" i="34" s="1"/>
  <c r="R98" i="8"/>
  <c r="E99" i="37" s="1"/>
  <c r="R26" i="8"/>
  <c r="E27" i="34" s="1"/>
  <c r="H30" i="8"/>
  <c r="R37" i="8"/>
  <c r="E38" i="40" s="1"/>
  <c r="Q82" i="36"/>
  <c r="R82" i="36" s="1"/>
  <c r="R97" i="8"/>
  <c r="R19" i="8"/>
  <c r="E20" i="31" s="1"/>
  <c r="H23" i="8"/>
  <c r="R68" i="8"/>
  <c r="E69" i="36" s="1"/>
  <c r="R83" i="8"/>
  <c r="E84" i="31" s="1"/>
  <c r="H91" i="8"/>
  <c r="H39" i="8"/>
  <c r="H41" i="8"/>
  <c r="R51" i="8"/>
  <c r="E52" i="37" s="1"/>
  <c r="H56" i="8"/>
  <c r="R63" i="8"/>
  <c r="E64" i="36" s="1"/>
  <c r="R65" i="8"/>
  <c r="Q66" i="32" s="1"/>
  <c r="R67" i="8"/>
  <c r="E68" i="34" s="1"/>
  <c r="H69" i="8"/>
  <c r="R71" i="8"/>
  <c r="Q72" i="33" s="1"/>
  <c r="H73" i="8"/>
  <c r="R75" i="8"/>
  <c r="E76" i="18" s="1"/>
  <c r="H79" i="8"/>
  <c r="H82" i="8"/>
  <c r="H84" i="8"/>
  <c r="H86" i="8"/>
  <c r="H90" i="8"/>
  <c r="H92" i="8"/>
  <c r="R23" i="8"/>
  <c r="E24" i="18" s="1"/>
  <c r="R69" i="8"/>
  <c r="E70" i="33" s="1"/>
  <c r="R73" i="8"/>
  <c r="R55" i="8"/>
  <c r="H55" i="8"/>
  <c r="R59" i="8"/>
  <c r="Q60" i="40" s="1"/>
  <c r="H59" i="8"/>
  <c r="H77" i="8"/>
  <c r="R77" i="8"/>
  <c r="R93" i="8"/>
  <c r="Q94" i="35" s="1"/>
  <c r="H93" i="8"/>
  <c r="R39" i="8"/>
  <c r="H98" i="8"/>
  <c r="H22" i="8"/>
  <c r="H43" i="8"/>
  <c r="H47" i="8"/>
  <c r="H54" i="8"/>
  <c r="R61" i="8"/>
  <c r="H65" i="8"/>
  <c r="H68" i="8"/>
  <c r="H72" i="8"/>
  <c r="R87" i="8"/>
  <c r="E88" i="31" s="1"/>
  <c r="R91" i="8"/>
  <c r="Q92" i="40" s="1"/>
  <c r="R85" i="8"/>
  <c r="H85" i="8"/>
  <c r="R89" i="8"/>
  <c r="R27" i="8"/>
  <c r="R53" i="8"/>
  <c r="H53" i="8"/>
  <c r="H87" i="8"/>
  <c r="I88" i="7"/>
  <c r="P79" i="32"/>
  <c r="C83" i="34"/>
  <c r="P83" i="32"/>
  <c r="C67" i="32"/>
  <c r="P67" i="32"/>
  <c r="C67" i="34"/>
  <c r="C62" i="34"/>
  <c r="P52" i="32"/>
  <c r="C42" i="34"/>
  <c r="F46" i="7"/>
  <c r="E56" i="7"/>
  <c r="P61" i="35" s="1"/>
  <c r="O62" i="6"/>
  <c r="M63" i="7" s="1"/>
  <c r="O74" i="6"/>
  <c r="M75" i="7" s="1"/>
  <c r="O23" i="6"/>
  <c r="P61" i="33"/>
  <c r="C61" i="33"/>
  <c r="P82" i="33"/>
  <c r="C82" i="33"/>
  <c r="P88" i="33"/>
  <c r="O89" i="6"/>
  <c r="M90" i="7" s="1"/>
  <c r="O76" i="6"/>
  <c r="M77" i="7" s="1"/>
  <c r="P78" i="33"/>
  <c r="O82" i="6"/>
  <c r="M83" i="7" s="1"/>
  <c r="O30" i="6"/>
  <c r="O24" i="6"/>
  <c r="P24" i="6" s="1"/>
  <c r="O83" i="6"/>
  <c r="P83" i="6" s="1"/>
  <c r="O42" i="6"/>
  <c r="M43" i="7" s="1"/>
  <c r="O72" i="6"/>
  <c r="M73" i="7" s="1"/>
  <c r="D49" i="7"/>
  <c r="P54" i="31" s="1"/>
  <c r="P21" i="6"/>
  <c r="C88" i="31"/>
  <c r="P88" i="31"/>
  <c r="C88" i="35"/>
  <c r="D65" i="7"/>
  <c r="C70" i="31" s="1"/>
  <c r="O88" i="6"/>
  <c r="M89" i="7" s="1"/>
  <c r="O50" i="6"/>
  <c r="P50" i="6" s="1"/>
  <c r="O20" i="6"/>
  <c r="O14" i="6"/>
  <c r="C97" i="31"/>
  <c r="O64" i="6"/>
  <c r="M65" i="7" s="1"/>
  <c r="O31" i="6"/>
  <c r="O49" i="6"/>
  <c r="M50" i="7" s="1"/>
  <c r="P62" i="18"/>
  <c r="C67" i="18"/>
  <c r="P23" i="6"/>
  <c r="P8" i="6"/>
  <c r="O61" i="6"/>
  <c r="P61" i="6" s="1"/>
  <c r="O43" i="6"/>
  <c r="M44" i="7" s="1"/>
  <c r="O38" i="6"/>
  <c r="M39" i="7" s="1"/>
  <c r="O59" i="6"/>
  <c r="P59" i="6" s="1"/>
  <c r="O78" i="6"/>
  <c r="P78" i="6" s="1"/>
  <c r="O16" i="6"/>
  <c r="O90" i="6"/>
  <c r="P90" i="6" s="1"/>
  <c r="O47" i="6"/>
  <c r="M48" i="7" s="1"/>
  <c r="O52" i="6"/>
  <c r="P52" i="6" s="1"/>
  <c r="O32" i="6"/>
  <c r="O81" i="6"/>
  <c r="M82" i="7" s="1"/>
  <c r="O55" i="6"/>
  <c r="P55" i="6" s="1"/>
  <c r="O33" i="6"/>
  <c r="P33" i="6" s="1"/>
  <c r="O17" i="6"/>
  <c r="P17" i="6" s="1"/>
  <c r="O51" i="6"/>
  <c r="M52" i="7" s="1"/>
  <c r="O85" i="6"/>
  <c r="P85" i="6" s="1"/>
  <c r="O60" i="6"/>
  <c r="P60" i="6" s="1"/>
  <c r="O40" i="6"/>
  <c r="M41" i="7" s="1"/>
  <c r="O36" i="6"/>
  <c r="P36" i="6" s="1"/>
  <c r="O26" i="6"/>
  <c r="P26" i="6" s="1"/>
  <c r="O66" i="6"/>
  <c r="P66" i="6" s="1"/>
  <c r="O22" i="6"/>
  <c r="O54" i="6"/>
  <c r="P54" i="6" s="1"/>
  <c r="O77" i="6"/>
  <c r="M78" i="7" s="1"/>
  <c r="O34" i="6"/>
  <c r="M35" i="7" s="1"/>
  <c r="O86" i="6"/>
  <c r="M87" i="7" s="1"/>
  <c r="O57" i="6"/>
  <c r="M58" i="7" s="1"/>
  <c r="O46" i="6"/>
  <c r="O18" i="6"/>
  <c r="P18" i="6" s="1"/>
  <c r="O80" i="6"/>
  <c r="O87" i="6"/>
  <c r="O48" i="6"/>
  <c r="P48" i="6" s="1"/>
  <c r="O91" i="6"/>
  <c r="M92" i="7" s="1"/>
  <c r="O73" i="6"/>
  <c r="M74" i="7" s="1"/>
  <c r="O70" i="6"/>
  <c r="M71" i="7" s="1"/>
  <c r="O84" i="6"/>
  <c r="M85" i="7" s="1"/>
  <c r="O13" i="6"/>
  <c r="O25" i="6"/>
  <c r="O39" i="6"/>
  <c r="P39" i="6" s="1"/>
  <c r="O56" i="6"/>
  <c r="M57" i="7" s="1"/>
  <c r="O53" i="6"/>
  <c r="M54" i="7" s="1"/>
  <c r="O37" i="6"/>
  <c r="M38" i="7" s="1"/>
  <c r="O29" i="6"/>
  <c r="P29" i="6" s="1"/>
  <c r="O15" i="6"/>
  <c r="O41" i="6"/>
  <c r="M42" i="7" s="1"/>
  <c r="O65" i="6"/>
  <c r="M66" i="7" s="1"/>
  <c r="O71" i="6"/>
  <c r="P71" i="6" s="1"/>
  <c r="O68" i="6"/>
  <c r="P68" i="6" s="1"/>
  <c r="O45" i="6"/>
  <c r="M46" i="7" s="1"/>
  <c r="O28" i="6"/>
  <c r="O75" i="6"/>
  <c r="P75" i="6" s="1"/>
  <c r="C88" i="18"/>
  <c r="P86" i="18"/>
  <c r="C86" i="18"/>
  <c r="C50" i="7"/>
  <c r="C55" i="18" s="1"/>
  <c r="O19" i="6"/>
  <c r="P19" i="6" s="1"/>
  <c r="O58" i="6"/>
  <c r="M59" i="7" s="1"/>
  <c r="O27" i="6"/>
  <c r="O67" i="6"/>
  <c r="M68" i="7" s="1"/>
  <c r="O69" i="6"/>
  <c r="M70" i="7" s="1"/>
  <c r="O92" i="6"/>
  <c r="M93" i="7" s="1"/>
  <c r="O44" i="6"/>
  <c r="M45" i="7" s="1"/>
  <c r="O93" i="6"/>
  <c r="P93" i="6" s="1"/>
  <c r="O35" i="6"/>
  <c r="P35" i="6" s="1"/>
  <c r="O79" i="6"/>
  <c r="P79" i="6" s="1"/>
  <c r="O63" i="6"/>
  <c r="M64" i="7" s="1"/>
  <c r="P72" i="6"/>
  <c r="C59" i="18"/>
  <c r="P59" i="18"/>
  <c r="P65" i="33"/>
  <c r="C65" i="33"/>
  <c r="C55" i="31"/>
  <c r="F87" i="7"/>
  <c r="P92" i="32" s="1"/>
  <c r="G87" i="7"/>
  <c r="P92" i="34" s="1"/>
  <c r="O87" i="7"/>
  <c r="E87" i="7"/>
  <c r="P92" i="35" s="1"/>
  <c r="L87" i="7"/>
  <c r="H87" i="7"/>
  <c r="P92" i="33" s="1"/>
  <c r="D87" i="7"/>
  <c r="K87" i="7"/>
  <c r="G91" i="7"/>
  <c r="P96" i="34" s="1"/>
  <c r="F91" i="7"/>
  <c r="C96" i="32" s="1"/>
  <c r="L91" i="7"/>
  <c r="H91" i="7"/>
  <c r="D91" i="7"/>
  <c r="P96" i="31" s="1"/>
  <c r="J91" i="7"/>
  <c r="K76" i="7"/>
  <c r="L76" i="7"/>
  <c r="E76" i="7"/>
  <c r="P81" i="35" s="1"/>
  <c r="G76" i="7"/>
  <c r="P81" i="34" s="1"/>
  <c r="O76" i="7"/>
  <c r="J90" i="7"/>
  <c r="K90" i="7"/>
  <c r="H90" i="7"/>
  <c r="D90" i="7"/>
  <c r="E90" i="7"/>
  <c r="P95" i="35" s="1"/>
  <c r="G90" i="7"/>
  <c r="P95" i="34" s="1"/>
  <c r="F86" i="7"/>
  <c r="C91" i="32" s="1"/>
  <c r="C86" i="7"/>
  <c r="E86" i="7"/>
  <c r="P91" i="35" s="1"/>
  <c r="O86" i="7"/>
  <c r="K86" i="7"/>
  <c r="H86" i="7"/>
  <c r="D86" i="7"/>
  <c r="C91" i="31" s="1"/>
  <c r="G86" i="7"/>
  <c r="P91" i="34" s="1"/>
  <c r="L84" i="7"/>
  <c r="O84" i="7"/>
  <c r="H84" i="7"/>
  <c r="P89" i="33" s="1"/>
  <c r="E84" i="7"/>
  <c r="P89" i="35" s="1"/>
  <c r="K84" i="7"/>
  <c r="I84" i="7"/>
  <c r="F84" i="7"/>
  <c r="C84" i="7"/>
  <c r="P89" i="18" s="1"/>
  <c r="D84" i="7"/>
  <c r="L41" i="7"/>
  <c r="K41" i="7"/>
  <c r="I41" i="7"/>
  <c r="O41" i="7"/>
  <c r="E41" i="7"/>
  <c r="P46" i="35" s="1"/>
  <c r="G41" i="7"/>
  <c r="P46" i="34" s="1"/>
  <c r="C41" i="7"/>
  <c r="L59" i="7"/>
  <c r="F59" i="7"/>
  <c r="G59" i="7"/>
  <c r="P64" i="34" s="1"/>
  <c r="O59" i="7"/>
  <c r="D59" i="7"/>
  <c r="C59" i="7"/>
  <c r="H59" i="7"/>
  <c r="P64" i="33" s="1"/>
  <c r="L34" i="7"/>
  <c r="K34" i="7"/>
  <c r="H34" i="7"/>
  <c r="C39" i="33" s="1"/>
  <c r="C34" i="7"/>
  <c r="C39" i="18" s="1"/>
  <c r="D34" i="7"/>
  <c r="P39" i="31" s="1"/>
  <c r="J34" i="7"/>
  <c r="E34" i="7"/>
  <c r="P39" i="35" s="1"/>
  <c r="F34" i="7"/>
  <c r="C39" i="34" s="1"/>
  <c r="P83" i="31"/>
  <c r="C83" i="31"/>
  <c r="G34" i="7"/>
  <c r="P39" i="34" s="1"/>
  <c r="I59" i="7"/>
  <c r="C50" i="37"/>
  <c r="P50" i="37"/>
  <c r="G84" i="7"/>
  <c r="P89" i="34" s="1"/>
  <c r="C87" i="7"/>
  <c r="K59" i="7"/>
  <c r="J59" i="7"/>
  <c r="J84" i="7"/>
  <c r="D67" i="7"/>
  <c r="I67" i="7"/>
  <c r="E67" i="7"/>
  <c r="P72" i="35" s="1"/>
  <c r="G67" i="7"/>
  <c r="P72" i="34" s="1"/>
  <c r="O67" i="7"/>
  <c r="F67" i="7"/>
  <c r="C72" i="34" s="1"/>
  <c r="E64" i="7"/>
  <c r="P69" i="35" s="1"/>
  <c r="G64" i="7"/>
  <c r="P69" i="34" s="1"/>
  <c r="D64" i="7"/>
  <c r="H64" i="7"/>
  <c r="J64" i="7"/>
  <c r="C64" i="7"/>
  <c r="P69" i="18" s="1"/>
  <c r="O64" i="7"/>
  <c r="D42" i="7"/>
  <c r="F42" i="7"/>
  <c r="C47" i="32" s="1"/>
  <c r="G42" i="7"/>
  <c r="P47" i="34" s="1"/>
  <c r="L42" i="7"/>
  <c r="C42" i="7"/>
  <c r="O42" i="7"/>
  <c r="I42" i="7"/>
  <c r="J53" i="7"/>
  <c r="H53" i="7"/>
  <c r="P58" i="33" s="1"/>
  <c r="K53" i="7"/>
  <c r="I53" i="7"/>
  <c r="E53" i="7"/>
  <c r="P58" i="35" s="1"/>
  <c r="O53" i="7"/>
  <c r="L70" i="7"/>
  <c r="I70" i="7"/>
  <c r="C70" i="7"/>
  <c r="H69" i="7"/>
  <c r="E69" i="7"/>
  <c r="P74" i="35" s="1"/>
  <c r="K69" i="7"/>
  <c r="I69" i="7"/>
  <c r="F69" i="7"/>
  <c r="C74" i="32" s="1"/>
  <c r="O55" i="7"/>
  <c r="G55" i="7"/>
  <c r="P60" i="34" s="1"/>
  <c r="D55" i="7"/>
  <c r="C60" i="31" s="1"/>
  <c r="I55" i="7"/>
  <c r="E55" i="7"/>
  <c r="P60" i="35" s="1"/>
  <c r="K55" i="7"/>
  <c r="F55" i="7"/>
  <c r="L55" i="7"/>
  <c r="K60" i="7"/>
  <c r="E60" i="7"/>
  <c r="P65" i="35" s="1"/>
  <c r="G60" i="7"/>
  <c r="P65" i="34" s="1"/>
  <c r="I60" i="7"/>
  <c r="L60" i="7"/>
  <c r="O60" i="7"/>
  <c r="I51" i="7"/>
  <c r="H51" i="7"/>
  <c r="J51" i="7"/>
  <c r="O51" i="7"/>
  <c r="E51" i="7"/>
  <c r="P56" i="35" s="1"/>
  <c r="G51" i="7"/>
  <c r="P56" i="34" s="1"/>
  <c r="L51" i="7"/>
  <c r="D51" i="7"/>
  <c r="C56" i="31" s="1"/>
  <c r="D93" i="7"/>
  <c r="C98" i="31" s="1"/>
  <c r="H93" i="7"/>
  <c r="E93" i="7"/>
  <c r="P98" i="35" s="1"/>
  <c r="O93" i="7"/>
  <c r="J93" i="7"/>
  <c r="G93" i="7"/>
  <c r="P98" i="34" s="1"/>
  <c r="I93" i="7"/>
  <c r="G36" i="7"/>
  <c r="P41" i="34" s="1"/>
  <c r="L36" i="7"/>
  <c r="E36" i="7"/>
  <c r="P41" i="35" s="1"/>
  <c r="K36" i="7"/>
  <c r="C36" i="7"/>
  <c r="C41" i="18" s="1"/>
  <c r="E38" i="7"/>
  <c r="P43" i="35" s="1"/>
  <c r="I38" i="7"/>
  <c r="D38" i="7"/>
  <c r="C43" i="35" s="1"/>
  <c r="J38" i="7"/>
  <c r="G38" i="7"/>
  <c r="P43" i="34" s="1"/>
  <c r="L38" i="7"/>
  <c r="K38" i="7"/>
  <c r="H38" i="7"/>
  <c r="P43" i="33" s="1"/>
  <c r="L61" i="7"/>
  <c r="F61" i="7"/>
  <c r="D61" i="7"/>
  <c r="H61" i="7"/>
  <c r="C66" i="33" s="1"/>
  <c r="E61" i="7"/>
  <c r="P66" i="35" s="1"/>
  <c r="G61" i="7"/>
  <c r="P66" i="34" s="1"/>
  <c r="C61" i="7"/>
  <c r="I61" i="7"/>
  <c r="E44" i="7"/>
  <c r="P49" i="35" s="1"/>
  <c r="O44" i="7"/>
  <c r="L44" i="7"/>
  <c r="F44" i="7"/>
  <c r="C49" i="32" s="1"/>
  <c r="G44" i="7"/>
  <c r="P49" i="34" s="1"/>
  <c r="H44" i="7"/>
  <c r="C49" i="33" s="1"/>
  <c r="C44" i="7"/>
  <c r="C49" i="18" s="1"/>
  <c r="D66" i="7"/>
  <c r="I66" i="7"/>
  <c r="J66" i="7"/>
  <c r="F66" i="7"/>
  <c r="K66" i="7"/>
  <c r="G66" i="7"/>
  <c r="P71" i="34" s="1"/>
  <c r="L66" i="7"/>
  <c r="H66" i="7"/>
  <c r="O66" i="7"/>
  <c r="E94" i="7"/>
  <c r="P99" i="35" s="1"/>
  <c r="I94" i="7"/>
  <c r="H94" i="7"/>
  <c r="M94" i="7"/>
  <c r="F94" i="7"/>
  <c r="K93" i="7"/>
  <c r="K67" i="7"/>
  <c r="K61" i="7"/>
  <c r="C82" i="31"/>
  <c r="G94" i="7"/>
  <c r="P99" i="34" s="1"/>
  <c r="O90" i="7"/>
  <c r="P54" i="37"/>
  <c r="C66" i="7"/>
  <c r="J61" i="7"/>
  <c r="O38" i="7"/>
  <c r="C38" i="7"/>
  <c r="O36" i="7"/>
  <c r="P41" i="37" s="1"/>
  <c r="P83" i="18"/>
  <c r="C83" i="18"/>
  <c r="C53" i="33"/>
  <c r="P53" i="33"/>
  <c r="I64" i="7"/>
  <c r="J67" i="7"/>
  <c r="C59" i="37"/>
  <c r="P59" i="37"/>
  <c r="F41" i="7"/>
  <c r="J41" i="7"/>
  <c r="I86" i="7"/>
  <c r="L90" i="7"/>
  <c r="C81" i="33"/>
  <c r="C77" i="33"/>
  <c r="P77" i="33"/>
  <c r="H55" i="7"/>
  <c r="C60" i="33" s="1"/>
  <c r="G70" i="7"/>
  <c r="P75" i="34" s="1"/>
  <c r="G53" i="7"/>
  <c r="P58" i="34" s="1"/>
  <c r="P70" i="37"/>
  <c r="C70" i="37"/>
  <c r="J44" i="7"/>
  <c r="C40" i="34"/>
  <c r="P40" i="32"/>
  <c r="O61" i="7"/>
  <c r="D41" i="7"/>
  <c r="O91" i="7"/>
  <c r="P53" i="18"/>
  <c r="C53" i="18"/>
  <c r="L67" i="7"/>
  <c r="E66" i="7"/>
  <c r="P71" i="35" s="1"/>
  <c r="C52" i="18"/>
  <c r="F64" i="7"/>
  <c r="O80" i="7"/>
  <c r="C78" i="31"/>
  <c r="C86" i="34"/>
  <c r="P86" i="32"/>
  <c r="C86" i="32"/>
  <c r="C62" i="35"/>
  <c r="C62" i="31"/>
  <c r="C51" i="7"/>
  <c r="J86" i="7"/>
  <c r="E37" i="7"/>
  <c r="P42" i="35" s="1"/>
  <c r="E40" i="7"/>
  <c r="P45" i="35" s="1"/>
  <c r="H89" i="7"/>
  <c r="C94" i="33" s="1"/>
  <c r="E89" i="7"/>
  <c r="P94" i="35" s="1"/>
  <c r="L92" i="7"/>
  <c r="I92" i="7"/>
  <c r="F92" i="7"/>
  <c r="E88" i="7"/>
  <c r="P93" i="35" s="1"/>
  <c r="D43" i="7"/>
  <c r="P48" i="31" s="1"/>
  <c r="I35" i="7"/>
  <c r="O37" i="7"/>
  <c r="D46" i="7"/>
  <c r="C51" i="31" s="1"/>
  <c r="F89" i="7"/>
  <c r="H67" i="7"/>
  <c r="C72" i="33" s="1"/>
  <c r="I90" i="7"/>
  <c r="D88" i="7"/>
  <c r="J60" i="7"/>
  <c r="E73" i="7"/>
  <c r="P78" i="35" s="1"/>
  <c r="G73" i="7"/>
  <c r="P78" i="34" s="1"/>
  <c r="F73" i="7"/>
  <c r="C93" i="7"/>
  <c r="F93" i="7"/>
  <c r="C98" i="32" s="1"/>
  <c r="F90" i="7"/>
  <c r="P95" i="32" s="1"/>
  <c r="I81" i="7"/>
  <c r="I34" i="7"/>
  <c r="D44" i="7"/>
  <c r="K64" i="7"/>
  <c r="P39" i="37"/>
  <c r="B20" i="32"/>
  <c r="O20" i="35"/>
  <c r="B20" i="40"/>
  <c r="O20" i="37"/>
  <c r="B20" i="36"/>
  <c r="O20" i="18"/>
  <c r="B20" i="37"/>
  <c r="B20" i="34"/>
  <c r="B20" i="31"/>
  <c r="O20" i="40"/>
  <c r="O20" i="32"/>
  <c r="O20" i="36"/>
  <c r="B20" i="35"/>
  <c r="O20" i="34"/>
  <c r="B20" i="18"/>
  <c r="P88" i="32"/>
  <c r="P54" i="18"/>
  <c r="P80" i="18"/>
  <c r="P84" i="31"/>
  <c r="C84" i="35"/>
  <c r="C80" i="33"/>
  <c r="P80" i="33"/>
  <c r="C95" i="32"/>
  <c r="C85" i="34"/>
  <c r="C85" i="32"/>
  <c r="H63" i="7"/>
  <c r="H92" i="7"/>
  <c r="I87" i="7"/>
  <c r="H79" i="7"/>
  <c r="P84" i="33" s="1"/>
  <c r="I79" i="7"/>
  <c r="F79" i="7"/>
  <c r="K79" i="7"/>
  <c r="J79" i="7"/>
  <c r="J42" i="7"/>
  <c r="K42" i="7"/>
  <c r="E42" i="7"/>
  <c r="P47" i="35" s="1"/>
  <c r="H65" i="7"/>
  <c r="C65" i="7"/>
  <c r="E65" i="7"/>
  <c r="P70" i="35" s="1"/>
  <c r="F53" i="7"/>
  <c r="D53" i="7"/>
  <c r="P58" i="31" s="1"/>
  <c r="L53" i="7"/>
  <c r="C53" i="7"/>
  <c r="J75" i="7"/>
  <c r="O75" i="7"/>
  <c r="E75" i="7"/>
  <c r="P80" i="35" s="1"/>
  <c r="D75" i="7"/>
  <c r="P80" i="31" s="1"/>
  <c r="O70" i="7"/>
  <c r="D70" i="7"/>
  <c r="H70" i="7"/>
  <c r="J70" i="7"/>
  <c r="K70" i="7"/>
  <c r="F70" i="7"/>
  <c r="E70" i="7"/>
  <c r="P75" i="35" s="1"/>
  <c r="E91" i="7"/>
  <c r="P96" i="35" s="1"/>
  <c r="K91" i="7"/>
  <c r="C91" i="7"/>
  <c r="P96" i="18" s="1"/>
  <c r="I91" i="7"/>
  <c r="R24" i="8"/>
  <c r="H24" i="8"/>
  <c r="H25" i="8"/>
  <c r="H26" i="8"/>
  <c r="R58" i="8"/>
  <c r="H58" i="8"/>
  <c r="H60" i="8"/>
  <c r="H61" i="8"/>
  <c r="R80" i="8"/>
  <c r="H80" i="8"/>
  <c r="H81" i="8"/>
  <c r="P53" i="31"/>
  <c r="C53" i="31"/>
  <c r="H78" i="7"/>
  <c r="D68" i="7"/>
  <c r="F54" i="7"/>
  <c r="D62" i="7"/>
  <c r="J62" i="7"/>
  <c r="K62" i="7"/>
  <c r="H62" i="7"/>
  <c r="J76" i="7"/>
  <c r="C76" i="7"/>
  <c r="P81" i="18" s="1"/>
  <c r="F76" i="7"/>
  <c r="C81" i="34" s="1"/>
  <c r="I76" i="7"/>
  <c r="D76" i="7"/>
  <c r="C81" i="31" s="1"/>
  <c r="F49" i="7"/>
  <c r="H49" i="7"/>
  <c r="P54" i="33" s="1"/>
  <c r="E49" i="7"/>
  <c r="P54" i="35" s="1"/>
  <c r="O57" i="7"/>
  <c r="K57" i="7"/>
  <c r="J57" i="7"/>
  <c r="C52" i="7"/>
  <c r="C89" i="7"/>
  <c r="C67" i="7"/>
  <c r="C55" i="7"/>
  <c r="AE29" i="5"/>
  <c r="H97" i="8"/>
  <c r="H18" i="8"/>
  <c r="H19" i="8"/>
  <c r="H32" i="8"/>
  <c r="H33" i="8"/>
  <c r="H35" i="8"/>
  <c r="R50" i="8"/>
  <c r="H51" i="8"/>
  <c r="H52" i="8"/>
  <c r="R66" i="8"/>
  <c r="H67" i="8"/>
  <c r="H71" i="8"/>
  <c r="H83" i="8"/>
  <c r="N18" i="8"/>
  <c r="N20" i="8"/>
  <c r="N21" i="8"/>
  <c r="N22" i="8"/>
  <c r="N23" i="8"/>
  <c r="N24" i="8"/>
  <c r="N25" i="8"/>
  <c r="N26" i="8"/>
  <c r="N27" i="8"/>
  <c r="N28" i="8"/>
  <c r="N29" i="8"/>
  <c r="N30" i="8"/>
  <c r="N31" i="8"/>
  <c r="N32" i="8"/>
  <c r="N33" i="8"/>
  <c r="N34" i="8"/>
  <c r="N36" i="8"/>
  <c r="N37" i="8"/>
  <c r="N38" i="8"/>
  <c r="N39" i="8"/>
  <c r="N40" i="8"/>
  <c r="N41" i="8"/>
  <c r="N42" i="8"/>
  <c r="N43" i="8"/>
  <c r="N44" i="8"/>
  <c r="N45" i="8"/>
  <c r="N46" i="8"/>
  <c r="N47" i="8"/>
  <c r="N48" i="8"/>
  <c r="N49" i="8"/>
  <c r="N50" i="8"/>
  <c r="N52" i="8"/>
  <c r="N53" i="8"/>
  <c r="N54" i="8"/>
  <c r="N55" i="8"/>
  <c r="N56" i="8"/>
  <c r="N57" i="8"/>
  <c r="N58" i="8"/>
  <c r="N59" i="8"/>
  <c r="N60" i="8"/>
  <c r="N61" i="8"/>
  <c r="N62" i="8"/>
  <c r="N63" i="8"/>
  <c r="N64" i="8"/>
  <c r="N65" i="8"/>
  <c r="N66" i="8"/>
  <c r="N68" i="8"/>
  <c r="N69" i="8"/>
  <c r="N70" i="8"/>
  <c r="N71" i="8"/>
  <c r="N72" i="8"/>
  <c r="N73" i="8"/>
  <c r="N74" i="8"/>
  <c r="N75" i="8"/>
  <c r="N76" i="8"/>
  <c r="N77" i="8"/>
  <c r="N78" i="8"/>
  <c r="N79" i="8"/>
  <c r="N80" i="8"/>
  <c r="N81" i="8"/>
  <c r="N82" i="8"/>
  <c r="N84" i="8"/>
  <c r="N85" i="8"/>
  <c r="N86" i="8"/>
  <c r="N87" i="8"/>
  <c r="N88" i="8"/>
  <c r="N89" i="8"/>
  <c r="N90" i="8"/>
  <c r="N91" i="8"/>
  <c r="N92" i="8"/>
  <c r="N93" i="8"/>
  <c r="N94" i="8"/>
  <c r="N95" i="8"/>
  <c r="N96" i="8"/>
  <c r="N97" i="8"/>
  <c r="N98" i="8"/>
  <c r="L94" i="7"/>
  <c r="J94" i="7"/>
  <c r="D94" i="7"/>
  <c r="C94" i="7"/>
  <c r="O94" i="7"/>
  <c r="L82" i="7"/>
  <c r="C82" i="7"/>
  <c r="O82" i="7"/>
  <c r="D82" i="7"/>
  <c r="I82" i="7"/>
  <c r="H82" i="7"/>
  <c r="L80" i="7"/>
  <c r="G80" i="7"/>
  <c r="P85" i="34" s="1"/>
  <c r="H80" i="7"/>
  <c r="D80" i="7"/>
  <c r="C85" i="31" s="1"/>
  <c r="J80" i="7"/>
  <c r="K80" i="7"/>
  <c r="I80" i="7"/>
  <c r="C80" i="7"/>
  <c r="E80" i="7"/>
  <c r="P85" i="35" s="1"/>
  <c r="K74" i="7"/>
  <c r="L58" i="7"/>
  <c r="C58" i="7"/>
  <c r="G58" i="7"/>
  <c r="P63" i="34" s="1"/>
  <c r="O58" i="7"/>
  <c r="K58" i="7"/>
  <c r="J58" i="7"/>
  <c r="E58" i="7"/>
  <c r="P63" i="35" s="1"/>
  <c r="D58" i="7"/>
  <c r="K43" i="7"/>
  <c r="K39" i="7"/>
  <c r="AH10" i="5"/>
  <c r="AH13" i="5"/>
  <c r="AH8" i="5"/>
  <c r="AH14" i="5"/>
  <c r="AH21" i="5"/>
  <c r="R86" i="8"/>
  <c r="R78" i="8"/>
  <c r="R90" i="8"/>
  <c r="R74" i="8"/>
  <c r="R64" i="8"/>
  <c r="R56" i="8"/>
  <c r="R48" i="8"/>
  <c r="R47" i="8"/>
  <c r="R46" i="8"/>
  <c r="R45" i="8"/>
  <c r="R44" i="8"/>
  <c r="R43" i="8"/>
  <c r="R42" i="8"/>
  <c r="R41" i="8"/>
  <c r="R40" i="8"/>
  <c r="R38" i="8"/>
  <c r="R30" i="8"/>
  <c r="R22" i="8"/>
  <c r="R94" i="8"/>
  <c r="C76" i="31"/>
  <c r="C76" i="35"/>
  <c r="H41" i="7"/>
  <c r="C90" i="7"/>
  <c r="K71" i="7"/>
  <c r="F71" i="7"/>
  <c r="P76" i="32" s="1"/>
  <c r="G69" i="7"/>
  <c r="P74" i="34" s="1"/>
  <c r="J69" i="7"/>
  <c r="M69" i="7"/>
  <c r="L69" i="7"/>
  <c r="D69" i="7"/>
  <c r="P74" i="31" s="1"/>
  <c r="C69" i="7"/>
  <c r="O69" i="7"/>
  <c r="D74" i="7"/>
  <c r="J74" i="7"/>
  <c r="I48" i="7"/>
  <c r="J45" i="7"/>
  <c r="C45" i="7"/>
  <c r="C50" i="18" s="1"/>
  <c r="D45" i="7"/>
  <c r="J52" i="7"/>
  <c r="F60" i="7"/>
  <c r="D60" i="7"/>
  <c r="C60" i="7"/>
  <c r="D85" i="7"/>
  <c r="C85" i="7"/>
  <c r="P90" i="18" s="1"/>
  <c r="J72" i="7"/>
  <c r="F72" i="7"/>
  <c r="K72" i="7"/>
  <c r="I72" i="7"/>
  <c r="I36" i="7"/>
  <c r="H36" i="7"/>
  <c r="C41" i="33" s="1"/>
  <c r="D35" i="7"/>
  <c r="L35" i="7"/>
  <c r="J50" i="7"/>
  <c r="AF29" i="5"/>
  <c r="R96" i="8"/>
  <c r="H95" i="8"/>
  <c r="H94" i="8"/>
  <c r="AH12" i="5"/>
  <c r="AH20" i="5"/>
  <c r="AH9" i="5"/>
  <c r="AH23" i="5"/>
  <c r="AH11" i="5"/>
  <c r="AH22" i="5"/>
  <c r="AH26" i="5"/>
  <c r="AH17" i="5"/>
  <c r="AH18" i="5"/>
  <c r="R20" i="8"/>
  <c r="H21" i="8"/>
  <c r="R28" i="8"/>
  <c r="H28" i="8"/>
  <c r="H31" i="8"/>
  <c r="R36" i="8"/>
  <c r="H42" i="8"/>
  <c r="H44" i="8"/>
  <c r="H45" i="8"/>
  <c r="H48" i="8"/>
  <c r="H49" i="8"/>
  <c r="R54" i="8"/>
  <c r="R62" i="8"/>
  <c r="H63" i="8"/>
  <c r="H64" i="8"/>
  <c r="R70" i="8"/>
  <c r="R72" i="8"/>
  <c r="R88" i="8"/>
  <c r="R76" i="8"/>
  <c r="R84" i="8"/>
  <c r="R92" i="8"/>
  <c r="D11" i="39"/>
  <c r="W6" i="31"/>
  <c r="K12" i="33"/>
  <c r="K9" i="33"/>
  <c r="K10" i="33"/>
  <c r="O47" i="4"/>
  <c r="O36" i="4"/>
  <c r="W9" i="35"/>
  <c r="W12" i="35"/>
  <c r="K9" i="35"/>
  <c r="K10" i="35"/>
  <c r="O26" i="4"/>
  <c r="K6" i="37" s="1"/>
  <c r="O15" i="4"/>
  <c r="K6" i="18" s="1"/>
  <c r="K8" i="31"/>
  <c r="W8" i="31"/>
  <c r="O27" i="4"/>
  <c r="K6" i="36" s="1"/>
  <c r="O16" i="4"/>
  <c r="K6" i="31" s="1"/>
  <c r="W6" i="40"/>
  <c r="H12" i="39"/>
  <c r="W8" i="36"/>
  <c r="K8" i="36"/>
  <c r="W6" i="35"/>
  <c r="H10" i="39"/>
  <c r="R17" i="4"/>
  <c r="W8" i="18"/>
  <c r="K8" i="18"/>
  <c r="W9" i="34"/>
  <c r="W12" i="34"/>
  <c r="W10" i="34"/>
  <c r="K10" i="31"/>
  <c r="K12" i="31"/>
  <c r="K9" i="31"/>
  <c r="O21" i="34"/>
  <c r="O21" i="18"/>
  <c r="O21" i="37"/>
  <c r="B21" i="33"/>
  <c r="W12" i="33"/>
  <c r="W10" i="33"/>
  <c r="D12" i="39"/>
  <c r="W6" i="34"/>
  <c r="K9" i="18"/>
  <c r="P51" i="18"/>
  <c r="P93" i="32"/>
  <c r="P86" i="31"/>
  <c r="C71" i="35"/>
  <c r="C88" i="32"/>
  <c r="C83" i="32"/>
  <c r="P88" i="18"/>
  <c r="C86" i="35"/>
  <c r="C97" i="18"/>
  <c r="C64" i="33"/>
  <c r="C93" i="34"/>
  <c r="C68" i="18"/>
  <c r="P82" i="18"/>
  <c r="P90" i="32"/>
  <c r="C58" i="33"/>
  <c r="C94" i="31"/>
  <c r="P85" i="32"/>
  <c r="C63" i="37"/>
  <c r="P78" i="31"/>
  <c r="P68" i="32"/>
  <c r="P94" i="31"/>
  <c r="C90" i="34"/>
  <c r="P41" i="31"/>
  <c r="C41" i="35"/>
  <c r="P63" i="32"/>
  <c r="C63" i="32"/>
  <c r="E36" i="36" l="1"/>
  <c r="E82" i="18"/>
  <c r="F82" i="18" s="1"/>
  <c r="Q82" i="37"/>
  <c r="Q82" i="18"/>
  <c r="E82" i="32"/>
  <c r="F82" i="33"/>
  <c r="H82" i="33" s="1"/>
  <c r="Q82" i="32"/>
  <c r="E36" i="32"/>
  <c r="E82" i="35"/>
  <c r="F82" i="35" s="1"/>
  <c r="H82" i="35" s="1"/>
  <c r="E36" i="40"/>
  <c r="F36" i="40" s="1"/>
  <c r="Q36" i="35"/>
  <c r="E36" i="35"/>
  <c r="Q84" i="40"/>
  <c r="R84" i="40" s="1"/>
  <c r="E36" i="34"/>
  <c r="E36" i="18"/>
  <c r="E82" i="31"/>
  <c r="F82" i="31" s="1"/>
  <c r="G82" i="31" s="1"/>
  <c r="Q36" i="18"/>
  <c r="Q20" i="32"/>
  <c r="Q36" i="37"/>
  <c r="E58" i="31"/>
  <c r="E34" i="40"/>
  <c r="F34" i="40" s="1"/>
  <c r="Q76" i="33"/>
  <c r="E96" i="31"/>
  <c r="E68" i="36"/>
  <c r="E35" i="40"/>
  <c r="F35" i="40" s="1"/>
  <c r="E52" i="33"/>
  <c r="Q96" i="33"/>
  <c r="Q96" i="40"/>
  <c r="R96" i="40" s="1"/>
  <c r="E83" i="32"/>
  <c r="F83" i="32" s="1"/>
  <c r="Q20" i="40"/>
  <c r="R20" i="40" s="1"/>
  <c r="E83" i="31"/>
  <c r="Q76" i="18"/>
  <c r="R76" i="18" s="1"/>
  <c r="E35" i="31"/>
  <c r="Q52" i="37"/>
  <c r="Q35" i="32"/>
  <c r="E52" i="34"/>
  <c r="E35" i="32"/>
  <c r="Q96" i="31"/>
  <c r="R96" i="31" s="1"/>
  <c r="Q35" i="34"/>
  <c r="E83" i="37"/>
  <c r="F83" i="37" s="1"/>
  <c r="H83" i="37" s="1"/>
  <c r="E35" i="33"/>
  <c r="Q96" i="32"/>
  <c r="Q35" i="36"/>
  <c r="R35" i="36" s="1"/>
  <c r="E96" i="34"/>
  <c r="F96" i="34" s="1"/>
  <c r="E96" i="36"/>
  <c r="E35" i="34"/>
  <c r="E36" i="37"/>
  <c r="E82" i="36"/>
  <c r="Q96" i="37"/>
  <c r="Q96" i="34"/>
  <c r="R96" i="34" s="1"/>
  <c r="E35" i="18"/>
  <c r="Q36" i="34"/>
  <c r="Q52" i="33"/>
  <c r="R52" i="33" s="1"/>
  <c r="T52" i="33" s="1"/>
  <c r="M37" i="7"/>
  <c r="C89" i="33"/>
  <c r="P55" i="33"/>
  <c r="C82" i="35"/>
  <c r="C76" i="18"/>
  <c r="P78" i="18"/>
  <c r="C45" i="33"/>
  <c r="P42" i="31"/>
  <c r="C41" i="34"/>
  <c r="B21" i="32"/>
  <c r="B21" i="18"/>
  <c r="O21" i="32"/>
  <c r="O21" i="33"/>
  <c r="O21" i="35"/>
  <c r="O21" i="40"/>
  <c r="B21" i="36"/>
  <c r="B21" i="35"/>
  <c r="B21" i="37"/>
  <c r="O21" i="36"/>
  <c r="P42" i="18"/>
  <c r="B21" i="40"/>
  <c r="B17" i="7"/>
  <c r="O21" i="31"/>
  <c r="B21" i="34"/>
  <c r="C42" i="31"/>
  <c r="C48" i="33"/>
  <c r="C41" i="32"/>
  <c r="C45" i="31"/>
  <c r="C50" i="32"/>
  <c r="P45" i="31"/>
  <c r="P48" i="18"/>
  <c r="P47" i="33"/>
  <c r="C50" i="33"/>
  <c r="C44" i="18"/>
  <c r="C39" i="32"/>
  <c r="P63" i="33"/>
  <c r="C59" i="33"/>
  <c r="C73" i="18"/>
  <c r="P51" i="33"/>
  <c r="C50" i="34"/>
  <c r="P41" i="33"/>
  <c r="P77" i="18"/>
  <c r="C48" i="35"/>
  <c r="P67" i="37"/>
  <c r="P44" i="33"/>
  <c r="C39" i="35"/>
  <c r="P80" i="32"/>
  <c r="C68" i="37"/>
  <c r="C52" i="31"/>
  <c r="P76" i="33"/>
  <c r="C82" i="37"/>
  <c r="F88" i="31"/>
  <c r="H88" i="31" s="1"/>
  <c r="E99" i="36"/>
  <c r="Q61" i="35"/>
  <c r="R61" i="35" s="1"/>
  <c r="T61" i="35" s="1"/>
  <c r="C80" i="34"/>
  <c r="M76" i="7"/>
  <c r="P55" i="31"/>
  <c r="P82" i="6"/>
  <c r="C79" i="18"/>
  <c r="C52" i="35"/>
  <c r="P62" i="32"/>
  <c r="C79" i="32"/>
  <c r="Q82" i="31"/>
  <c r="R82" i="31" s="1"/>
  <c r="Q82" i="40"/>
  <c r="R82" i="40" s="1"/>
  <c r="Q58" i="35"/>
  <c r="R58" i="35" s="1"/>
  <c r="S58" i="35" s="1"/>
  <c r="E76" i="31"/>
  <c r="E82" i="37"/>
  <c r="Q20" i="31"/>
  <c r="E82" i="34"/>
  <c r="E83" i="40"/>
  <c r="F83" i="40" s="1"/>
  <c r="E82" i="40"/>
  <c r="F82" i="40" s="1"/>
  <c r="Q34" i="40"/>
  <c r="R34" i="40" s="1"/>
  <c r="C77" i="35"/>
  <c r="C61" i="37"/>
  <c r="P61" i="37"/>
  <c r="F10" i="39"/>
  <c r="W6" i="18"/>
  <c r="Q83" i="33"/>
  <c r="P55" i="18"/>
  <c r="P76" i="6"/>
  <c r="C79" i="33"/>
  <c r="Q92" i="34"/>
  <c r="R92" i="34" s="1"/>
  <c r="Q82" i="35"/>
  <c r="R82" i="35" s="1"/>
  <c r="Q58" i="37"/>
  <c r="Q82" i="34"/>
  <c r="R82" i="34" s="1"/>
  <c r="Q82" i="33"/>
  <c r="R82" i="33" s="1"/>
  <c r="T82" i="33" s="1"/>
  <c r="E32" i="36"/>
  <c r="P79" i="37"/>
  <c r="C79" i="37"/>
  <c r="D10" i="39"/>
  <c r="W6" i="37"/>
  <c r="P73" i="33"/>
  <c r="C73" i="33"/>
  <c r="P68" i="31"/>
  <c r="C52" i="34"/>
  <c r="C52" i="37"/>
  <c r="P52" i="37"/>
  <c r="C69" i="18"/>
  <c r="C68" i="31"/>
  <c r="P44" i="31"/>
  <c r="P96" i="32"/>
  <c r="C61" i="34"/>
  <c r="C43" i="32"/>
  <c r="C61" i="31"/>
  <c r="C92" i="33"/>
  <c r="C56" i="34"/>
  <c r="C90" i="37"/>
  <c r="C56" i="32"/>
  <c r="P52" i="33"/>
  <c r="P42" i="33"/>
  <c r="C68" i="34"/>
  <c r="F68" i="34" s="1"/>
  <c r="P57" i="31"/>
  <c r="P44" i="37"/>
  <c r="P59" i="31"/>
  <c r="C44" i="35"/>
  <c r="C92" i="34"/>
  <c r="C82" i="32"/>
  <c r="C39" i="31"/>
  <c r="C77" i="31"/>
  <c r="C55" i="32"/>
  <c r="C83" i="37"/>
  <c r="P83" i="37"/>
  <c r="R82" i="37"/>
  <c r="T82" i="37" s="1"/>
  <c r="P98" i="32"/>
  <c r="P49" i="33"/>
  <c r="C45" i="37"/>
  <c r="C76" i="37"/>
  <c r="Q35" i="33"/>
  <c r="E35" i="37"/>
  <c r="E69" i="34"/>
  <c r="E34" i="34"/>
  <c r="Q58" i="40"/>
  <c r="R58" i="40" s="1"/>
  <c r="Q96" i="35"/>
  <c r="R96" i="35" s="1"/>
  <c r="E96" i="33"/>
  <c r="E96" i="32"/>
  <c r="F96" i="32" s="1"/>
  <c r="E58" i="34"/>
  <c r="E68" i="18"/>
  <c r="Q35" i="40"/>
  <c r="R35" i="40" s="1"/>
  <c r="Q58" i="34"/>
  <c r="R58" i="34" s="1"/>
  <c r="E76" i="36"/>
  <c r="E72" i="18"/>
  <c r="E52" i="32"/>
  <c r="F52" i="32" s="1"/>
  <c r="E20" i="40"/>
  <c r="F20" i="40" s="1"/>
  <c r="Q35" i="18"/>
  <c r="Q35" i="35"/>
  <c r="E68" i="31"/>
  <c r="E35" i="35"/>
  <c r="Q96" i="36"/>
  <c r="R96" i="36" s="1"/>
  <c r="Q35" i="31"/>
  <c r="Q96" i="18"/>
  <c r="R96" i="18" s="1"/>
  <c r="S96" i="18" s="1"/>
  <c r="E96" i="40"/>
  <c r="F96" i="40" s="1"/>
  <c r="E35" i="36"/>
  <c r="Q76" i="36"/>
  <c r="R76" i="36" s="1"/>
  <c r="E96" i="35"/>
  <c r="Q20" i="33"/>
  <c r="E96" i="37"/>
  <c r="E61" i="18"/>
  <c r="Q70" i="36"/>
  <c r="R70" i="36" s="1"/>
  <c r="Q92" i="32"/>
  <c r="Q32" i="33"/>
  <c r="Q32" i="37"/>
  <c r="Q32" i="31"/>
  <c r="Q80" i="31"/>
  <c r="R80" i="31" s="1"/>
  <c r="E32" i="40"/>
  <c r="F32" i="40" s="1"/>
  <c r="Q53" i="33"/>
  <c r="R53" i="33" s="1"/>
  <c r="S53" i="33" s="1"/>
  <c r="Q61" i="31"/>
  <c r="R61" i="31" s="1"/>
  <c r="E94" i="32"/>
  <c r="Q61" i="40"/>
  <c r="R61" i="40" s="1"/>
  <c r="Q36" i="33"/>
  <c r="E36" i="33"/>
  <c r="Q36" i="40"/>
  <c r="R36" i="40" s="1"/>
  <c r="Q64" i="31"/>
  <c r="Q61" i="32"/>
  <c r="E61" i="37"/>
  <c r="E94" i="40"/>
  <c r="F94" i="40" s="1"/>
  <c r="Q80" i="34"/>
  <c r="R80" i="34" s="1"/>
  <c r="Q32" i="36"/>
  <c r="R32" i="36" s="1"/>
  <c r="E61" i="32"/>
  <c r="F61" i="32" s="1"/>
  <c r="E32" i="34"/>
  <c r="E32" i="31"/>
  <c r="Q64" i="36"/>
  <c r="R64" i="36" s="1"/>
  <c r="E61" i="36"/>
  <c r="Q69" i="32"/>
  <c r="Q61" i="33"/>
  <c r="R61" i="33" s="1"/>
  <c r="T61" i="33" s="1"/>
  <c r="Q61" i="36"/>
  <c r="R61" i="36" s="1"/>
  <c r="E32" i="32"/>
  <c r="E26" i="32"/>
  <c r="E61" i="33"/>
  <c r="Q32" i="35"/>
  <c r="E32" i="35"/>
  <c r="E61" i="31"/>
  <c r="Q61" i="18"/>
  <c r="Q61" i="34"/>
  <c r="R61" i="34" s="1"/>
  <c r="Q61" i="37"/>
  <c r="E52" i="40"/>
  <c r="F52" i="40" s="1"/>
  <c r="Q32" i="32"/>
  <c r="E61" i="35"/>
  <c r="E32" i="18"/>
  <c r="E61" i="34"/>
  <c r="Q32" i="18"/>
  <c r="E68" i="40"/>
  <c r="E32" i="37"/>
  <c r="Q32" i="40"/>
  <c r="R32" i="40" s="1"/>
  <c r="Q76" i="40"/>
  <c r="R76" i="40" s="1"/>
  <c r="E76" i="40"/>
  <c r="Q36" i="36"/>
  <c r="R36" i="36" s="1"/>
  <c r="Q36" i="31"/>
  <c r="E36" i="31"/>
  <c r="E22" i="35"/>
  <c r="E68" i="32"/>
  <c r="F68" i="32" s="1"/>
  <c r="Q52" i="35"/>
  <c r="R52" i="35" s="1"/>
  <c r="E20" i="34"/>
  <c r="E32" i="33"/>
  <c r="E22" i="40"/>
  <c r="E19" i="31"/>
  <c r="Q52" i="18"/>
  <c r="R52" i="18" s="1"/>
  <c r="Q52" i="40"/>
  <c r="R52" i="40" s="1"/>
  <c r="Q68" i="33"/>
  <c r="E68" i="35"/>
  <c r="F68" i="35" s="1"/>
  <c r="G68" i="35" s="1"/>
  <c r="Q68" i="36"/>
  <c r="R68" i="36" s="1"/>
  <c r="Q68" i="18"/>
  <c r="R68" i="18" s="1"/>
  <c r="E53" i="37"/>
  <c r="Q94" i="31"/>
  <c r="R94" i="31" s="1"/>
  <c r="T94" i="31" s="1"/>
  <c r="Q52" i="34"/>
  <c r="R52" i="34" s="1"/>
  <c r="Q68" i="32"/>
  <c r="Q68" i="31"/>
  <c r="Q68" i="34"/>
  <c r="R68" i="34" s="1"/>
  <c r="E76" i="37"/>
  <c r="F76" i="37" s="1"/>
  <c r="H76" i="37" s="1"/>
  <c r="Q76" i="31"/>
  <c r="R76" i="31" s="1"/>
  <c r="E76" i="34"/>
  <c r="Q22" i="35"/>
  <c r="E20" i="36"/>
  <c r="E52" i="36"/>
  <c r="Q20" i="34"/>
  <c r="E20" i="35"/>
  <c r="Q76" i="34"/>
  <c r="R76" i="34" s="1"/>
  <c r="E76" i="33"/>
  <c r="Q76" i="37"/>
  <c r="R76" i="37" s="1"/>
  <c r="S76" i="37" s="1"/>
  <c r="E22" i="31"/>
  <c r="Q52" i="31"/>
  <c r="R52" i="31" s="1"/>
  <c r="T52" i="31" s="1"/>
  <c r="Q20" i="18"/>
  <c r="Q20" i="35"/>
  <c r="E72" i="34"/>
  <c r="E22" i="36"/>
  <c r="E22" i="37"/>
  <c r="Q22" i="40"/>
  <c r="R22" i="40" s="1"/>
  <c r="Q68" i="40"/>
  <c r="R68" i="40" s="1"/>
  <c r="Q38" i="40"/>
  <c r="R38" i="40" s="1"/>
  <c r="E19" i="34"/>
  <c r="E94" i="36"/>
  <c r="E52" i="18"/>
  <c r="Q68" i="37"/>
  <c r="R68" i="37" s="1"/>
  <c r="T68" i="37" s="1"/>
  <c r="E68" i="33"/>
  <c r="Q76" i="32"/>
  <c r="E76" i="32"/>
  <c r="Q76" i="35"/>
  <c r="R76" i="35" s="1"/>
  <c r="T76" i="35" s="1"/>
  <c r="E76" i="35"/>
  <c r="E22" i="34"/>
  <c r="Q22" i="31"/>
  <c r="Q20" i="36"/>
  <c r="R20" i="36" s="1"/>
  <c r="E20" i="32"/>
  <c r="E20" i="18"/>
  <c r="E40" i="33"/>
  <c r="E40" i="40"/>
  <c r="F40" i="40" s="1"/>
  <c r="Q40" i="31"/>
  <c r="Q74" i="40"/>
  <c r="R74" i="40" s="1"/>
  <c r="E74" i="32"/>
  <c r="F74" i="32" s="1"/>
  <c r="Q74" i="36"/>
  <c r="R74" i="36" s="1"/>
  <c r="E70" i="40"/>
  <c r="F70" i="40" s="1"/>
  <c r="E70" i="37"/>
  <c r="Q66" i="33"/>
  <c r="Q66" i="34"/>
  <c r="R66" i="34" s="1"/>
  <c r="Q98" i="35"/>
  <c r="R98" i="35" s="1"/>
  <c r="Q98" i="32"/>
  <c r="Q53" i="40"/>
  <c r="R53" i="40" s="1"/>
  <c r="E53" i="40"/>
  <c r="F53" i="40" s="1"/>
  <c r="E53" i="31"/>
  <c r="E53" i="35"/>
  <c r="F53" i="35" s="1"/>
  <c r="Q53" i="32"/>
  <c r="Q53" i="36"/>
  <c r="R53" i="36" s="1"/>
  <c r="E53" i="34"/>
  <c r="F53" i="34" s="1"/>
  <c r="H53" i="34" s="1"/>
  <c r="E53" i="36"/>
  <c r="Q53" i="35"/>
  <c r="R53" i="35" s="1"/>
  <c r="T53" i="35" s="1"/>
  <c r="Q53" i="31"/>
  <c r="R53" i="31" s="1"/>
  <c r="Q53" i="34"/>
  <c r="R53" i="34" s="1"/>
  <c r="Q27" i="32"/>
  <c r="E74" i="36"/>
  <c r="Q84" i="33"/>
  <c r="R84" i="33" s="1"/>
  <c r="E53" i="18"/>
  <c r="E53" i="32"/>
  <c r="F53" i="32" s="1"/>
  <c r="E24" i="34"/>
  <c r="E24" i="36"/>
  <c r="Q24" i="18"/>
  <c r="E24" i="35"/>
  <c r="E72" i="31"/>
  <c r="Q72" i="40"/>
  <c r="R72" i="40" s="1"/>
  <c r="E72" i="36"/>
  <c r="E72" i="33"/>
  <c r="F72" i="33" s="1"/>
  <c r="Q72" i="34"/>
  <c r="R72" i="34" s="1"/>
  <c r="E72" i="40"/>
  <c r="F72" i="40" s="1"/>
  <c r="Q64" i="40"/>
  <c r="R64" i="40" s="1"/>
  <c r="Q64" i="34"/>
  <c r="R64" i="34" s="1"/>
  <c r="E64" i="37"/>
  <c r="E64" i="35"/>
  <c r="Q64" i="18"/>
  <c r="E64" i="32"/>
  <c r="E69" i="31"/>
  <c r="E69" i="18"/>
  <c r="E69" i="40"/>
  <c r="F69" i="40" s="1"/>
  <c r="E69" i="37"/>
  <c r="E99" i="34"/>
  <c r="E99" i="18"/>
  <c r="Q99" i="33"/>
  <c r="Q99" i="32"/>
  <c r="E83" i="35"/>
  <c r="Q83" i="37"/>
  <c r="Q83" i="36"/>
  <c r="R83" i="36" s="1"/>
  <c r="E83" i="36"/>
  <c r="Q83" i="32"/>
  <c r="E83" i="34"/>
  <c r="Q83" i="40"/>
  <c r="R83" i="40" s="1"/>
  <c r="Q83" i="35"/>
  <c r="R83" i="35" s="1"/>
  <c r="T83" i="35" s="1"/>
  <c r="Q83" i="31"/>
  <c r="R83" i="31" s="1"/>
  <c r="E58" i="36"/>
  <c r="E58" i="40"/>
  <c r="F58" i="40" s="1"/>
  <c r="E58" i="18"/>
  <c r="E58" i="32"/>
  <c r="E58" i="37"/>
  <c r="Q58" i="18"/>
  <c r="E34" i="32"/>
  <c r="Q34" i="31"/>
  <c r="E34" i="18"/>
  <c r="Q34" i="33"/>
  <c r="E34" i="36"/>
  <c r="Q34" i="32"/>
  <c r="Q69" i="33"/>
  <c r="Q53" i="37"/>
  <c r="R53" i="37" s="1"/>
  <c r="S53" i="37" s="1"/>
  <c r="Q83" i="18"/>
  <c r="R83" i="18" s="1"/>
  <c r="E83" i="18"/>
  <c r="Q69" i="40"/>
  <c r="R69" i="40" s="1"/>
  <c r="Q34" i="36"/>
  <c r="R34" i="36" s="1"/>
  <c r="Q58" i="31"/>
  <c r="R58" i="31" s="1"/>
  <c r="E58" i="35"/>
  <c r="E83" i="33"/>
  <c r="E53" i="33"/>
  <c r="Q58" i="32"/>
  <c r="Q72" i="18"/>
  <c r="E64" i="31"/>
  <c r="Q92" i="36"/>
  <c r="R92" i="36" s="1"/>
  <c r="E92" i="36"/>
  <c r="E92" i="31"/>
  <c r="E92" i="40"/>
  <c r="E92" i="32"/>
  <c r="E34" i="31"/>
  <c r="E80" i="18"/>
  <c r="E26" i="35"/>
  <c r="C93" i="37"/>
  <c r="P93" i="37"/>
  <c r="C87" i="34"/>
  <c r="C87" i="32"/>
  <c r="P81" i="32"/>
  <c r="P61" i="32"/>
  <c r="P91" i="32"/>
  <c r="P48" i="32"/>
  <c r="C48" i="34"/>
  <c r="C48" i="32"/>
  <c r="C58" i="35"/>
  <c r="C43" i="34"/>
  <c r="C98" i="34"/>
  <c r="P45" i="18"/>
  <c r="P93" i="18"/>
  <c r="C40" i="18"/>
  <c r="P84" i="18"/>
  <c r="P87" i="32"/>
  <c r="P57" i="32"/>
  <c r="R80" i="33"/>
  <c r="S80" i="33" s="1"/>
  <c r="C88" i="37"/>
  <c r="P88" i="37"/>
  <c r="P73" i="32"/>
  <c r="C73" i="32"/>
  <c r="C73" i="34"/>
  <c r="C40" i="37"/>
  <c r="P40" i="37"/>
  <c r="C44" i="34"/>
  <c r="C44" i="32"/>
  <c r="P55" i="37"/>
  <c r="C55" i="37"/>
  <c r="C57" i="35"/>
  <c r="C55" i="34"/>
  <c r="C57" i="32"/>
  <c r="C57" i="33"/>
  <c r="P57" i="33"/>
  <c r="P94" i="33"/>
  <c r="C49" i="34"/>
  <c r="C81" i="32"/>
  <c r="C90" i="33"/>
  <c r="C59" i="35"/>
  <c r="R53" i="18"/>
  <c r="T53" i="18" s="1"/>
  <c r="C54" i="31"/>
  <c r="C95" i="34"/>
  <c r="C61" i="35"/>
  <c r="P82" i="32"/>
  <c r="C96" i="34"/>
  <c r="P62" i="33"/>
  <c r="P93" i="33"/>
  <c r="C93" i="33"/>
  <c r="C61" i="18"/>
  <c r="P61" i="18"/>
  <c r="Q50" i="18"/>
  <c r="Q50" i="36"/>
  <c r="R50" i="36" s="1"/>
  <c r="Q50" i="32"/>
  <c r="Q50" i="31"/>
  <c r="Q50" i="40"/>
  <c r="R50" i="40" s="1"/>
  <c r="E50" i="36"/>
  <c r="Q50" i="34"/>
  <c r="R50" i="34" s="1"/>
  <c r="E50" i="40"/>
  <c r="Q50" i="37"/>
  <c r="R50" i="37" s="1"/>
  <c r="S50" i="37" s="1"/>
  <c r="E50" i="37"/>
  <c r="E50" i="18"/>
  <c r="F50" i="18" s="1"/>
  <c r="E50" i="31"/>
  <c r="Q50" i="33"/>
  <c r="R50" i="33" s="1"/>
  <c r="S50" i="33" s="1"/>
  <c r="Q50" i="35"/>
  <c r="R50" i="35" s="1"/>
  <c r="T50" i="35" s="1"/>
  <c r="E88" i="32"/>
  <c r="F88" i="32" s="1"/>
  <c r="Q26" i="36"/>
  <c r="R26" i="36" s="1"/>
  <c r="E50" i="32"/>
  <c r="F50" i="32" s="1"/>
  <c r="E62" i="40"/>
  <c r="E62" i="18"/>
  <c r="E62" i="33"/>
  <c r="E40" i="37"/>
  <c r="Q40" i="36"/>
  <c r="R40" i="36" s="1"/>
  <c r="Q40" i="18"/>
  <c r="R40" i="18" s="1"/>
  <c r="Q40" i="33"/>
  <c r="R40" i="33" s="1"/>
  <c r="S40" i="33" s="1"/>
  <c r="Q40" i="34"/>
  <c r="R40" i="34" s="1"/>
  <c r="E40" i="34"/>
  <c r="Q40" i="40"/>
  <c r="R40" i="40" s="1"/>
  <c r="E40" i="32"/>
  <c r="F40" i="32" s="1"/>
  <c r="E26" i="34"/>
  <c r="E26" i="36"/>
  <c r="Q26" i="37"/>
  <c r="Q26" i="35"/>
  <c r="Q26" i="33"/>
  <c r="E26" i="37"/>
  <c r="E26" i="40"/>
  <c r="F26" i="40" s="1"/>
  <c r="Q26" i="34"/>
  <c r="Q26" i="40"/>
  <c r="R26" i="40" s="1"/>
  <c r="E26" i="31"/>
  <c r="Q26" i="18"/>
  <c r="Q26" i="32"/>
  <c r="Q26" i="31"/>
  <c r="E26" i="18"/>
  <c r="Q80" i="35"/>
  <c r="R80" i="35" s="1"/>
  <c r="S80" i="35" s="1"/>
  <c r="Q80" i="18"/>
  <c r="R80" i="18" s="1"/>
  <c r="T80" i="18" s="1"/>
  <c r="E80" i="40"/>
  <c r="E80" i="33"/>
  <c r="Q80" i="32"/>
  <c r="E80" i="31"/>
  <c r="Q80" i="37"/>
  <c r="E80" i="36"/>
  <c r="E80" i="37"/>
  <c r="Q80" i="36"/>
  <c r="R80" i="36" s="1"/>
  <c r="E80" i="35"/>
  <c r="Q80" i="40"/>
  <c r="R80" i="40" s="1"/>
  <c r="E80" i="32"/>
  <c r="F80" i="32" s="1"/>
  <c r="E80" i="34"/>
  <c r="E50" i="35"/>
  <c r="E50" i="34"/>
  <c r="E50" i="33"/>
  <c r="E66" i="40"/>
  <c r="F66" i="40" s="1"/>
  <c r="E66" i="18"/>
  <c r="Q66" i="31"/>
  <c r="E66" i="31"/>
  <c r="E66" i="32"/>
  <c r="E66" i="35"/>
  <c r="E84" i="32"/>
  <c r="Q84" i="34"/>
  <c r="R84" i="34" s="1"/>
  <c r="E84" i="34"/>
  <c r="E84" i="33"/>
  <c r="Q84" i="35"/>
  <c r="R84" i="35" s="1"/>
  <c r="Q84" i="31"/>
  <c r="R84" i="31" s="1"/>
  <c r="Q84" i="18"/>
  <c r="E98" i="35"/>
  <c r="Q98" i="33"/>
  <c r="E98" i="32"/>
  <c r="F98" i="32" s="1"/>
  <c r="E98" i="37"/>
  <c r="E98" i="36"/>
  <c r="E98" i="40"/>
  <c r="Q98" i="37"/>
  <c r="E98" i="33"/>
  <c r="Q27" i="37"/>
  <c r="Q27" i="34"/>
  <c r="E27" i="37"/>
  <c r="E27" i="31"/>
  <c r="Q27" i="33"/>
  <c r="Q27" i="36"/>
  <c r="R27" i="36" s="1"/>
  <c r="Q27" i="18"/>
  <c r="E27" i="36"/>
  <c r="Q69" i="31"/>
  <c r="Q69" i="35"/>
  <c r="R69" i="35" s="1"/>
  <c r="S69" i="35" s="1"/>
  <c r="Q69" i="37"/>
  <c r="Q99" i="31"/>
  <c r="Q99" i="35"/>
  <c r="R99" i="35" s="1"/>
  <c r="S99" i="35" s="1"/>
  <c r="E99" i="35"/>
  <c r="E69" i="35"/>
  <c r="Q72" i="35"/>
  <c r="R72" i="35" s="1"/>
  <c r="Q72" i="36"/>
  <c r="R72" i="36" s="1"/>
  <c r="Q72" i="37"/>
  <c r="E72" i="37"/>
  <c r="E72" i="35"/>
  <c r="Q22" i="18"/>
  <c r="Q22" i="37"/>
  <c r="E22" i="18"/>
  <c r="E22" i="33"/>
  <c r="Q22" i="36"/>
  <c r="R22" i="36" s="1"/>
  <c r="Q64" i="37"/>
  <c r="E64" i="40"/>
  <c r="E64" i="33"/>
  <c r="E64" i="34"/>
  <c r="E99" i="33"/>
  <c r="Q58" i="33"/>
  <c r="R58" i="33" s="1"/>
  <c r="T58" i="33" s="1"/>
  <c r="E58" i="33"/>
  <c r="Q34" i="34"/>
  <c r="E34" i="35"/>
  <c r="Q34" i="18"/>
  <c r="E34" i="33"/>
  <c r="Q34" i="37"/>
  <c r="Q34" i="35"/>
  <c r="Q69" i="18"/>
  <c r="R69" i="18" s="1"/>
  <c r="Q69" i="34"/>
  <c r="R69" i="34" s="1"/>
  <c r="Q69" i="36"/>
  <c r="R69" i="36" s="1"/>
  <c r="T69" i="36" s="1"/>
  <c r="Q99" i="18"/>
  <c r="Q99" i="34"/>
  <c r="R99" i="34" s="1"/>
  <c r="Q72" i="31"/>
  <c r="Q72" i="32"/>
  <c r="E72" i="32"/>
  <c r="Q22" i="32"/>
  <c r="Q22" i="33"/>
  <c r="Q22" i="34"/>
  <c r="Q64" i="32"/>
  <c r="Q64" i="33"/>
  <c r="R64" i="33" s="1"/>
  <c r="T64" i="33" s="1"/>
  <c r="Q64" i="35"/>
  <c r="R64" i="35" s="1"/>
  <c r="S64" i="35" s="1"/>
  <c r="E64" i="18"/>
  <c r="F38" i="40"/>
  <c r="Q19" i="34"/>
  <c r="E40" i="36"/>
  <c r="Q24" i="32"/>
  <c r="Q24" i="40"/>
  <c r="R24" i="40" s="1"/>
  <c r="E84" i="37"/>
  <c r="E66" i="33"/>
  <c r="Q66" i="18"/>
  <c r="Q40" i="37"/>
  <c r="E66" i="34"/>
  <c r="E66" i="36"/>
  <c r="E98" i="18"/>
  <c r="Q84" i="32"/>
  <c r="E84" i="36"/>
  <c r="E84" i="35"/>
  <c r="Q68" i="35"/>
  <c r="R68" i="35" s="1"/>
  <c r="E68" i="37"/>
  <c r="Q52" i="36"/>
  <c r="R52" i="36" s="1"/>
  <c r="E52" i="31"/>
  <c r="Q52" i="32"/>
  <c r="E52" i="35"/>
  <c r="E20" i="33"/>
  <c r="E20" i="37"/>
  <c r="Q20" i="37"/>
  <c r="E19" i="40"/>
  <c r="E19" i="33"/>
  <c r="Q19" i="18"/>
  <c r="E19" i="18"/>
  <c r="E19" i="32"/>
  <c r="Q19" i="31"/>
  <c r="Q19" i="37"/>
  <c r="Q19" i="35"/>
  <c r="E19" i="36"/>
  <c r="Q19" i="33"/>
  <c r="E38" i="35"/>
  <c r="E38" i="18"/>
  <c r="Q38" i="34"/>
  <c r="E38" i="31"/>
  <c r="E38" i="34"/>
  <c r="Q38" i="37"/>
  <c r="Q38" i="33"/>
  <c r="Q38" i="31"/>
  <c r="E38" i="37"/>
  <c r="E38" i="33"/>
  <c r="E38" i="36"/>
  <c r="Q38" i="32"/>
  <c r="E38" i="32"/>
  <c r="Q38" i="35"/>
  <c r="Q38" i="18"/>
  <c r="Q38" i="36"/>
  <c r="R38" i="36" s="1"/>
  <c r="Q19" i="36"/>
  <c r="R19" i="36" s="1"/>
  <c r="Q66" i="35"/>
  <c r="R66" i="35" s="1"/>
  <c r="E66" i="37"/>
  <c r="E98" i="34"/>
  <c r="Q98" i="18"/>
  <c r="E27" i="33"/>
  <c r="Q27" i="40"/>
  <c r="R27" i="40" s="1"/>
  <c r="E27" i="32"/>
  <c r="E27" i="40"/>
  <c r="F27" i="40" s="1"/>
  <c r="Q27" i="31"/>
  <c r="Q27" i="35"/>
  <c r="Q98" i="36"/>
  <c r="R98" i="36" s="1"/>
  <c r="Q70" i="32"/>
  <c r="E19" i="37"/>
  <c r="E92" i="37"/>
  <c r="Q19" i="32"/>
  <c r="Q19" i="40"/>
  <c r="R19" i="40" s="1"/>
  <c r="Q74" i="32"/>
  <c r="E84" i="40"/>
  <c r="Q84" i="36"/>
  <c r="R84" i="36" s="1"/>
  <c r="Q24" i="35"/>
  <c r="Q84" i="37"/>
  <c r="R84" i="37" s="1"/>
  <c r="Q40" i="35"/>
  <c r="R40" i="35" s="1"/>
  <c r="Q66" i="40"/>
  <c r="R66" i="40" s="1"/>
  <c r="E40" i="31"/>
  <c r="Q66" i="37"/>
  <c r="Q66" i="36"/>
  <c r="R66" i="36" s="1"/>
  <c r="E27" i="18"/>
  <c r="E27" i="35"/>
  <c r="Q98" i="34"/>
  <c r="R98" i="34" s="1"/>
  <c r="Q98" i="40"/>
  <c r="R98" i="40" s="1"/>
  <c r="Q98" i="31"/>
  <c r="E98" i="31"/>
  <c r="E84" i="18"/>
  <c r="E69" i="32"/>
  <c r="E69" i="33"/>
  <c r="E99" i="31"/>
  <c r="E99" i="40"/>
  <c r="F99" i="40" s="1"/>
  <c r="Q99" i="37"/>
  <c r="E99" i="32"/>
  <c r="Q99" i="36"/>
  <c r="R99" i="36" s="1"/>
  <c r="Q99" i="40"/>
  <c r="R99" i="40" s="1"/>
  <c r="E88" i="35"/>
  <c r="F88" i="35" s="1"/>
  <c r="Q88" i="35"/>
  <c r="R88" i="35" s="1"/>
  <c r="T88" i="35" s="1"/>
  <c r="Q88" i="40"/>
  <c r="R88" i="40" s="1"/>
  <c r="E88" i="34"/>
  <c r="F88" i="34" s="1"/>
  <c r="Q88" i="33"/>
  <c r="R88" i="33" s="1"/>
  <c r="S88" i="33" s="1"/>
  <c r="E88" i="33"/>
  <c r="Q88" i="37"/>
  <c r="E88" i="40"/>
  <c r="Q88" i="18"/>
  <c r="R88" i="18" s="1"/>
  <c r="Q30" i="40"/>
  <c r="R30" i="40" s="1"/>
  <c r="E30" i="35"/>
  <c r="E30" i="33"/>
  <c r="Q30" i="34"/>
  <c r="E30" i="34"/>
  <c r="E30" i="18"/>
  <c r="E30" i="31"/>
  <c r="Q30" i="35"/>
  <c r="E30" i="40"/>
  <c r="F30" i="40" s="1"/>
  <c r="E30" i="37"/>
  <c r="Q30" i="32"/>
  <c r="E62" i="32"/>
  <c r="F62" i="32" s="1"/>
  <c r="E88" i="37"/>
  <c r="Q30" i="36"/>
  <c r="R30" i="36" s="1"/>
  <c r="Q62" i="34"/>
  <c r="R62" i="34" s="1"/>
  <c r="Q62" i="32"/>
  <c r="E88" i="18"/>
  <c r="Q30" i="18"/>
  <c r="Q88" i="32"/>
  <c r="Q30" i="33"/>
  <c r="E94" i="37"/>
  <c r="E94" i="31"/>
  <c r="F94" i="31" s="1"/>
  <c r="G94" i="31" s="1"/>
  <c r="Q94" i="33"/>
  <c r="E94" i="35"/>
  <c r="Q94" i="37"/>
  <c r="R94" i="37" s="1"/>
  <c r="Q94" i="32"/>
  <c r="E94" i="33"/>
  <c r="Q94" i="40"/>
  <c r="R94" i="40" s="1"/>
  <c r="Q94" i="34"/>
  <c r="R94" i="34" s="1"/>
  <c r="Q94" i="18"/>
  <c r="Q94" i="36"/>
  <c r="R94" i="36" s="1"/>
  <c r="E94" i="18"/>
  <c r="E94" i="34"/>
  <c r="E62" i="31"/>
  <c r="F62" i="31" s="1"/>
  <c r="H62" i="31" s="1"/>
  <c r="Q62" i="31"/>
  <c r="R62" i="31" s="1"/>
  <c r="E62" i="36"/>
  <c r="Q62" i="37"/>
  <c r="Q62" i="18"/>
  <c r="R62" i="18" s="1"/>
  <c r="Q62" i="40"/>
  <c r="R62" i="40" s="1"/>
  <c r="E62" i="34"/>
  <c r="F62" i="34" s="1"/>
  <c r="H62" i="34" s="1"/>
  <c r="Q62" i="33"/>
  <c r="R62" i="33" s="1"/>
  <c r="T62" i="33" s="1"/>
  <c r="Q62" i="35"/>
  <c r="R62" i="35" s="1"/>
  <c r="S62" i="35" s="1"/>
  <c r="E62" i="35"/>
  <c r="F62" i="35" s="1"/>
  <c r="G62" i="35" s="1"/>
  <c r="E62" i="37"/>
  <c r="Q30" i="37"/>
  <c r="E88" i="36"/>
  <c r="E56" i="34"/>
  <c r="F56" i="34" s="1"/>
  <c r="H56" i="34" s="1"/>
  <c r="E56" i="18"/>
  <c r="Q56" i="34"/>
  <c r="R56" i="34" s="1"/>
  <c r="Q56" i="18"/>
  <c r="E56" i="40"/>
  <c r="E56" i="37"/>
  <c r="E56" i="33"/>
  <c r="Q56" i="37"/>
  <c r="Q56" i="33"/>
  <c r="E56" i="31"/>
  <c r="F56" i="31" s="1"/>
  <c r="Q56" i="31"/>
  <c r="E56" i="35"/>
  <c r="E56" i="36"/>
  <c r="Q56" i="36"/>
  <c r="R56" i="36" s="1"/>
  <c r="Q56" i="35"/>
  <c r="R56" i="35" s="1"/>
  <c r="S56" i="35" s="1"/>
  <c r="Q56" i="40"/>
  <c r="R56" i="40" s="1"/>
  <c r="E56" i="32"/>
  <c r="Q56" i="32"/>
  <c r="R82" i="18"/>
  <c r="Q62" i="36"/>
  <c r="R62" i="36" s="1"/>
  <c r="Q88" i="31"/>
  <c r="R88" i="31" s="1"/>
  <c r="Q30" i="31"/>
  <c r="Q88" i="34"/>
  <c r="R88" i="34" s="1"/>
  <c r="Q88" i="36"/>
  <c r="R88" i="36" s="1"/>
  <c r="E30" i="32"/>
  <c r="E92" i="34"/>
  <c r="F92" i="34" s="1"/>
  <c r="G92" i="34" s="1"/>
  <c r="Q92" i="35"/>
  <c r="R92" i="35" s="1"/>
  <c r="E92" i="33"/>
  <c r="Q92" i="33"/>
  <c r="R92" i="33" s="1"/>
  <c r="E92" i="35"/>
  <c r="Q92" i="18"/>
  <c r="Q92" i="37"/>
  <c r="E92" i="18"/>
  <c r="Q92" i="31"/>
  <c r="E40" i="18"/>
  <c r="Q40" i="32"/>
  <c r="E40" i="35"/>
  <c r="E78" i="34"/>
  <c r="E78" i="18"/>
  <c r="Q78" i="32"/>
  <c r="Q78" i="36"/>
  <c r="R78" i="36" s="1"/>
  <c r="Q78" i="40"/>
  <c r="R78" i="40" s="1"/>
  <c r="E78" i="33"/>
  <c r="Q78" i="35"/>
  <c r="R78" i="35" s="1"/>
  <c r="S78" i="35" s="1"/>
  <c r="Q78" i="31"/>
  <c r="R78" i="31" s="1"/>
  <c r="E78" i="37"/>
  <c r="E78" i="31"/>
  <c r="Q78" i="37"/>
  <c r="R78" i="37" s="1"/>
  <c r="S78" i="37" s="1"/>
  <c r="Q78" i="33"/>
  <c r="R78" i="33" s="1"/>
  <c r="T78" i="33" s="1"/>
  <c r="E78" i="40"/>
  <c r="Q78" i="34"/>
  <c r="R78" i="34" s="1"/>
  <c r="E78" i="36"/>
  <c r="E78" i="35"/>
  <c r="E78" i="32"/>
  <c r="Q78" i="18"/>
  <c r="R78" i="18" s="1"/>
  <c r="S78" i="18" s="1"/>
  <c r="E60" i="40"/>
  <c r="F60" i="40" s="1"/>
  <c r="E60" i="34"/>
  <c r="E60" i="18"/>
  <c r="Q60" i="34"/>
  <c r="R60" i="34" s="1"/>
  <c r="Q60" i="18"/>
  <c r="E60" i="37"/>
  <c r="E60" i="33"/>
  <c r="Q60" i="37"/>
  <c r="Q60" i="33"/>
  <c r="E60" i="31"/>
  <c r="Q60" i="31"/>
  <c r="E60" i="35"/>
  <c r="E60" i="36"/>
  <c r="Q60" i="36"/>
  <c r="R60" i="36" s="1"/>
  <c r="Q60" i="35"/>
  <c r="R60" i="35" s="1"/>
  <c r="E60" i="32"/>
  <c r="Q60" i="32"/>
  <c r="E74" i="40"/>
  <c r="E74" i="35"/>
  <c r="E74" i="18"/>
  <c r="E74" i="34"/>
  <c r="E74" i="31"/>
  <c r="Q74" i="33"/>
  <c r="Q74" i="35"/>
  <c r="R74" i="35" s="1"/>
  <c r="Q74" i="37"/>
  <c r="Q74" i="31"/>
  <c r="R74" i="31" s="1"/>
  <c r="E74" i="37"/>
  <c r="Q74" i="18"/>
  <c r="E74" i="33"/>
  <c r="Q74" i="34"/>
  <c r="R74" i="34" s="1"/>
  <c r="E70" i="35"/>
  <c r="Q70" i="37"/>
  <c r="R70" i="37" s="1"/>
  <c r="Q70" i="31"/>
  <c r="R70" i="31" s="1"/>
  <c r="Q70" i="40"/>
  <c r="R70" i="40" s="1"/>
  <c r="E70" i="34"/>
  <c r="F70" i="34" s="1"/>
  <c r="G70" i="34" s="1"/>
  <c r="Q70" i="35"/>
  <c r="R70" i="35" s="1"/>
  <c r="T70" i="35" s="1"/>
  <c r="Q70" i="18"/>
  <c r="E70" i="36"/>
  <c r="Q70" i="33"/>
  <c r="E70" i="31"/>
  <c r="E70" i="32"/>
  <c r="F70" i="32" s="1"/>
  <c r="E70" i="18"/>
  <c r="Q70" i="34"/>
  <c r="R70" i="34" s="1"/>
  <c r="T70" i="34" s="1"/>
  <c r="E24" i="32"/>
  <c r="E24" i="31"/>
  <c r="E24" i="40"/>
  <c r="F24" i="40" s="1"/>
  <c r="E24" i="37"/>
  <c r="Q24" i="37"/>
  <c r="Q24" i="31"/>
  <c r="E24" i="33"/>
  <c r="Q24" i="34"/>
  <c r="Q24" i="33"/>
  <c r="Q24" i="36"/>
  <c r="R24" i="36" s="1"/>
  <c r="E90" i="36"/>
  <c r="E90" i="32"/>
  <c r="F90" i="32" s="1"/>
  <c r="Q90" i="35"/>
  <c r="R90" i="35" s="1"/>
  <c r="Q90" i="31"/>
  <c r="E90" i="18"/>
  <c r="E90" i="33"/>
  <c r="Q90" i="34"/>
  <c r="R90" i="34" s="1"/>
  <c r="E90" i="37"/>
  <c r="E90" i="31"/>
  <c r="Q90" i="33"/>
  <c r="R90" i="33" s="1"/>
  <c r="T90" i="33" s="1"/>
  <c r="E90" i="35"/>
  <c r="Q90" i="37"/>
  <c r="R90" i="37" s="1"/>
  <c r="Q90" i="32"/>
  <c r="E90" i="40"/>
  <c r="Q90" i="40"/>
  <c r="R90" i="40" s="1"/>
  <c r="E90" i="34"/>
  <c r="F90" i="34" s="1"/>
  <c r="H90" i="34" s="1"/>
  <c r="Q90" i="36"/>
  <c r="R90" i="36" s="1"/>
  <c r="Q90" i="18"/>
  <c r="R90" i="18" s="1"/>
  <c r="Q86" i="40"/>
  <c r="R86" i="40" s="1"/>
  <c r="E86" i="40"/>
  <c r="F86" i="40" s="1"/>
  <c r="E86" i="36"/>
  <c r="E86" i="32"/>
  <c r="F86" i="32" s="1"/>
  <c r="Q86" i="35"/>
  <c r="R86" i="35" s="1"/>
  <c r="Q86" i="31"/>
  <c r="R86" i="31" s="1"/>
  <c r="E86" i="18"/>
  <c r="E86" i="33"/>
  <c r="Q86" i="34"/>
  <c r="R86" i="34" s="1"/>
  <c r="E86" i="37"/>
  <c r="E86" i="31"/>
  <c r="Q86" i="33"/>
  <c r="R86" i="33" s="1"/>
  <c r="T86" i="33" s="1"/>
  <c r="E86" i="35"/>
  <c r="Q86" i="37"/>
  <c r="R86" i="37" s="1"/>
  <c r="Q86" i="32"/>
  <c r="E86" i="34"/>
  <c r="F86" i="34" s="1"/>
  <c r="Q86" i="36"/>
  <c r="R86" i="36" s="1"/>
  <c r="Q86" i="18"/>
  <c r="R86" i="18" s="1"/>
  <c r="E54" i="36"/>
  <c r="E54" i="32"/>
  <c r="Q54" i="36"/>
  <c r="R54" i="36" s="1"/>
  <c r="Q54" i="32"/>
  <c r="Q54" i="40"/>
  <c r="R54" i="40" s="1"/>
  <c r="E54" i="37"/>
  <c r="E54" i="31"/>
  <c r="Q54" i="34"/>
  <c r="R54" i="34" s="1"/>
  <c r="E54" i="33"/>
  <c r="Q54" i="33"/>
  <c r="R54" i="33" s="1"/>
  <c r="E54" i="40"/>
  <c r="E54" i="18"/>
  <c r="Q54" i="31"/>
  <c r="R54" i="31" s="1"/>
  <c r="E54" i="35"/>
  <c r="Q54" i="37"/>
  <c r="R54" i="37" s="1"/>
  <c r="T54" i="37" s="1"/>
  <c r="Q54" i="18"/>
  <c r="R54" i="18" s="1"/>
  <c r="E54" i="34"/>
  <c r="Q54" i="35"/>
  <c r="R54" i="35" s="1"/>
  <c r="S54" i="35" s="1"/>
  <c r="Q28" i="40"/>
  <c r="R28" i="40" s="1"/>
  <c r="E28" i="37"/>
  <c r="E28" i="33"/>
  <c r="Q28" i="37"/>
  <c r="Q28" i="33"/>
  <c r="E28" i="34"/>
  <c r="E28" i="36"/>
  <c r="Q28" i="31"/>
  <c r="E28" i="40"/>
  <c r="E28" i="32"/>
  <c r="Q28" i="35"/>
  <c r="Q28" i="18"/>
  <c r="Q28" i="36"/>
  <c r="R28" i="36" s="1"/>
  <c r="E28" i="31"/>
  <c r="Q28" i="34"/>
  <c r="E28" i="35"/>
  <c r="E28" i="18"/>
  <c r="Q28" i="32"/>
  <c r="C72" i="32"/>
  <c r="C74" i="34"/>
  <c r="P49" i="32"/>
  <c r="P39" i="32"/>
  <c r="C51" i="32"/>
  <c r="C51" i="34"/>
  <c r="P51" i="32"/>
  <c r="P74" i="32"/>
  <c r="P72" i="32"/>
  <c r="P30" i="6"/>
  <c r="P62" i="6"/>
  <c r="P42" i="6"/>
  <c r="M84" i="7"/>
  <c r="P74" i="6"/>
  <c r="M79" i="7"/>
  <c r="M34" i="7"/>
  <c r="C43" i="33"/>
  <c r="P60" i="33"/>
  <c r="P37" i="6"/>
  <c r="P39" i="33"/>
  <c r="P27" i="6"/>
  <c r="C54" i="33"/>
  <c r="P89" i="6"/>
  <c r="M53" i="7"/>
  <c r="C54" i="35"/>
  <c r="C74" i="31"/>
  <c r="M60" i="7"/>
  <c r="P16" i="6"/>
  <c r="P45" i="6"/>
  <c r="P14" i="6"/>
  <c r="P77" i="6"/>
  <c r="P41" i="6"/>
  <c r="M49" i="7"/>
  <c r="P44" i="6"/>
  <c r="P41" i="18"/>
  <c r="P88" i="6"/>
  <c r="M86" i="7"/>
  <c r="P70" i="6"/>
  <c r="P84" i="6"/>
  <c r="P49" i="6"/>
  <c r="P40" i="6"/>
  <c r="P58" i="6"/>
  <c r="P31" i="6"/>
  <c r="M80" i="7"/>
  <c r="M62" i="7"/>
  <c r="P86" i="6"/>
  <c r="P70" i="31"/>
  <c r="C43" i="31"/>
  <c r="M61" i="7"/>
  <c r="M51" i="7"/>
  <c r="P64" i="6"/>
  <c r="C58" i="31"/>
  <c r="C48" i="31"/>
  <c r="P73" i="6"/>
  <c r="P91" i="6"/>
  <c r="C70" i="35"/>
  <c r="C96" i="31"/>
  <c r="P43" i="31"/>
  <c r="M56" i="7"/>
  <c r="M36" i="7"/>
  <c r="M67" i="7"/>
  <c r="P47" i="6"/>
  <c r="P43" i="6"/>
  <c r="P20" i="6"/>
  <c r="P92" i="6"/>
  <c r="P25" i="6"/>
  <c r="P87" i="6"/>
  <c r="M88" i="7"/>
  <c r="M72" i="7"/>
  <c r="M55" i="7"/>
  <c r="P81" i="6"/>
  <c r="P38" i="6"/>
  <c r="P28" i="6"/>
  <c r="P80" i="6"/>
  <c r="M81" i="7"/>
  <c r="P22" i="6"/>
  <c r="P63" i="6"/>
  <c r="P65" i="6"/>
  <c r="P67" i="6"/>
  <c r="M91" i="7"/>
  <c r="P32" i="6"/>
  <c r="M40" i="7"/>
  <c r="P57" i="6"/>
  <c r="P69" i="6"/>
  <c r="C89" i="18"/>
  <c r="P51" i="6"/>
  <c r="P53" i="6"/>
  <c r="P13" i="6"/>
  <c r="M47" i="7"/>
  <c r="P46" i="6"/>
  <c r="P34" i="6"/>
  <c r="P15" i="6"/>
  <c r="P56" i="6"/>
  <c r="C98" i="18"/>
  <c r="P98" i="18"/>
  <c r="P85" i="37"/>
  <c r="C85" i="37"/>
  <c r="C69" i="34"/>
  <c r="P69" i="32"/>
  <c r="C69" i="32"/>
  <c r="C46" i="35"/>
  <c r="P46" i="31"/>
  <c r="C46" i="31"/>
  <c r="C46" i="34"/>
  <c r="P46" i="32"/>
  <c r="C46" i="32"/>
  <c r="C71" i="18"/>
  <c r="P71" i="18"/>
  <c r="P99" i="33"/>
  <c r="C99" i="33"/>
  <c r="P71" i="33"/>
  <c r="C71" i="33"/>
  <c r="C71" i="34"/>
  <c r="C71" i="32"/>
  <c r="P71" i="32"/>
  <c r="C66" i="32"/>
  <c r="C66" i="34"/>
  <c r="P66" i="32"/>
  <c r="P98" i="37"/>
  <c r="C98" i="37"/>
  <c r="P56" i="37"/>
  <c r="C56" i="37"/>
  <c r="C60" i="37"/>
  <c r="C64" i="31"/>
  <c r="C64" i="35"/>
  <c r="P64" i="31"/>
  <c r="C89" i="37"/>
  <c r="P89" i="37"/>
  <c r="P91" i="33"/>
  <c r="C91" i="33"/>
  <c r="C91" i="18"/>
  <c r="P91" i="18"/>
  <c r="P95" i="31"/>
  <c r="C95" i="31"/>
  <c r="C95" i="35"/>
  <c r="C81" i="35"/>
  <c r="P60" i="37"/>
  <c r="C49" i="31"/>
  <c r="P49" i="31"/>
  <c r="C49" i="35"/>
  <c r="C42" i="37"/>
  <c r="P42" i="37"/>
  <c r="P95" i="37"/>
  <c r="C95" i="37"/>
  <c r="P47" i="37"/>
  <c r="C47" i="37"/>
  <c r="C72" i="37"/>
  <c r="P72" i="37"/>
  <c r="C72" i="35"/>
  <c r="P72" i="31"/>
  <c r="C72" i="31"/>
  <c r="C64" i="37"/>
  <c r="P64" i="37"/>
  <c r="C46" i="18"/>
  <c r="P46" i="18"/>
  <c r="C46" i="37"/>
  <c r="P46" i="37"/>
  <c r="C89" i="31"/>
  <c r="C89" i="35"/>
  <c r="P95" i="33"/>
  <c r="C95" i="33"/>
  <c r="C81" i="37"/>
  <c r="P81" i="37"/>
  <c r="C96" i="33"/>
  <c r="P96" i="33"/>
  <c r="P81" i="31"/>
  <c r="P47" i="32"/>
  <c r="C56" i="35"/>
  <c r="P72" i="33"/>
  <c r="R72" i="33" s="1"/>
  <c r="S72" i="33" s="1"/>
  <c r="C92" i="32"/>
  <c r="C51" i="35"/>
  <c r="C91" i="34"/>
  <c r="C78" i="34"/>
  <c r="C78" i="32"/>
  <c r="P78" i="32"/>
  <c r="C56" i="18"/>
  <c r="P56" i="18"/>
  <c r="P66" i="37"/>
  <c r="C66" i="37"/>
  <c r="C43" i="37"/>
  <c r="P43" i="37"/>
  <c r="P99" i="32"/>
  <c r="C99" i="34"/>
  <c r="C99" i="32"/>
  <c r="C49" i="37"/>
  <c r="P49" i="37"/>
  <c r="C66" i="18"/>
  <c r="P66" i="18"/>
  <c r="P66" i="33"/>
  <c r="C98" i="33"/>
  <c r="P98" i="33"/>
  <c r="P60" i="32"/>
  <c r="C60" i="32"/>
  <c r="C60" i="34"/>
  <c r="P60" i="31"/>
  <c r="C60" i="35"/>
  <c r="C74" i="33"/>
  <c r="P74" i="33"/>
  <c r="P58" i="37"/>
  <c r="C58" i="37"/>
  <c r="P47" i="18"/>
  <c r="C47" i="18"/>
  <c r="P47" i="31"/>
  <c r="C47" i="31"/>
  <c r="C47" i="35"/>
  <c r="C69" i="33"/>
  <c r="P69" i="33"/>
  <c r="C91" i="37"/>
  <c r="P91" i="37"/>
  <c r="P92" i="31"/>
  <c r="C92" i="35"/>
  <c r="C92" i="31"/>
  <c r="P56" i="31"/>
  <c r="C41" i="37"/>
  <c r="C47" i="34"/>
  <c r="C74" i="35"/>
  <c r="P49" i="18"/>
  <c r="P89" i="31"/>
  <c r="P51" i="31"/>
  <c r="C96" i="35"/>
  <c r="P39" i="18"/>
  <c r="C93" i="35"/>
  <c r="C93" i="31"/>
  <c r="P93" i="31"/>
  <c r="C94" i="32"/>
  <c r="C94" i="34"/>
  <c r="P94" i="32"/>
  <c r="C97" i="34"/>
  <c r="P97" i="32"/>
  <c r="C97" i="32"/>
  <c r="P96" i="37"/>
  <c r="C96" i="37"/>
  <c r="P43" i="18"/>
  <c r="C43" i="18"/>
  <c r="C71" i="37"/>
  <c r="P71" i="37"/>
  <c r="C71" i="31"/>
  <c r="P71" i="31"/>
  <c r="C66" i="31"/>
  <c r="C66" i="35"/>
  <c r="P66" i="31"/>
  <c r="C98" i="35"/>
  <c r="P98" i="31"/>
  <c r="C56" i="33"/>
  <c r="P56" i="33"/>
  <c r="C65" i="37"/>
  <c r="P65" i="37"/>
  <c r="C75" i="18"/>
  <c r="P75" i="18"/>
  <c r="C69" i="37"/>
  <c r="P69" i="37"/>
  <c r="P69" i="31"/>
  <c r="C69" i="31"/>
  <c r="C69" i="35"/>
  <c r="C92" i="18"/>
  <c r="P92" i="18"/>
  <c r="C64" i="18"/>
  <c r="P64" i="18"/>
  <c r="C64" i="34"/>
  <c r="C64" i="32"/>
  <c r="P64" i="32"/>
  <c r="C89" i="34"/>
  <c r="C89" i="32"/>
  <c r="P89" i="32"/>
  <c r="P91" i="31"/>
  <c r="C91" i="35"/>
  <c r="P92" i="37"/>
  <c r="C92" i="37"/>
  <c r="F76" i="18"/>
  <c r="F52" i="37"/>
  <c r="H52" i="37" s="1"/>
  <c r="E93" i="18"/>
  <c r="Q93" i="37"/>
  <c r="Q93" i="36"/>
  <c r="R93" i="36" s="1"/>
  <c r="E93" i="37"/>
  <c r="Q93" i="35"/>
  <c r="R93" i="35" s="1"/>
  <c r="T93" i="35" s="1"/>
  <c r="Q93" i="34"/>
  <c r="R93" i="34" s="1"/>
  <c r="Q93" i="33"/>
  <c r="R93" i="33" s="1"/>
  <c r="Q93" i="32"/>
  <c r="Q93" i="31"/>
  <c r="E93" i="36"/>
  <c r="E93" i="34"/>
  <c r="F93" i="34" s="1"/>
  <c r="E93" i="32"/>
  <c r="F93" i="32" s="1"/>
  <c r="Q93" i="18"/>
  <c r="E93" i="35"/>
  <c r="E93" i="33"/>
  <c r="E93" i="31"/>
  <c r="Q93" i="40"/>
  <c r="R93" i="40" s="1"/>
  <c r="E93" i="40"/>
  <c r="Q77" i="37"/>
  <c r="R77" i="37" s="1"/>
  <c r="S77" i="37" s="1"/>
  <c r="Q77" i="36"/>
  <c r="R77" i="36" s="1"/>
  <c r="E77" i="18"/>
  <c r="E77" i="37"/>
  <c r="Q77" i="35"/>
  <c r="R77" i="35" s="1"/>
  <c r="T77" i="35" s="1"/>
  <c r="Q77" i="34"/>
  <c r="R77" i="34" s="1"/>
  <c r="Q77" i="33"/>
  <c r="R77" i="33" s="1"/>
  <c r="S77" i="33" s="1"/>
  <c r="Q77" i="32"/>
  <c r="Q77" i="31"/>
  <c r="R77" i="31" s="1"/>
  <c r="E77" i="36"/>
  <c r="E77" i="34"/>
  <c r="E77" i="32"/>
  <c r="Q77" i="18"/>
  <c r="E77" i="35"/>
  <c r="E77" i="33"/>
  <c r="E77" i="31"/>
  <c r="E77" i="40"/>
  <c r="Q77" i="40"/>
  <c r="R77" i="40" s="1"/>
  <c r="E89" i="18"/>
  <c r="Q89" i="37"/>
  <c r="Q89" i="36"/>
  <c r="R89" i="36" s="1"/>
  <c r="E89" i="37"/>
  <c r="Q89" i="35"/>
  <c r="R89" i="35" s="1"/>
  <c r="Q89" i="34"/>
  <c r="R89" i="34" s="1"/>
  <c r="Q89" i="33"/>
  <c r="R89" i="33" s="1"/>
  <c r="S89" i="33" s="1"/>
  <c r="Q89" i="32"/>
  <c r="Q89" i="31"/>
  <c r="Q89" i="18"/>
  <c r="R89" i="18" s="1"/>
  <c r="E89" i="35"/>
  <c r="E89" i="33"/>
  <c r="E89" i="31"/>
  <c r="E89" i="36"/>
  <c r="E89" i="34"/>
  <c r="E89" i="32"/>
  <c r="Q89" i="40"/>
  <c r="R89" i="40" s="1"/>
  <c r="E89" i="40"/>
  <c r="F89" i="40" s="1"/>
  <c r="E71" i="18"/>
  <c r="E71" i="37"/>
  <c r="E71" i="36"/>
  <c r="Q71" i="35"/>
  <c r="R71" i="35" s="1"/>
  <c r="S71" i="35" s="1"/>
  <c r="Q71" i="34"/>
  <c r="R71" i="34" s="1"/>
  <c r="Q71" i="33"/>
  <c r="Q71" i="32"/>
  <c r="Q71" i="31"/>
  <c r="Q71" i="37"/>
  <c r="E71" i="34"/>
  <c r="E71" i="32"/>
  <c r="Q71" i="36"/>
  <c r="R71" i="36" s="1"/>
  <c r="E71" i="35"/>
  <c r="E71" i="33"/>
  <c r="E71" i="31"/>
  <c r="Q71" i="18"/>
  <c r="Q71" i="40"/>
  <c r="R71" i="40" s="1"/>
  <c r="E71" i="40"/>
  <c r="E55" i="18"/>
  <c r="E55" i="37"/>
  <c r="E55" i="36"/>
  <c r="Q55" i="35"/>
  <c r="R55" i="35" s="1"/>
  <c r="Q55" i="34"/>
  <c r="R55" i="34" s="1"/>
  <c r="Q55" i="33"/>
  <c r="R55" i="33" s="1"/>
  <c r="S55" i="33" s="1"/>
  <c r="Q55" i="32"/>
  <c r="Q55" i="31"/>
  <c r="Q55" i="18"/>
  <c r="Q55" i="37"/>
  <c r="E55" i="34"/>
  <c r="E55" i="32"/>
  <c r="F55" i="32" s="1"/>
  <c r="Q55" i="36"/>
  <c r="R55" i="36" s="1"/>
  <c r="E55" i="35"/>
  <c r="F55" i="35" s="1"/>
  <c r="E55" i="33"/>
  <c r="E55" i="31"/>
  <c r="E55" i="40"/>
  <c r="F55" i="40" s="1"/>
  <c r="Q55" i="40"/>
  <c r="R55" i="40" s="1"/>
  <c r="E37" i="18"/>
  <c r="Q37" i="37"/>
  <c r="Q37" i="36"/>
  <c r="R37" i="36" s="1"/>
  <c r="Q37" i="35"/>
  <c r="Q37" i="34"/>
  <c r="Q37" i="33"/>
  <c r="Q37" i="32"/>
  <c r="E37" i="31"/>
  <c r="E37" i="36"/>
  <c r="E37" i="35"/>
  <c r="E37" i="33"/>
  <c r="E37" i="37"/>
  <c r="E37" i="34"/>
  <c r="E37" i="32"/>
  <c r="Q37" i="18"/>
  <c r="Q37" i="31"/>
  <c r="Q37" i="40"/>
  <c r="R37" i="40" s="1"/>
  <c r="E37" i="40"/>
  <c r="AC30" i="5"/>
  <c r="AA30" i="5"/>
  <c r="AB30" i="5"/>
  <c r="Y30" i="5"/>
  <c r="X30" i="5"/>
  <c r="Z30" i="5"/>
  <c r="W30" i="5"/>
  <c r="C77" i="34"/>
  <c r="P77" i="32"/>
  <c r="C77" i="32"/>
  <c r="C90" i="18"/>
  <c r="C65" i="35"/>
  <c r="C65" i="31"/>
  <c r="P65" i="31"/>
  <c r="C50" i="35"/>
  <c r="C50" i="31"/>
  <c r="P50" i="31"/>
  <c r="C79" i="35"/>
  <c r="P79" i="31"/>
  <c r="C79" i="31"/>
  <c r="P74" i="18"/>
  <c r="C74" i="18"/>
  <c r="C76" i="32"/>
  <c r="C76" i="34"/>
  <c r="Q95" i="37"/>
  <c r="Q95" i="36"/>
  <c r="R95" i="36" s="1"/>
  <c r="E95" i="36"/>
  <c r="Q95" i="35"/>
  <c r="R95" i="35" s="1"/>
  <c r="S95" i="35" s="1"/>
  <c r="Q95" i="34"/>
  <c r="R95" i="34" s="1"/>
  <c r="Q95" i="33"/>
  <c r="Q95" i="32"/>
  <c r="Q95" i="31"/>
  <c r="Q95" i="18"/>
  <c r="E95" i="37"/>
  <c r="E95" i="34"/>
  <c r="E95" i="32"/>
  <c r="F95" i="32" s="1"/>
  <c r="E95" i="18"/>
  <c r="E95" i="35"/>
  <c r="E95" i="33"/>
  <c r="E95" i="31"/>
  <c r="Q95" i="40"/>
  <c r="R95" i="40" s="1"/>
  <c r="E95" i="40"/>
  <c r="Q31" i="35"/>
  <c r="Q31" i="34"/>
  <c r="Q31" i="33"/>
  <c r="Q31" i="32"/>
  <c r="Q31" i="31"/>
  <c r="Q31" i="18"/>
  <c r="E31" i="37"/>
  <c r="E31" i="36"/>
  <c r="E31" i="34"/>
  <c r="E31" i="32"/>
  <c r="E31" i="18"/>
  <c r="Q31" i="37"/>
  <c r="E31" i="35"/>
  <c r="E31" i="33"/>
  <c r="E31" i="31"/>
  <c r="Q31" i="36"/>
  <c r="R31" i="36" s="1"/>
  <c r="Q31" i="40"/>
  <c r="R31" i="40" s="1"/>
  <c r="E31" i="40"/>
  <c r="F31" i="40" s="1"/>
  <c r="E41" i="18"/>
  <c r="E41" i="37"/>
  <c r="Q41" i="36"/>
  <c r="R41" i="36" s="1"/>
  <c r="Q41" i="35"/>
  <c r="R41" i="35" s="1"/>
  <c r="T41" i="35" s="1"/>
  <c r="Q41" i="34"/>
  <c r="R41" i="34" s="1"/>
  <c r="Q41" i="33"/>
  <c r="Q41" i="32"/>
  <c r="Q41" i="31"/>
  <c r="R41" i="31" s="1"/>
  <c r="E41" i="36"/>
  <c r="E41" i="35"/>
  <c r="E41" i="33"/>
  <c r="E41" i="31"/>
  <c r="F41" i="31" s="1"/>
  <c r="H41" i="31" s="1"/>
  <c r="Q41" i="18"/>
  <c r="Q41" i="37"/>
  <c r="R41" i="37" s="1"/>
  <c r="T41" i="37" s="1"/>
  <c r="E41" i="34"/>
  <c r="E41" i="32"/>
  <c r="E41" i="40"/>
  <c r="Q41" i="40"/>
  <c r="R41" i="40" s="1"/>
  <c r="Q43" i="36"/>
  <c r="R43" i="36" s="1"/>
  <c r="Q43" i="35"/>
  <c r="R43" i="35" s="1"/>
  <c r="Q43" i="34"/>
  <c r="R43" i="34" s="1"/>
  <c r="Q43" i="33"/>
  <c r="R43" i="33" s="1"/>
  <c r="S43" i="33" s="1"/>
  <c r="Q43" i="32"/>
  <c r="Q43" i="31"/>
  <c r="Q43" i="18"/>
  <c r="E43" i="37"/>
  <c r="E43" i="36"/>
  <c r="Q43" i="37"/>
  <c r="E43" i="35"/>
  <c r="E43" i="33"/>
  <c r="E43" i="31"/>
  <c r="E43" i="40"/>
  <c r="E43" i="34"/>
  <c r="E43" i="32"/>
  <c r="E43" i="18"/>
  <c r="Q43" i="40"/>
  <c r="R43" i="40" s="1"/>
  <c r="E45" i="18"/>
  <c r="E45" i="37"/>
  <c r="Q45" i="36"/>
  <c r="R45" i="36" s="1"/>
  <c r="Q45" i="35"/>
  <c r="R45" i="35" s="1"/>
  <c r="S45" i="35" s="1"/>
  <c r="Q45" i="34"/>
  <c r="R45" i="34" s="1"/>
  <c r="Q45" i="33"/>
  <c r="R45" i="33" s="1"/>
  <c r="S45" i="33" s="1"/>
  <c r="Q45" i="32"/>
  <c r="Q45" i="31"/>
  <c r="Q45" i="18"/>
  <c r="Q45" i="37"/>
  <c r="R45" i="37" s="1"/>
  <c r="T45" i="37" s="1"/>
  <c r="E45" i="34"/>
  <c r="F45" i="34" s="1"/>
  <c r="E45" i="32"/>
  <c r="F45" i="32" s="1"/>
  <c r="E45" i="36"/>
  <c r="E45" i="35"/>
  <c r="E45" i="33"/>
  <c r="E45" i="31"/>
  <c r="E45" i="40"/>
  <c r="Q45" i="40"/>
  <c r="R45" i="40" s="1"/>
  <c r="Q47" i="35"/>
  <c r="R47" i="35" s="1"/>
  <c r="T47" i="35" s="1"/>
  <c r="Q47" i="34"/>
  <c r="R47" i="34" s="1"/>
  <c r="Q47" i="33"/>
  <c r="Q47" i="32"/>
  <c r="Q47" i="31"/>
  <c r="Q47" i="18"/>
  <c r="Q47" i="37"/>
  <c r="Q47" i="36"/>
  <c r="R47" i="36" s="1"/>
  <c r="E47" i="34"/>
  <c r="E47" i="32"/>
  <c r="F47" i="32" s="1"/>
  <c r="E47" i="18"/>
  <c r="E47" i="36"/>
  <c r="E47" i="35"/>
  <c r="E47" i="33"/>
  <c r="E47" i="31"/>
  <c r="E47" i="37"/>
  <c r="E47" i="40"/>
  <c r="Q47" i="40"/>
  <c r="R47" i="40" s="1"/>
  <c r="Q49" i="37"/>
  <c r="Q49" i="36"/>
  <c r="R49" i="36" s="1"/>
  <c r="E49" i="35"/>
  <c r="E49" i="34"/>
  <c r="E49" i="33"/>
  <c r="E49" i="32"/>
  <c r="F49" i="32" s="1"/>
  <c r="E49" i="31"/>
  <c r="E49" i="18"/>
  <c r="E49" i="36"/>
  <c r="E49" i="37"/>
  <c r="Q49" i="35"/>
  <c r="R49" i="35" s="1"/>
  <c r="S49" i="35" s="1"/>
  <c r="Q49" i="33"/>
  <c r="Q49" i="31"/>
  <c r="E49" i="40"/>
  <c r="F49" i="40" s="1"/>
  <c r="Q49" i="34"/>
  <c r="R49" i="34" s="1"/>
  <c r="Q49" i="32"/>
  <c r="Q49" i="18"/>
  <c r="Q49" i="40"/>
  <c r="R49" i="40" s="1"/>
  <c r="Q65" i="35"/>
  <c r="R65" i="35" s="1"/>
  <c r="Q65" i="34"/>
  <c r="R65" i="34" s="1"/>
  <c r="Q65" i="33"/>
  <c r="R65" i="33" s="1"/>
  <c r="S65" i="33" s="1"/>
  <c r="Q65" i="32"/>
  <c r="Q65" i="31"/>
  <c r="Q65" i="18"/>
  <c r="Q65" i="37"/>
  <c r="Q65" i="36"/>
  <c r="R65" i="36" s="1"/>
  <c r="E65" i="34"/>
  <c r="E65" i="32"/>
  <c r="E65" i="18"/>
  <c r="E65" i="36"/>
  <c r="E65" i="35"/>
  <c r="E65" i="33"/>
  <c r="E65" i="31"/>
  <c r="E65" i="37"/>
  <c r="Q65" i="40"/>
  <c r="R65" i="40" s="1"/>
  <c r="E65" i="40"/>
  <c r="Q91" i="35"/>
  <c r="R91" i="35" s="1"/>
  <c r="T91" i="35" s="1"/>
  <c r="Q91" i="34"/>
  <c r="R91" i="34" s="1"/>
  <c r="Q91" i="33"/>
  <c r="Q91" i="32"/>
  <c r="Q91" i="31"/>
  <c r="Q91" i="18"/>
  <c r="Q91" i="37"/>
  <c r="Q91" i="36"/>
  <c r="R91" i="36" s="1"/>
  <c r="E91" i="34"/>
  <c r="E91" i="32"/>
  <c r="F91" i="32" s="1"/>
  <c r="E91" i="18"/>
  <c r="E91" i="36"/>
  <c r="E91" i="35"/>
  <c r="E91" i="33"/>
  <c r="E91" i="31"/>
  <c r="F91" i="31" s="1"/>
  <c r="G91" i="31" s="1"/>
  <c r="E91" i="37"/>
  <c r="Q91" i="40"/>
  <c r="R91" i="40" s="1"/>
  <c r="E91" i="40"/>
  <c r="E87" i="37"/>
  <c r="E87" i="36"/>
  <c r="Q87" i="35"/>
  <c r="R87" i="35" s="1"/>
  <c r="T87" i="35" s="1"/>
  <c r="Q87" i="34"/>
  <c r="R87" i="34" s="1"/>
  <c r="Q87" i="33"/>
  <c r="Q87" i="32"/>
  <c r="Q87" i="31"/>
  <c r="Q87" i="37"/>
  <c r="E87" i="34"/>
  <c r="E87" i="32"/>
  <c r="E87" i="18"/>
  <c r="Q87" i="36"/>
  <c r="R87" i="36" s="1"/>
  <c r="E87" i="35"/>
  <c r="E87" i="33"/>
  <c r="E87" i="31"/>
  <c r="Q87" i="18"/>
  <c r="E87" i="40"/>
  <c r="Q87" i="40"/>
  <c r="R87" i="40" s="1"/>
  <c r="C63" i="35"/>
  <c r="P63" i="31"/>
  <c r="C63" i="31"/>
  <c r="P85" i="33"/>
  <c r="C85" i="33"/>
  <c r="C87" i="35"/>
  <c r="P87" i="31"/>
  <c r="C87" i="31"/>
  <c r="P87" i="18"/>
  <c r="C87" i="18"/>
  <c r="C99" i="37"/>
  <c r="P99" i="37"/>
  <c r="C99" i="31"/>
  <c r="P99" i="31"/>
  <c r="C99" i="35"/>
  <c r="E51" i="37"/>
  <c r="Q51" i="36"/>
  <c r="R51" i="36" s="1"/>
  <c r="Q51" i="35"/>
  <c r="R51" i="35" s="1"/>
  <c r="Q51" i="34"/>
  <c r="R51" i="34" s="1"/>
  <c r="Q51" i="33"/>
  <c r="Q51" i="32"/>
  <c r="Q51" i="31"/>
  <c r="E51" i="18"/>
  <c r="Q51" i="37"/>
  <c r="R51" i="37" s="1"/>
  <c r="T51" i="37" s="1"/>
  <c r="E51" i="36"/>
  <c r="E51" i="35"/>
  <c r="E51" i="33"/>
  <c r="E51" i="31"/>
  <c r="F51" i="31" s="1"/>
  <c r="G51" i="31" s="1"/>
  <c r="Q51" i="18"/>
  <c r="R51" i="18" s="1"/>
  <c r="E51" i="34"/>
  <c r="E51" i="32"/>
  <c r="E51" i="40"/>
  <c r="F51" i="40" s="1"/>
  <c r="Q51" i="40"/>
  <c r="R51" i="40" s="1"/>
  <c r="Q33" i="37"/>
  <c r="E33" i="36"/>
  <c r="E33" i="35"/>
  <c r="E33" i="34"/>
  <c r="E33" i="33"/>
  <c r="E33" i="32"/>
  <c r="E33" i="31"/>
  <c r="E33" i="18"/>
  <c r="Q33" i="36"/>
  <c r="R33" i="36" s="1"/>
  <c r="Q33" i="35"/>
  <c r="Q33" i="33"/>
  <c r="Q33" i="31"/>
  <c r="E33" i="37"/>
  <c r="Q33" i="40"/>
  <c r="R33" i="40" s="1"/>
  <c r="Q33" i="34"/>
  <c r="Q33" i="32"/>
  <c r="Q33" i="18"/>
  <c r="E33" i="40"/>
  <c r="F33" i="40" s="1"/>
  <c r="AE30" i="5"/>
  <c r="P60" i="18"/>
  <c r="C60" i="18"/>
  <c r="P72" i="18"/>
  <c r="C72" i="18"/>
  <c r="P57" i="18"/>
  <c r="C57" i="18"/>
  <c r="P62" i="37"/>
  <c r="C62" i="37"/>
  <c r="P54" i="32"/>
  <c r="C54" i="34"/>
  <c r="C54" i="32"/>
  <c r="C81" i="18"/>
  <c r="C67" i="33"/>
  <c r="P67" i="33"/>
  <c r="C59" i="34"/>
  <c r="P59" i="32"/>
  <c r="C59" i="32"/>
  <c r="C75" i="33"/>
  <c r="P75" i="33"/>
  <c r="P75" i="31"/>
  <c r="C75" i="35"/>
  <c r="C75" i="31"/>
  <c r="C80" i="35"/>
  <c r="C80" i="31"/>
  <c r="P80" i="37"/>
  <c r="C80" i="37"/>
  <c r="P58" i="32"/>
  <c r="C58" i="34"/>
  <c r="C58" i="32"/>
  <c r="P70" i="33"/>
  <c r="C70" i="33"/>
  <c r="F70" i="33" s="1"/>
  <c r="H70" i="33" s="1"/>
  <c r="C84" i="33"/>
  <c r="P97" i="33"/>
  <c r="C97" i="33"/>
  <c r="Q85" i="37"/>
  <c r="Q85" i="36"/>
  <c r="R85" i="36" s="1"/>
  <c r="E85" i="35"/>
  <c r="E85" i="34"/>
  <c r="F85" i="34" s="1"/>
  <c r="E85" i="33"/>
  <c r="E85" i="32"/>
  <c r="F85" i="32" s="1"/>
  <c r="E85" i="31"/>
  <c r="E85" i="18"/>
  <c r="E85" i="36"/>
  <c r="E85" i="37"/>
  <c r="Q85" i="35"/>
  <c r="R85" i="35" s="1"/>
  <c r="Q85" i="33"/>
  <c r="Q85" i="31"/>
  <c r="Q85" i="32"/>
  <c r="E85" i="40"/>
  <c r="Q85" i="34"/>
  <c r="R85" i="34" s="1"/>
  <c r="Q85" i="18"/>
  <c r="Q85" i="40"/>
  <c r="R85" i="40" s="1"/>
  <c r="Q73" i="37"/>
  <c r="R73" i="37" s="1"/>
  <c r="T73" i="37" s="1"/>
  <c r="Q73" i="36"/>
  <c r="R73" i="36" s="1"/>
  <c r="E73" i="37"/>
  <c r="Q73" i="35"/>
  <c r="R73" i="35" s="1"/>
  <c r="S73" i="35" s="1"/>
  <c r="Q73" i="34"/>
  <c r="R73" i="34" s="1"/>
  <c r="Q73" i="33"/>
  <c r="R73" i="33" s="1"/>
  <c r="S73" i="33" s="1"/>
  <c r="Q73" i="32"/>
  <c r="Q73" i="31"/>
  <c r="Q73" i="18"/>
  <c r="R73" i="18" s="1"/>
  <c r="E73" i="18"/>
  <c r="E73" i="35"/>
  <c r="E73" i="33"/>
  <c r="E73" i="31"/>
  <c r="E73" i="36"/>
  <c r="E73" i="34"/>
  <c r="E73" i="32"/>
  <c r="E73" i="40"/>
  <c r="Q73" i="40"/>
  <c r="R73" i="40" s="1"/>
  <c r="E63" i="35"/>
  <c r="E63" i="34"/>
  <c r="F63" i="34" s="1"/>
  <c r="E63" i="33"/>
  <c r="E63" i="32"/>
  <c r="F63" i="32" s="1"/>
  <c r="E63" i="31"/>
  <c r="E63" i="18"/>
  <c r="E63" i="37"/>
  <c r="E63" i="36"/>
  <c r="Q63" i="35"/>
  <c r="R63" i="35" s="1"/>
  <c r="T63" i="35" s="1"/>
  <c r="Q63" i="33"/>
  <c r="Q63" i="31"/>
  <c r="Q63" i="37"/>
  <c r="Q63" i="40"/>
  <c r="R63" i="40" s="1"/>
  <c r="Q63" i="34"/>
  <c r="R63" i="34" s="1"/>
  <c r="Q63" i="32"/>
  <c r="Q63" i="18"/>
  <c r="Q63" i="36"/>
  <c r="R63" i="36" s="1"/>
  <c r="E63" i="40"/>
  <c r="F63" i="40" s="1"/>
  <c r="E29" i="18"/>
  <c r="E29" i="37"/>
  <c r="Q29" i="36"/>
  <c r="R29" i="36" s="1"/>
  <c r="Q29" i="35"/>
  <c r="Q29" i="34"/>
  <c r="Q29" i="33"/>
  <c r="Q29" i="32"/>
  <c r="E29" i="31"/>
  <c r="Q29" i="37"/>
  <c r="E29" i="36"/>
  <c r="E29" i="34"/>
  <c r="E29" i="32"/>
  <c r="Q29" i="18"/>
  <c r="E29" i="35"/>
  <c r="E29" i="33"/>
  <c r="Q29" i="31"/>
  <c r="Q29" i="40"/>
  <c r="R29" i="40" s="1"/>
  <c r="E29" i="40"/>
  <c r="Q21" i="35"/>
  <c r="Q21" i="34"/>
  <c r="Q21" i="33"/>
  <c r="Q21" i="32"/>
  <c r="Q21" i="31"/>
  <c r="Q21" i="18"/>
  <c r="E21" i="37"/>
  <c r="E21" i="36"/>
  <c r="E21" i="34"/>
  <c r="E21" i="32"/>
  <c r="E21" i="18"/>
  <c r="Q21" i="37"/>
  <c r="E21" i="35"/>
  <c r="E21" i="33"/>
  <c r="E21" i="31"/>
  <c r="Q21" i="36"/>
  <c r="R21" i="36" s="1"/>
  <c r="E21" i="40"/>
  <c r="Q21" i="40"/>
  <c r="R21" i="40" s="1"/>
  <c r="E97" i="37"/>
  <c r="E97" i="36"/>
  <c r="Q97" i="35"/>
  <c r="R97" i="35" s="1"/>
  <c r="Q97" i="34"/>
  <c r="R97" i="34" s="1"/>
  <c r="Q97" i="33"/>
  <c r="Q97" i="32"/>
  <c r="Q97" i="31"/>
  <c r="R97" i="31" s="1"/>
  <c r="S97" i="31" s="1"/>
  <c r="Q97" i="18"/>
  <c r="R97" i="18" s="1"/>
  <c r="Q97" i="37"/>
  <c r="R97" i="37" s="1"/>
  <c r="S97" i="37" s="1"/>
  <c r="E97" i="34"/>
  <c r="E97" i="32"/>
  <c r="F97" i="32" s="1"/>
  <c r="E97" i="18"/>
  <c r="Q97" i="36"/>
  <c r="R97" i="36" s="1"/>
  <c r="E97" i="35"/>
  <c r="E97" i="33"/>
  <c r="E97" i="31"/>
  <c r="Q97" i="40"/>
  <c r="R97" i="40" s="1"/>
  <c r="E97" i="40"/>
  <c r="AD30" i="5"/>
  <c r="C40" i="31"/>
  <c r="C40" i="35"/>
  <c r="P40" i="31"/>
  <c r="C90" i="35"/>
  <c r="P90" i="31"/>
  <c r="C90" i="31"/>
  <c r="C65" i="18"/>
  <c r="P65" i="18"/>
  <c r="P65" i="32"/>
  <c r="C65" i="34"/>
  <c r="C65" i="32"/>
  <c r="P50" i="18"/>
  <c r="P74" i="37"/>
  <c r="C74" i="37"/>
  <c r="P95" i="18"/>
  <c r="C95" i="18"/>
  <c r="C46" i="33"/>
  <c r="P46" i="33"/>
  <c r="E23" i="37"/>
  <c r="Q23" i="36"/>
  <c r="R23" i="36" s="1"/>
  <c r="Q23" i="35"/>
  <c r="Q23" i="34"/>
  <c r="Q23" i="33"/>
  <c r="Q23" i="32"/>
  <c r="E23" i="31"/>
  <c r="E23" i="18"/>
  <c r="E23" i="36"/>
  <c r="E23" i="34"/>
  <c r="E23" i="32"/>
  <c r="Q23" i="37"/>
  <c r="E23" i="35"/>
  <c r="E23" i="33"/>
  <c r="Q23" i="18"/>
  <c r="Q23" i="31"/>
  <c r="E23" i="40"/>
  <c r="Q23" i="40"/>
  <c r="R23" i="40" s="1"/>
  <c r="E39" i="18"/>
  <c r="E39" i="37"/>
  <c r="Q39" i="36"/>
  <c r="R39" i="36" s="1"/>
  <c r="Q39" i="35"/>
  <c r="R39" i="35" s="1"/>
  <c r="Q39" i="34"/>
  <c r="R39" i="34" s="1"/>
  <c r="Q39" i="33"/>
  <c r="Q39" i="32"/>
  <c r="Q39" i="18"/>
  <c r="E39" i="31"/>
  <c r="E39" i="34"/>
  <c r="F39" i="34" s="1"/>
  <c r="E39" i="32"/>
  <c r="Q39" i="31"/>
  <c r="R39" i="31" s="1"/>
  <c r="Q39" i="37"/>
  <c r="R39" i="37" s="1"/>
  <c r="S39" i="37" s="1"/>
  <c r="E39" i="36"/>
  <c r="E39" i="35"/>
  <c r="E39" i="33"/>
  <c r="Q39" i="40"/>
  <c r="R39" i="40" s="1"/>
  <c r="E39" i="40"/>
  <c r="E42" i="18"/>
  <c r="Q42" i="37"/>
  <c r="Q42" i="36"/>
  <c r="R42" i="36" s="1"/>
  <c r="Q42" i="35"/>
  <c r="R42" i="35" s="1"/>
  <c r="Q42" i="34"/>
  <c r="R42" i="34" s="1"/>
  <c r="Q42" i="33"/>
  <c r="Q42" i="32"/>
  <c r="Q42" i="31"/>
  <c r="Q42" i="18"/>
  <c r="E42" i="35"/>
  <c r="F42" i="35" s="1"/>
  <c r="E42" i="33"/>
  <c r="E42" i="31"/>
  <c r="E42" i="37"/>
  <c r="E42" i="36"/>
  <c r="E42" i="34"/>
  <c r="F42" i="34" s="1"/>
  <c r="E42" i="32"/>
  <c r="F42" i="32" s="1"/>
  <c r="Q42" i="40"/>
  <c r="R42" i="40" s="1"/>
  <c r="E42" i="40"/>
  <c r="Q44" i="37"/>
  <c r="E44" i="18"/>
  <c r="E44" i="37"/>
  <c r="Q44" i="36"/>
  <c r="R44" i="36" s="1"/>
  <c r="Q44" i="35"/>
  <c r="R44" i="35" s="1"/>
  <c r="T44" i="35" s="1"/>
  <c r="Q44" i="34"/>
  <c r="R44" i="34" s="1"/>
  <c r="Q44" i="33"/>
  <c r="Q44" i="32"/>
  <c r="Q44" i="31"/>
  <c r="E44" i="36"/>
  <c r="E44" i="34"/>
  <c r="E44" i="32"/>
  <c r="E44" i="35"/>
  <c r="E44" i="33"/>
  <c r="E44" i="31"/>
  <c r="F44" i="31" s="1"/>
  <c r="H44" i="31" s="1"/>
  <c r="Q44" i="18"/>
  <c r="R44" i="18" s="1"/>
  <c r="Q44" i="40"/>
  <c r="R44" i="40" s="1"/>
  <c r="E44" i="40"/>
  <c r="E46" i="37"/>
  <c r="E46" i="35"/>
  <c r="E46" i="34"/>
  <c r="E46" i="33"/>
  <c r="E46" i="32"/>
  <c r="E46" i="31"/>
  <c r="E46" i="18"/>
  <c r="Q46" i="36"/>
  <c r="R46" i="36" s="1"/>
  <c r="Q46" i="35"/>
  <c r="R46" i="35" s="1"/>
  <c r="T46" i="35" s="1"/>
  <c r="Q46" i="33"/>
  <c r="Q46" i="31"/>
  <c r="Q46" i="37"/>
  <c r="Q46" i="40"/>
  <c r="R46" i="40" s="1"/>
  <c r="Q46" i="34"/>
  <c r="R46" i="34" s="1"/>
  <c r="Q46" i="32"/>
  <c r="Q46" i="18"/>
  <c r="E46" i="36"/>
  <c r="E46" i="40"/>
  <c r="Q48" i="35"/>
  <c r="R48" i="35" s="1"/>
  <c r="S48" i="35" s="1"/>
  <c r="Q48" i="34"/>
  <c r="R48" i="34" s="1"/>
  <c r="Q48" i="33"/>
  <c r="R48" i="33" s="1"/>
  <c r="Q48" i="32"/>
  <c r="Q48" i="31"/>
  <c r="R48" i="31" s="1"/>
  <c r="Q48" i="18"/>
  <c r="Q48" i="37"/>
  <c r="R48" i="37" s="1"/>
  <c r="Q48" i="36"/>
  <c r="R48" i="36" s="1"/>
  <c r="E48" i="34"/>
  <c r="E48" i="32"/>
  <c r="E48" i="18"/>
  <c r="E48" i="36"/>
  <c r="E48" i="35"/>
  <c r="E48" i="33"/>
  <c r="E48" i="31"/>
  <c r="E48" i="37"/>
  <c r="Q48" i="40"/>
  <c r="R48" i="40" s="1"/>
  <c r="E48" i="40"/>
  <c r="Q57" i="37"/>
  <c r="R57" i="37" s="1"/>
  <c r="E57" i="37"/>
  <c r="E57" i="36"/>
  <c r="Q57" i="35"/>
  <c r="R57" i="35" s="1"/>
  <c r="Q57" i="34"/>
  <c r="R57" i="34" s="1"/>
  <c r="Q57" i="33"/>
  <c r="Q57" i="32"/>
  <c r="Q57" i="31"/>
  <c r="R57" i="31" s="1"/>
  <c r="E57" i="35"/>
  <c r="E57" i="33"/>
  <c r="E57" i="31"/>
  <c r="E57" i="18"/>
  <c r="Q57" i="36"/>
  <c r="R57" i="36" s="1"/>
  <c r="E57" i="34"/>
  <c r="F57" i="34" s="1"/>
  <c r="E57" i="32"/>
  <c r="Q57" i="18"/>
  <c r="Q57" i="40"/>
  <c r="R57" i="40" s="1"/>
  <c r="E57" i="40"/>
  <c r="Q75" i="35"/>
  <c r="R75" i="35" s="1"/>
  <c r="S75" i="35" s="1"/>
  <c r="Q75" i="34"/>
  <c r="R75" i="34" s="1"/>
  <c r="Q75" i="33"/>
  <c r="Q75" i="32"/>
  <c r="Q75" i="31"/>
  <c r="Q75" i="18"/>
  <c r="Q75" i="37"/>
  <c r="Q75" i="36"/>
  <c r="R75" i="36" s="1"/>
  <c r="E75" i="34"/>
  <c r="E75" i="32"/>
  <c r="E75" i="18"/>
  <c r="E75" i="36"/>
  <c r="E75" i="35"/>
  <c r="E75" i="33"/>
  <c r="E75" i="31"/>
  <c r="F75" i="31" s="1"/>
  <c r="G75" i="31" s="1"/>
  <c r="E75" i="37"/>
  <c r="E75" i="40"/>
  <c r="Q75" i="40"/>
  <c r="R75" i="40" s="1"/>
  <c r="E79" i="35"/>
  <c r="E79" i="34"/>
  <c r="F79" i="34" s="1"/>
  <c r="E79" i="33"/>
  <c r="E79" i="32"/>
  <c r="F79" i="32" s="1"/>
  <c r="E79" i="31"/>
  <c r="E79" i="18"/>
  <c r="E79" i="37"/>
  <c r="E79" i="36"/>
  <c r="Q79" i="35"/>
  <c r="R79" i="35" s="1"/>
  <c r="Q79" i="33"/>
  <c r="R79" i="33" s="1"/>
  <c r="Q79" i="31"/>
  <c r="Q79" i="37"/>
  <c r="R79" i="37" s="1"/>
  <c r="E79" i="40"/>
  <c r="Q79" i="34"/>
  <c r="R79" i="34" s="1"/>
  <c r="Q79" i="32"/>
  <c r="Q79" i="18"/>
  <c r="R79" i="18" s="1"/>
  <c r="Q79" i="36"/>
  <c r="R79" i="36" s="1"/>
  <c r="Q79" i="40"/>
  <c r="R79" i="40" s="1"/>
  <c r="AH32" i="5"/>
  <c r="P63" i="37"/>
  <c r="C63" i="18"/>
  <c r="P63" i="18"/>
  <c r="P85" i="18"/>
  <c r="C85" i="18"/>
  <c r="C85" i="35"/>
  <c r="P85" i="31"/>
  <c r="C87" i="33"/>
  <c r="P87" i="33"/>
  <c r="C87" i="37"/>
  <c r="P87" i="37"/>
  <c r="P99" i="18"/>
  <c r="C99" i="18"/>
  <c r="E67" i="37"/>
  <c r="E67" i="36"/>
  <c r="Q67" i="35"/>
  <c r="R67" i="35" s="1"/>
  <c r="S67" i="35" s="1"/>
  <c r="Q67" i="34"/>
  <c r="R67" i="34" s="1"/>
  <c r="Q67" i="33"/>
  <c r="Q67" i="32"/>
  <c r="Q67" i="31"/>
  <c r="E67" i="18"/>
  <c r="Q67" i="37"/>
  <c r="R67" i="37" s="1"/>
  <c r="S67" i="37" s="1"/>
  <c r="E67" i="35"/>
  <c r="E67" i="33"/>
  <c r="E67" i="31"/>
  <c r="Q67" i="18"/>
  <c r="R67" i="18" s="1"/>
  <c r="Q67" i="36"/>
  <c r="R67" i="36" s="1"/>
  <c r="E67" i="34"/>
  <c r="F67" i="34" s="1"/>
  <c r="E67" i="32"/>
  <c r="F67" i="32" s="1"/>
  <c r="Q67" i="40"/>
  <c r="R67" i="40" s="1"/>
  <c r="E67" i="40"/>
  <c r="C94" i="18"/>
  <c r="P94" i="18"/>
  <c r="C67" i="35"/>
  <c r="P67" i="31"/>
  <c r="C67" i="31"/>
  <c r="C73" i="31"/>
  <c r="C73" i="35"/>
  <c r="P73" i="31"/>
  <c r="P83" i="33"/>
  <c r="C83" i="33"/>
  <c r="Q81" i="35"/>
  <c r="R81" i="35" s="1"/>
  <c r="Q81" i="34"/>
  <c r="R81" i="34" s="1"/>
  <c r="Q81" i="33"/>
  <c r="R81" i="33" s="1"/>
  <c r="S81" i="33" s="1"/>
  <c r="Q81" i="32"/>
  <c r="Q81" i="31"/>
  <c r="Q81" i="18"/>
  <c r="R81" i="18" s="1"/>
  <c r="S81" i="18" s="1"/>
  <c r="Q81" i="37"/>
  <c r="Q81" i="36"/>
  <c r="R81" i="36" s="1"/>
  <c r="E81" i="34"/>
  <c r="E81" i="32"/>
  <c r="E81" i="18"/>
  <c r="E81" i="36"/>
  <c r="E81" i="35"/>
  <c r="E81" i="33"/>
  <c r="E81" i="31"/>
  <c r="E81" i="37"/>
  <c r="E81" i="40"/>
  <c r="F81" i="40" s="1"/>
  <c r="Q81" i="40"/>
  <c r="R81" i="40" s="1"/>
  <c r="Q59" i="37"/>
  <c r="R59" i="37" s="1"/>
  <c r="Q59" i="36"/>
  <c r="R59" i="36" s="1"/>
  <c r="E59" i="35"/>
  <c r="E59" i="34"/>
  <c r="E59" i="33"/>
  <c r="E59" i="32"/>
  <c r="E59" i="31"/>
  <c r="E59" i="18"/>
  <c r="E59" i="36"/>
  <c r="E59" i="37"/>
  <c r="Q59" i="35"/>
  <c r="R59" i="35" s="1"/>
  <c r="T59" i="35" s="1"/>
  <c r="Q59" i="33"/>
  <c r="R59" i="33" s="1"/>
  <c r="S59" i="33" s="1"/>
  <c r="Q59" i="31"/>
  <c r="R59" i="31" s="1"/>
  <c r="Q59" i="40"/>
  <c r="R59" i="40" s="1"/>
  <c r="Q59" i="34"/>
  <c r="R59" i="34" s="1"/>
  <c r="Q59" i="32"/>
  <c r="Q59" i="18"/>
  <c r="R59" i="18" s="1"/>
  <c r="E59" i="40"/>
  <c r="E25" i="37"/>
  <c r="Q25" i="36"/>
  <c r="R25" i="36" s="1"/>
  <c r="Q25" i="35"/>
  <c r="Q25" i="34"/>
  <c r="Q25" i="33"/>
  <c r="Q25" i="32"/>
  <c r="Q25" i="18"/>
  <c r="E25" i="31"/>
  <c r="E25" i="18"/>
  <c r="E25" i="34"/>
  <c r="E25" i="32"/>
  <c r="Q25" i="31"/>
  <c r="Q25" i="37"/>
  <c r="E25" i="36"/>
  <c r="E25" i="35"/>
  <c r="E25" i="33"/>
  <c r="Q25" i="40"/>
  <c r="R25" i="40" s="1"/>
  <c r="E25" i="40"/>
  <c r="F25" i="40" s="1"/>
  <c r="C96" i="18"/>
  <c r="F96" i="18" s="1"/>
  <c r="C75" i="34"/>
  <c r="C75" i="32"/>
  <c r="P75" i="32"/>
  <c r="C75" i="37"/>
  <c r="P75" i="37"/>
  <c r="P58" i="18"/>
  <c r="C58" i="18"/>
  <c r="C70" i="18"/>
  <c r="P70" i="18"/>
  <c r="C84" i="32"/>
  <c r="P84" i="32"/>
  <c r="C84" i="34"/>
  <c r="C68" i="33"/>
  <c r="P68" i="33"/>
  <c r="K9" i="36"/>
  <c r="K12" i="36"/>
  <c r="K10" i="36"/>
  <c r="K8" i="40"/>
  <c r="W8" i="40"/>
  <c r="W8" i="32"/>
  <c r="K8" i="32"/>
  <c r="K10" i="18"/>
  <c r="K12" i="18"/>
  <c r="R60" i="40"/>
  <c r="R92" i="40"/>
  <c r="F36" i="36"/>
  <c r="R94" i="35"/>
  <c r="F69" i="36"/>
  <c r="F64" i="36"/>
  <c r="F30" i="36"/>
  <c r="W10" i="18"/>
  <c r="W9" i="18"/>
  <c r="W12" i="18"/>
  <c r="F11" i="39"/>
  <c r="W6" i="32"/>
  <c r="W12" i="36"/>
  <c r="W9" i="36"/>
  <c r="W10" i="36"/>
  <c r="W12" i="31"/>
  <c r="W9" i="31"/>
  <c r="W10" i="31"/>
  <c r="F99" i="37"/>
  <c r="H99" i="37" s="1"/>
  <c r="F84" i="31"/>
  <c r="G84" i="31" s="1"/>
  <c r="R83" i="34"/>
  <c r="F82" i="32" l="1"/>
  <c r="G82" i="33"/>
  <c r="F58" i="31"/>
  <c r="H58" i="31" s="1"/>
  <c r="F99" i="36"/>
  <c r="H99" i="36" s="1"/>
  <c r="F64" i="34"/>
  <c r="G64" i="34" s="1"/>
  <c r="F83" i="31"/>
  <c r="G83" i="31" s="1"/>
  <c r="F52" i="18"/>
  <c r="G52" i="18" s="1"/>
  <c r="R58" i="37"/>
  <c r="S58" i="37" s="1"/>
  <c r="F72" i="34"/>
  <c r="G72" i="34" s="1"/>
  <c r="S68" i="37"/>
  <c r="F76" i="31"/>
  <c r="H76" i="31" s="1"/>
  <c r="R64" i="31"/>
  <c r="S64" i="31" s="1"/>
  <c r="F54" i="31"/>
  <c r="H54" i="31" s="1"/>
  <c r="F76" i="36"/>
  <c r="H76" i="36" s="1"/>
  <c r="R96" i="33"/>
  <c r="T96" i="33" s="1"/>
  <c r="F82" i="34"/>
  <c r="H82" i="34" s="1"/>
  <c r="F96" i="31"/>
  <c r="H96" i="31" s="1"/>
  <c r="E53" i="38"/>
  <c r="F68" i="36"/>
  <c r="G68" i="36" s="1"/>
  <c r="F35" i="36"/>
  <c r="H35" i="36" s="1"/>
  <c r="R96" i="37"/>
  <c r="S96" i="37" s="1"/>
  <c r="E76" i="38"/>
  <c r="F58" i="34"/>
  <c r="G58" i="34" s="1"/>
  <c r="D89" i="38"/>
  <c r="F87" i="35"/>
  <c r="H87" i="35" s="1"/>
  <c r="E65" i="38"/>
  <c r="F58" i="36"/>
  <c r="G58" i="36" s="1"/>
  <c r="F87" i="36"/>
  <c r="G87" i="36" s="1"/>
  <c r="F52" i="33"/>
  <c r="H52" i="33" s="1"/>
  <c r="R76" i="33"/>
  <c r="T76" i="33" s="1"/>
  <c r="F99" i="18"/>
  <c r="H99" i="18" s="1"/>
  <c r="R69" i="31"/>
  <c r="S69" i="31" s="1"/>
  <c r="F96" i="35"/>
  <c r="H96" i="35" s="1"/>
  <c r="F76" i="40"/>
  <c r="D76" i="38"/>
  <c r="F61" i="36"/>
  <c r="H61" i="36" s="1"/>
  <c r="F50" i="33"/>
  <c r="G50" i="33" s="1"/>
  <c r="E69" i="38"/>
  <c r="F66" i="18"/>
  <c r="H66" i="18" s="1"/>
  <c r="F68" i="31"/>
  <c r="G68" i="31" s="1"/>
  <c r="F32" i="36"/>
  <c r="G32" i="36" s="1"/>
  <c r="F61" i="35"/>
  <c r="H61" i="35" s="1"/>
  <c r="S82" i="37"/>
  <c r="R83" i="33"/>
  <c r="T83" i="33" s="1"/>
  <c r="R87" i="18"/>
  <c r="T87" i="18" s="1"/>
  <c r="F61" i="33"/>
  <c r="H61" i="33" s="1"/>
  <c r="R52" i="37"/>
  <c r="T52" i="37" s="1"/>
  <c r="F82" i="36"/>
  <c r="G82" i="36" s="1"/>
  <c r="F96" i="36"/>
  <c r="G96" i="36" s="1"/>
  <c r="F72" i="18"/>
  <c r="G72" i="18" s="1"/>
  <c r="F87" i="31"/>
  <c r="G87" i="31" s="1"/>
  <c r="F96" i="37"/>
  <c r="H96" i="37" s="1"/>
  <c r="F64" i="37"/>
  <c r="H64" i="37" s="1"/>
  <c r="S69" i="36"/>
  <c r="F68" i="18"/>
  <c r="H68" i="18" s="1"/>
  <c r="F72" i="31"/>
  <c r="H72" i="31" s="1"/>
  <c r="F52" i="34"/>
  <c r="G52" i="34" s="1"/>
  <c r="R42" i="31"/>
  <c r="T42" i="31" s="1"/>
  <c r="F48" i="35"/>
  <c r="H48" i="35" s="1"/>
  <c r="R94" i="33"/>
  <c r="S94" i="33" s="1"/>
  <c r="R51" i="33"/>
  <c r="S51" i="33" s="1"/>
  <c r="R63" i="33"/>
  <c r="S63" i="33" s="1"/>
  <c r="R55" i="31"/>
  <c r="S55" i="31" s="1"/>
  <c r="R63" i="31"/>
  <c r="T63" i="31" s="1"/>
  <c r="T62" i="18"/>
  <c r="R77" i="18"/>
  <c r="T77" i="18" s="1"/>
  <c r="F44" i="35"/>
  <c r="H44" i="35" s="1"/>
  <c r="R48" i="18"/>
  <c r="T48" i="18" s="1"/>
  <c r="R42" i="18"/>
  <c r="T42" i="18" s="1"/>
  <c r="F39" i="32"/>
  <c r="R40" i="37"/>
  <c r="T40" i="37" s="1"/>
  <c r="B22" i="34"/>
  <c r="O22" i="34"/>
  <c r="O22" i="18"/>
  <c r="B22" i="32"/>
  <c r="B22" i="33"/>
  <c r="B22" i="40"/>
  <c r="B22" i="31"/>
  <c r="B22" i="35"/>
  <c r="B22" i="18"/>
  <c r="O22" i="35"/>
  <c r="O22" i="37"/>
  <c r="O22" i="33"/>
  <c r="O22" i="31"/>
  <c r="B22" i="37"/>
  <c r="O22" i="32"/>
  <c r="B18" i="7"/>
  <c r="B22" i="36"/>
  <c r="O22" i="40"/>
  <c r="O22" i="36"/>
  <c r="F48" i="32"/>
  <c r="R49" i="33"/>
  <c r="S49" i="33" s="1"/>
  <c r="R47" i="33"/>
  <c r="S47" i="33" s="1"/>
  <c r="F42" i="31"/>
  <c r="H42" i="31" s="1"/>
  <c r="F41" i="32"/>
  <c r="F50" i="34"/>
  <c r="H50" i="34" s="1"/>
  <c r="R44" i="33"/>
  <c r="S44" i="33" s="1"/>
  <c r="R45" i="31"/>
  <c r="T45" i="31" s="1"/>
  <c r="S64" i="33"/>
  <c r="R91" i="18"/>
  <c r="T91" i="18" s="1"/>
  <c r="R41" i="33"/>
  <c r="S41" i="33" s="1"/>
  <c r="F89" i="32"/>
  <c r="F82" i="37"/>
  <c r="G82" i="37" s="1"/>
  <c r="F73" i="34"/>
  <c r="H73" i="34" s="1"/>
  <c r="R85" i="37"/>
  <c r="S85" i="37" s="1"/>
  <c r="R45" i="18"/>
  <c r="T45" i="18" s="1"/>
  <c r="F89" i="34"/>
  <c r="G89" i="34" s="1"/>
  <c r="R84" i="18"/>
  <c r="T84" i="18" s="1"/>
  <c r="F61" i="34"/>
  <c r="G61" i="34" s="1"/>
  <c r="F44" i="32"/>
  <c r="R42" i="33"/>
  <c r="T42" i="33" s="1"/>
  <c r="R44" i="31"/>
  <c r="T44" i="31" s="1"/>
  <c r="R44" i="37"/>
  <c r="T44" i="37" s="1"/>
  <c r="F43" i="32"/>
  <c r="F68" i="37"/>
  <c r="H68" i="37" s="1"/>
  <c r="G68" i="34"/>
  <c r="H68" i="34"/>
  <c r="E75" i="38"/>
  <c r="F53" i="31"/>
  <c r="H53" i="31" s="1"/>
  <c r="F86" i="36"/>
  <c r="G86" i="36" s="1"/>
  <c r="F90" i="36"/>
  <c r="G90" i="36" s="1"/>
  <c r="F48" i="34"/>
  <c r="G48" i="34" s="1"/>
  <c r="F80" i="31"/>
  <c r="H80" i="31" s="1"/>
  <c r="R47" i="37"/>
  <c r="S47" i="37" s="1"/>
  <c r="R71" i="37"/>
  <c r="T71" i="37" s="1"/>
  <c r="H76" i="18"/>
  <c r="T86" i="31"/>
  <c r="R90" i="31"/>
  <c r="T90" i="31" s="1"/>
  <c r="T94" i="36"/>
  <c r="S88" i="18"/>
  <c r="S69" i="18"/>
  <c r="T40" i="18"/>
  <c r="S83" i="18"/>
  <c r="S46" i="36"/>
  <c r="S87" i="36"/>
  <c r="S54" i="36"/>
  <c r="S84" i="36"/>
  <c r="T99" i="35"/>
  <c r="G88" i="31"/>
  <c r="T64" i="35"/>
  <c r="F84" i="34"/>
  <c r="H84" i="34" s="1"/>
  <c r="R57" i="33"/>
  <c r="T57" i="33" s="1"/>
  <c r="S44" i="18"/>
  <c r="T97" i="36"/>
  <c r="R93" i="37"/>
  <c r="S93" i="37" s="1"/>
  <c r="T54" i="31"/>
  <c r="T74" i="31"/>
  <c r="S78" i="31"/>
  <c r="S88" i="31"/>
  <c r="S62" i="18"/>
  <c r="T96" i="31"/>
  <c r="R61" i="37"/>
  <c r="S80" i="36"/>
  <c r="D51" i="38"/>
  <c r="S41" i="36"/>
  <c r="H36" i="36"/>
  <c r="R81" i="37"/>
  <c r="T81" i="37" s="1"/>
  <c r="F57" i="35"/>
  <c r="H57" i="35" s="1"/>
  <c r="S39" i="36"/>
  <c r="T97" i="18"/>
  <c r="T85" i="36"/>
  <c r="T45" i="36"/>
  <c r="T41" i="36"/>
  <c r="R55" i="18"/>
  <c r="S55" i="18" s="1"/>
  <c r="F96" i="33"/>
  <c r="H96" i="33" s="1"/>
  <c r="T90" i="18"/>
  <c r="T82" i="18"/>
  <c r="R88" i="37"/>
  <c r="T88" i="37" s="1"/>
  <c r="T80" i="31"/>
  <c r="F98" i="34"/>
  <c r="H98" i="34" s="1"/>
  <c r="R76" i="32"/>
  <c r="S52" i="31"/>
  <c r="S68" i="18"/>
  <c r="F49" i="34"/>
  <c r="H49" i="34" s="1"/>
  <c r="F48" i="31"/>
  <c r="H48" i="31" s="1"/>
  <c r="F73" i="32"/>
  <c r="R91" i="37"/>
  <c r="S91" i="37" s="1"/>
  <c r="F71" i="32"/>
  <c r="R83" i="37"/>
  <c r="R68" i="31"/>
  <c r="S68" i="31" s="1"/>
  <c r="R61" i="18"/>
  <c r="T61" i="18" s="1"/>
  <c r="R81" i="31"/>
  <c r="S81" i="31" s="1"/>
  <c r="R79" i="31"/>
  <c r="S79" i="31" s="1"/>
  <c r="F57" i="32"/>
  <c r="R46" i="31"/>
  <c r="S46" i="31" s="1"/>
  <c r="R65" i="37"/>
  <c r="T65" i="37" s="1"/>
  <c r="F58" i="18"/>
  <c r="G58" i="18" s="1"/>
  <c r="R81" i="32"/>
  <c r="R55" i="37"/>
  <c r="T55" i="37" s="1"/>
  <c r="F56" i="32"/>
  <c r="G83" i="37"/>
  <c r="F22" i="36"/>
  <c r="H22" i="36" s="1"/>
  <c r="T76" i="37"/>
  <c r="F69" i="34"/>
  <c r="H69" i="34" s="1"/>
  <c r="F69" i="18"/>
  <c r="G69" i="18" s="1"/>
  <c r="D46" i="38"/>
  <c r="F66" i="35"/>
  <c r="H66" i="35" s="1"/>
  <c r="F64" i="35"/>
  <c r="H64" i="35" s="1"/>
  <c r="T88" i="33"/>
  <c r="D33" i="38"/>
  <c r="D65" i="38"/>
  <c r="F61" i="18"/>
  <c r="H61" i="18" s="1"/>
  <c r="T84" i="33"/>
  <c r="S84" i="33"/>
  <c r="T40" i="33"/>
  <c r="F92" i="32"/>
  <c r="F83" i="34"/>
  <c r="G83" i="34" s="1"/>
  <c r="S80" i="31"/>
  <c r="G76" i="37"/>
  <c r="E62" i="38"/>
  <c r="F43" i="34"/>
  <c r="H43" i="34" s="1"/>
  <c r="R99" i="18"/>
  <c r="S99" i="18" s="1"/>
  <c r="T54" i="36"/>
  <c r="F24" i="36"/>
  <c r="G24" i="36" s="1"/>
  <c r="F67" i="31"/>
  <c r="G67" i="31" s="1"/>
  <c r="D69" i="38"/>
  <c r="R58" i="18"/>
  <c r="T58" i="18" s="1"/>
  <c r="F50" i="31"/>
  <c r="G50" i="31" s="1"/>
  <c r="F94" i="32"/>
  <c r="F58" i="37"/>
  <c r="H58" i="37" s="1"/>
  <c r="T77" i="33"/>
  <c r="T53" i="33"/>
  <c r="E54" i="38"/>
  <c r="E87" i="38"/>
  <c r="T78" i="37"/>
  <c r="F61" i="31"/>
  <c r="G61" i="31" s="1"/>
  <c r="F78" i="36"/>
  <c r="H78" i="36" s="1"/>
  <c r="F72" i="36"/>
  <c r="G72" i="36" s="1"/>
  <c r="F41" i="35"/>
  <c r="H41" i="35" s="1"/>
  <c r="F74" i="33"/>
  <c r="H74" i="33" s="1"/>
  <c r="F56" i="35"/>
  <c r="H56" i="35" s="1"/>
  <c r="D61" i="38"/>
  <c r="F68" i="40"/>
  <c r="F61" i="37"/>
  <c r="T84" i="36"/>
  <c r="E45" i="38"/>
  <c r="E35" i="38"/>
  <c r="E51" i="38"/>
  <c r="S88" i="35"/>
  <c r="F88" i="36"/>
  <c r="G88" i="36" s="1"/>
  <c r="F20" i="36"/>
  <c r="G20" i="36" s="1"/>
  <c r="F53" i="18"/>
  <c r="H53" i="18" s="1"/>
  <c r="R74" i="37"/>
  <c r="T74" i="37" s="1"/>
  <c r="F80" i="35"/>
  <c r="G80" i="35" s="1"/>
  <c r="F98" i="18"/>
  <c r="G98" i="18" s="1"/>
  <c r="R60" i="33"/>
  <c r="T60" i="33" s="1"/>
  <c r="F74" i="34"/>
  <c r="F80" i="34"/>
  <c r="H80" i="34" s="1"/>
  <c r="T84" i="37"/>
  <c r="S84" i="37"/>
  <c r="F92" i="40"/>
  <c r="D85" i="38"/>
  <c r="F83" i="35"/>
  <c r="S96" i="31"/>
  <c r="E92" i="38"/>
  <c r="T95" i="35"/>
  <c r="S53" i="31"/>
  <c r="H68" i="35"/>
  <c r="F59" i="36"/>
  <c r="H59" i="36" s="1"/>
  <c r="F83" i="33"/>
  <c r="G83" i="33" s="1"/>
  <c r="F87" i="33"/>
  <c r="G87" i="33" s="1"/>
  <c r="F58" i="32"/>
  <c r="F78" i="37"/>
  <c r="G78" i="37" s="1"/>
  <c r="F56" i="37"/>
  <c r="H56" i="37" s="1"/>
  <c r="F62" i="37"/>
  <c r="G62" i="37" s="1"/>
  <c r="F80" i="18"/>
  <c r="G80" i="18" s="1"/>
  <c r="F76" i="33"/>
  <c r="F52" i="36"/>
  <c r="G52" i="36" s="1"/>
  <c r="F53" i="37"/>
  <c r="G53" i="37" s="1"/>
  <c r="F22" i="40"/>
  <c r="S82" i="33"/>
  <c r="H92" i="34"/>
  <c r="F40" i="33"/>
  <c r="H40" i="33" s="1"/>
  <c r="S92" i="33"/>
  <c r="T92" i="33"/>
  <c r="F52" i="35"/>
  <c r="H52" i="35" s="1"/>
  <c r="F66" i="31"/>
  <c r="G66" i="31" s="1"/>
  <c r="S52" i="33"/>
  <c r="S74" i="31"/>
  <c r="T72" i="33"/>
  <c r="F97" i="31"/>
  <c r="H97" i="31" s="1"/>
  <c r="F19" i="36"/>
  <c r="G19" i="36" s="1"/>
  <c r="I19" i="36" s="1"/>
  <c r="F84" i="18"/>
  <c r="G84" i="18" s="1"/>
  <c r="F74" i="36"/>
  <c r="H74" i="36" s="1"/>
  <c r="S54" i="37"/>
  <c r="T93" i="33"/>
  <c r="S93" i="33"/>
  <c r="F64" i="40"/>
  <c r="D57" i="38"/>
  <c r="R68" i="33"/>
  <c r="S68" i="33" s="1"/>
  <c r="F76" i="34"/>
  <c r="H76" i="34" s="1"/>
  <c r="R66" i="33"/>
  <c r="F99" i="34"/>
  <c r="G99" i="34" s="1"/>
  <c r="R98" i="37"/>
  <c r="T98" i="37" s="1"/>
  <c r="H91" i="31"/>
  <c r="R70" i="18"/>
  <c r="T70" i="18" s="1"/>
  <c r="R50" i="18"/>
  <c r="T50" i="18" s="1"/>
  <c r="R60" i="18"/>
  <c r="S60" i="18" s="1"/>
  <c r="F76" i="32"/>
  <c r="T50" i="33"/>
  <c r="F60" i="36"/>
  <c r="G60" i="36" s="1"/>
  <c r="F64" i="18"/>
  <c r="H64" i="18" s="1"/>
  <c r="F69" i="31"/>
  <c r="G69" i="31" s="1"/>
  <c r="R66" i="18"/>
  <c r="T66" i="18" s="1"/>
  <c r="R72" i="37"/>
  <c r="T72" i="37" s="1"/>
  <c r="F64" i="31"/>
  <c r="G53" i="34"/>
  <c r="F44" i="36"/>
  <c r="G44" i="36" s="1"/>
  <c r="F44" i="18"/>
  <c r="H44" i="18" s="1"/>
  <c r="F39" i="40"/>
  <c r="D32" i="38"/>
  <c r="F39" i="36"/>
  <c r="H39" i="36" s="1"/>
  <c r="F39" i="37"/>
  <c r="H39" i="37" s="1"/>
  <c r="F90" i="40"/>
  <c r="D83" i="38"/>
  <c r="F98" i="31"/>
  <c r="H98" i="31" s="1"/>
  <c r="F98" i="40"/>
  <c r="F80" i="33"/>
  <c r="H80" i="33" s="1"/>
  <c r="E33" i="38"/>
  <c r="F40" i="34"/>
  <c r="G40" i="34" s="1"/>
  <c r="F62" i="40"/>
  <c r="F50" i="37"/>
  <c r="H50" i="37" s="1"/>
  <c r="H53" i="35"/>
  <c r="G53" i="35"/>
  <c r="S90" i="33"/>
  <c r="E57" i="38"/>
  <c r="R66" i="31"/>
  <c r="T66" i="31" s="1"/>
  <c r="F94" i="36"/>
  <c r="G94" i="36" s="1"/>
  <c r="F79" i="36"/>
  <c r="H79" i="36" s="1"/>
  <c r="F93" i="31"/>
  <c r="G93" i="31" s="1"/>
  <c r="F48" i="40"/>
  <c r="F44" i="40"/>
  <c r="F26" i="36"/>
  <c r="G26" i="36" s="1"/>
  <c r="T62" i="31"/>
  <c r="S62" i="31"/>
  <c r="T83" i="18"/>
  <c r="S58" i="33"/>
  <c r="S90" i="18"/>
  <c r="F50" i="36"/>
  <c r="H50" i="36" s="1"/>
  <c r="F80" i="36"/>
  <c r="G80" i="36" s="1"/>
  <c r="F70" i="37"/>
  <c r="G70" i="37" s="1"/>
  <c r="F78" i="31"/>
  <c r="H78" i="31" s="1"/>
  <c r="H88" i="35"/>
  <c r="G88" i="35"/>
  <c r="R64" i="37"/>
  <c r="S64" i="37" s="1"/>
  <c r="R72" i="31"/>
  <c r="T72" i="31" s="1"/>
  <c r="F72" i="37"/>
  <c r="H72" i="37" s="1"/>
  <c r="R56" i="37"/>
  <c r="R72" i="32"/>
  <c r="F76" i="35"/>
  <c r="G76" i="35" s="1"/>
  <c r="F84" i="32"/>
  <c r="F75" i="32"/>
  <c r="R98" i="33"/>
  <c r="F89" i="37"/>
  <c r="G89" i="37" s="1"/>
  <c r="D62" i="38"/>
  <c r="T39" i="37"/>
  <c r="F68" i="33"/>
  <c r="G68" i="33" s="1"/>
  <c r="R75" i="37"/>
  <c r="T75" i="37" s="1"/>
  <c r="R73" i="31"/>
  <c r="T73" i="31" s="1"/>
  <c r="F99" i="35"/>
  <c r="G99" i="35" s="1"/>
  <c r="R56" i="18"/>
  <c r="T56" i="18" s="1"/>
  <c r="F99" i="33"/>
  <c r="F93" i="37"/>
  <c r="H93" i="37" s="1"/>
  <c r="G72" i="33"/>
  <c r="H72" i="33"/>
  <c r="F40" i="18"/>
  <c r="H40" i="18" s="1"/>
  <c r="T78" i="18"/>
  <c r="S85" i="36"/>
  <c r="F45" i="37"/>
  <c r="G45" i="37" s="1"/>
  <c r="F53" i="36"/>
  <c r="H53" i="36" s="1"/>
  <c r="D42" i="38"/>
  <c r="T53" i="37"/>
  <c r="F90" i="31"/>
  <c r="H90" i="31" s="1"/>
  <c r="R99" i="37"/>
  <c r="T99" i="37" s="1"/>
  <c r="F92" i="37"/>
  <c r="G92" i="37" s="1"/>
  <c r="F64" i="32"/>
  <c r="R69" i="33"/>
  <c r="F69" i="32"/>
  <c r="F58" i="35"/>
  <c r="G58" i="35" s="1"/>
  <c r="T80" i="35"/>
  <c r="S61" i="33"/>
  <c r="T48" i="35"/>
  <c r="E59" i="38"/>
  <c r="F94" i="37"/>
  <c r="G94" i="37" s="1"/>
  <c r="F77" i="31"/>
  <c r="H77" i="31" s="1"/>
  <c r="F31" i="36"/>
  <c r="H31" i="36" s="1"/>
  <c r="F51" i="36"/>
  <c r="G51" i="36" s="1"/>
  <c r="F62" i="18"/>
  <c r="H62" i="18" s="1"/>
  <c r="D41" i="38"/>
  <c r="F83" i="18"/>
  <c r="H83" i="18" s="1"/>
  <c r="F60" i="18"/>
  <c r="H60" i="18" s="1"/>
  <c r="R40" i="31"/>
  <c r="T40" i="31" s="1"/>
  <c r="F80" i="37"/>
  <c r="H80" i="37" s="1"/>
  <c r="R72" i="18"/>
  <c r="T72" i="18" s="1"/>
  <c r="F90" i="18"/>
  <c r="H90" i="18" s="1"/>
  <c r="R92" i="37"/>
  <c r="S92" i="37" s="1"/>
  <c r="R69" i="37"/>
  <c r="S69" i="37" s="1"/>
  <c r="F92" i="31"/>
  <c r="H92" i="31" s="1"/>
  <c r="F47" i="37"/>
  <c r="G47" i="37" s="1"/>
  <c r="R99" i="33"/>
  <c r="S99" i="33" s="1"/>
  <c r="F83" i="36"/>
  <c r="H83" i="36" s="1"/>
  <c r="F34" i="36"/>
  <c r="H34" i="36" s="1"/>
  <c r="F27" i="36"/>
  <c r="G27" i="36" s="1"/>
  <c r="F62" i="36"/>
  <c r="H62" i="36" s="1"/>
  <c r="F63" i="18"/>
  <c r="G63" i="18" s="1"/>
  <c r="F86" i="18"/>
  <c r="H86" i="18" s="1"/>
  <c r="R50" i="31"/>
  <c r="S50" i="31" s="1"/>
  <c r="F78" i="18"/>
  <c r="H78" i="18" s="1"/>
  <c r="G62" i="34"/>
  <c r="R64" i="18"/>
  <c r="S64" i="18" s="1"/>
  <c r="F69" i="35"/>
  <c r="H69" i="35" s="1"/>
  <c r="F69" i="37"/>
  <c r="H69" i="37" s="1"/>
  <c r="F98" i="33"/>
  <c r="G98" i="33" s="1"/>
  <c r="R66" i="37"/>
  <c r="T66" i="37" s="1"/>
  <c r="F98" i="37"/>
  <c r="H98" i="37" s="1"/>
  <c r="F66" i="32"/>
  <c r="R98" i="18"/>
  <c r="T98" i="18" s="1"/>
  <c r="F72" i="32"/>
  <c r="F92" i="36"/>
  <c r="F53" i="33"/>
  <c r="R46" i="37"/>
  <c r="S46" i="37" s="1"/>
  <c r="R39" i="33"/>
  <c r="T39" i="33" s="1"/>
  <c r="F85" i="18"/>
  <c r="H85" i="18" s="1"/>
  <c r="F87" i="32"/>
  <c r="R43" i="37"/>
  <c r="R43" i="31"/>
  <c r="T43" i="31" s="1"/>
  <c r="R89" i="31"/>
  <c r="S89" i="31" s="1"/>
  <c r="R93" i="18"/>
  <c r="S93" i="18" s="1"/>
  <c r="T80" i="33"/>
  <c r="R67" i="31"/>
  <c r="T67" i="31" s="1"/>
  <c r="F91" i="35"/>
  <c r="H91" i="35" s="1"/>
  <c r="F65" i="31"/>
  <c r="G65" i="31" s="1"/>
  <c r="S40" i="18"/>
  <c r="T89" i="33"/>
  <c r="G82" i="35"/>
  <c r="T97" i="31"/>
  <c r="S62" i="33"/>
  <c r="S94" i="31"/>
  <c r="S45" i="37"/>
  <c r="S51" i="37"/>
  <c r="F81" i="32"/>
  <c r="F71" i="34"/>
  <c r="H71" i="34" s="1"/>
  <c r="H82" i="31"/>
  <c r="G52" i="37"/>
  <c r="H50" i="18"/>
  <c r="G50" i="18"/>
  <c r="T88" i="31"/>
  <c r="S86" i="33"/>
  <c r="T69" i="18"/>
  <c r="S54" i="31"/>
  <c r="S53" i="35"/>
  <c r="H51" i="31"/>
  <c r="F45" i="18"/>
  <c r="G45" i="18" s="1"/>
  <c r="F98" i="36"/>
  <c r="H98" i="36" s="1"/>
  <c r="F84" i="36"/>
  <c r="H84" i="36" s="1"/>
  <c r="D82" i="38"/>
  <c r="F65" i="18"/>
  <c r="G65" i="18" s="1"/>
  <c r="F97" i="37"/>
  <c r="G97" i="37" s="1"/>
  <c r="F60" i="37"/>
  <c r="H60" i="37" s="1"/>
  <c r="F54" i="33"/>
  <c r="H54" i="33" s="1"/>
  <c r="F50" i="40"/>
  <c r="D43" i="38"/>
  <c r="F80" i="40"/>
  <c r="D73" i="38"/>
  <c r="F64" i="33"/>
  <c r="S78" i="33"/>
  <c r="E73" i="38"/>
  <c r="H62" i="35"/>
  <c r="F48" i="36"/>
  <c r="H48" i="36" s="1"/>
  <c r="F45" i="36"/>
  <c r="G45" i="36" s="1"/>
  <c r="F94" i="18"/>
  <c r="G94" i="18" s="1"/>
  <c r="F50" i="35"/>
  <c r="G50" i="35" s="1"/>
  <c r="F92" i="18"/>
  <c r="H92" i="18" s="1"/>
  <c r="R98" i="31"/>
  <c r="T98" i="31" s="1"/>
  <c r="F72" i="35"/>
  <c r="H72" i="35" s="1"/>
  <c r="F62" i="33"/>
  <c r="E49" i="38"/>
  <c r="T71" i="35"/>
  <c r="E44" i="38"/>
  <c r="S97" i="36"/>
  <c r="F56" i="36"/>
  <c r="H56" i="36" s="1"/>
  <c r="F84" i="37"/>
  <c r="H84" i="37" s="1"/>
  <c r="F51" i="37"/>
  <c r="H51" i="37" s="1"/>
  <c r="F63" i="37"/>
  <c r="G63" i="37" s="1"/>
  <c r="F67" i="18"/>
  <c r="G67" i="18" s="1"/>
  <c r="F84" i="33"/>
  <c r="G84" i="33" s="1"/>
  <c r="R80" i="37"/>
  <c r="T80" i="37" s="1"/>
  <c r="R99" i="31"/>
  <c r="T99" i="31" s="1"/>
  <c r="F40" i="37"/>
  <c r="H40" i="37" s="1"/>
  <c r="G56" i="34"/>
  <c r="F98" i="35"/>
  <c r="H98" i="35" s="1"/>
  <c r="F90" i="33"/>
  <c r="F58" i="33"/>
  <c r="S70" i="37"/>
  <c r="T70" i="37"/>
  <c r="F99" i="31"/>
  <c r="H99" i="31" s="1"/>
  <c r="F59" i="31"/>
  <c r="F81" i="34"/>
  <c r="G81" i="34" s="1"/>
  <c r="F63" i="33"/>
  <c r="G63" i="33" s="1"/>
  <c r="F73" i="40"/>
  <c r="F85" i="31"/>
  <c r="G85" i="31" s="1"/>
  <c r="D78" i="38"/>
  <c r="F94" i="35"/>
  <c r="F52" i="31"/>
  <c r="G52" i="31" s="1"/>
  <c r="F84" i="35"/>
  <c r="F66" i="36"/>
  <c r="F40" i="36"/>
  <c r="H40" i="36" s="1"/>
  <c r="T50" i="37"/>
  <c r="F55" i="18"/>
  <c r="H55" i="18" s="1"/>
  <c r="F77" i="18"/>
  <c r="G77" i="18" s="1"/>
  <c r="F93" i="18"/>
  <c r="G93" i="18" s="1"/>
  <c r="F87" i="34"/>
  <c r="G87" i="34" s="1"/>
  <c r="E80" i="38"/>
  <c r="F47" i="40"/>
  <c r="F47" i="34"/>
  <c r="G47" i="34" s="1"/>
  <c r="F41" i="34"/>
  <c r="G41" i="34" s="1"/>
  <c r="F95" i="34"/>
  <c r="G95" i="34" s="1"/>
  <c r="E88" i="38"/>
  <c r="F95" i="36"/>
  <c r="G95" i="36" s="1"/>
  <c r="F70" i="31"/>
  <c r="G70" i="31" s="1"/>
  <c r="S92" i="35"/>
  <c r="T92" i="35"/>
  <c r="F66" i="33"/>
  <c r="G96" i="34"/>
  <c r="H96" i="34"/>
  <c r="F66" i="37"/>
  <c r="H66" i="37" s="1"/>
  <c r="T69" i="35"/>
  <c r="F40" i="31"/>
  <c r="H40" i="31" s="1"/>
  <c r="F74" i="18"/>
  <c r="G74" i="18" s="1"/>
  <c r="F60" i="32"/>
  <c r="F19" i="40"/>
  <c r="F44" i="37"/>
  <c r="H44" i="37" s="1"/>
  <c r="F39" i="31"/>
  <c r="H39" i="31" s="1"/>
  <c r="F25" i="36"/>
  <c r="G25" i="36" s="1"/>
  <c r="F46" i="36"/>
  <c r="H46" i="36" s="1"/>
  <c r="F38" i="36"/>
  <c r="H38" i="36" s="1"/>
  <c r="F54" i="36"/>
  <c r="F67" i="37"/>
  <c r="F45" i="31"/>
  <c r="G45" i="31" s="1"/>
  <c r="F74" i="37"/>
  <c r="G74" i="37" s="1"/>
  <c r="F65" i="34"/>
  <c r="H65" i="34" s="1"/>
  <c r="R70" i="33"/>
  <c r="S70" i="33" s="1"/>
  <c r="R62" i="37"/>
  <c r="T62" i="37" s="1"/>
  <c r="R74" i="18"/>
  <c r="T74" i="18" s="1"/>
  <c r="H70" i="34"/>
  <c r="F60" i="35"/>
  <c r="H60" i="35" s="1"/>
  <c r="F99" i="32"/>
  <c r="F78" i="32"/>
  <c r="F84" i="40"/>
  <c r="D77" i="38"/>
  <c r="D56" i="38"/>
  <c r="F73" i="31"/>
  <c r="H73" i="31" s="1"/>
  <c r="R87" i="33"/>
  <c r="F41" i="37"/>
  <c r="H41" i="37" s="1"/>
  <c r="R92" i="18"/>
  <c r="T92" i="18" s="1"/>
  <c r="F56" i="33"/>
  <c r="F74" i="35"/>
  <c r="R56" i="31"/>
  <c r="F69" i="33"/>
  <c r="R60" i="31"/>
  <c r="S60" i="31" s="1"/>
  <c r="F78" i="34"/>
  <c r="G78" i="34" s="1"/>
  <c r="R60" i="37"/>
  <c r="F66" i="34"/>
  <c r="G66" i="34" s="1"/>
  <c r="T68" i="35"/>
  <c r="S68" i="35"/>
  <c r="S90" i="37"/>
  <c r="T90" i="37"/>
  <c r="H94" i="31"/>
  <c r="F85" i="36"/>
  <c r="H85" i="36" s="1"/>
  <c r="T86" i="37"/>
  <c r="S86" i="37"/>
  <c r="F86" i="37"/>
  <c r="G86" i="37" s="1"/>
  <c r="S94" i="37"/>
  <c r="T94" i="37"/>
  <c r="D81" i="38"/>
  <c r="F88" i="40"/>
  <c r="G88" i="34"/>
  <c r="H88" i="34"/>
  <c r="G99" i="37"/>
  <c r="S63" i="35"/>
  <c r="F79" i="37"/>
  <c r="H79" i="37" s="1"/>
  <c r="F75" i="40"/>
  <c r="F57" i="36"/>
  <c r="H57" i="36" s="1"/>
  <c r="F73" i="18"/>
  <c r="H73" i="18" s="1"/>
  <c r="F54" i="18"/>
  <c r="G54" i="18" s="1"/>
  <c r="F86" i="35"/>
  <c r="F57" i="31"/>
  <c r="F90" i="37"/>
  <c r="F39" i="18"/>
  <c r="G39" i="18" s="1"/>
  <c r="F59" i="35"/>
  <c r="G59" i="35" s="1"/>
  <c r="F79" i="18"/>
  <c r="G79" i="18" s="1"/>
  <c r="F87" i="40"/>
  <c r="D80" i="38"/>
  <c r="F91" i="18"/>
  <c r="G91" i="18" s="1"/>
  <c r="F43" i="36"/>
  <c r="H43" i="36" s="1"/>
  <c r="F71" i="36"/>
  <c r="G71" i="36" s="1"/>
  <c r="F28" i="40"/>
  <c r="F54" i="40"/>
  <c r="D47" i="38"/>
  <c r="F60" i="33"/>
  <c r="F78" i="40"/>
  <c r="F88" i="37"/>
  <c r="H88" i="37" s="1"/>
  <c r="R75" i="31"/>
  <c r="T75" i="31" s="1"/>
  <c r="F91" i="40"/>
  <c r="F65" i="36"/>
  <c r="G65" i="36" s="1"/>
  <c r="F47" i="36"/>
  <c r="G47" i="36" s="1"/>
  <c r="F45" i="35"/>
  <c r="H45" i="35" s="1"/>
  <c r="F43" i="33"/>
  <c r="F95" i="40"/>
  <c r="D88" i="38"/>
  <c r="F37" i="40"/>
  <c r="F55" i="31"/>
  <c r="G55" i="31" s="1"/>
  <c r="F71" i="40"/>
  <c r="D64" i="38"/>
  <c r="F77" i="35"/>
  <c r="G77" i="35" s="1"/>
  <c r="F77" i="36"/>
  <c r="G77" i="36" s="1"/>
  <c r="F88" i="18"/>
  <c r="F94" i="34"/>
  <c r="F70" i="36"/>
  <c r="H70" i="36" s="1"/>
  <c r="F74" i="40"/>
  <c r="D67" i="38"/>
  <c r="F60" i="31"/>
  <c r="H60" i="31" s="1"/>
  <c r="F78" i="35"/>
  <c r="F56" i="40"/>
  <c r="F70" i="18"/>
  <c r="H70" i="18" s="1"/>
  <c r="F75" i="34"/>
  <c r="H75" i="34" s="1"/>
  <c r="R87" i="37"/>
  <c r="T87" i="37" s="1"/>
  <c r="R85" i="31"/>
  <c r="S85" i="31" s="1"/>
  <c r="R85" i="18"/>
  <c r="T85" i="18" s="1"/>
  <c r="F40" i="35"/>
  <c r="H40" i="35" s="1"/>
  <c r="F92" i="35"/>
  <c r="G92" i="35" s="1"/>
  <c r="R74" i="33"/>
  <c r="T74" i="33" s="1"/>
  <c r="F60" i="34"/>
  <c r="G60" i="34" s="1"/>
  <c r="F43" i="37"/>
  <c r="G43" i="37" s="1"/>
  <c r="F89" i="18"/>
  <c r="H89" i="18" s="1"/>
  <c r="F70" i="35"/>
  <c r="F74" i="31"/>
  <c r="F88" i="33"/>
  <c r="R94" i="18"/>
  <c r="S94" i="18" s="1"/>
  <c r="F87" i="37"/>
  <c r="G87" i="37" s="1"/>
  <c r="F77" i="34"/>
  <c r="G77" i="34" s="1"/>
  <c r="R56" i="33"/>
  <c r="R93" i="31"/>
  <c r="S93" i="31" s="1"/>
  <c r="R92" i="31"/>
  <c r="T92" i="31" s="1"/>
  <c r="F49" i="37"/>
  <c r="H49" i="37" s="1"/>
  <c r="F56" i="18"/>
  <c r="G56" i="18" s="1"/>
  <c r="R47" i="32"/>
  <c r="F46" i="18"/>
  <c r="G46" i="18" s="1"/>
  <c r="F78" i="33"/>
  <c r="F92" i="33"/>
  <c r="F94" i="33"/>
  <c r="T90" i="34"/>
  <c r="S90" i="34"/>
  <c r="S54" i="33"/>
  <c r="T54" i="33"/>
  <c r="F59" i="37"/>
  <c r="F67" i="40"/>
  <c r="D60" i="38"/>
  <c r="T79" i="33"/>
  <c r="S79" i="33"/>
  <c r="F75" i="36"/>
  <c r="G75" i="36" s="1"/>
  <c r="F57" i="40"/>
  <c r="F42" i="36"/>
  <c r="G42" i="36" s="1"/>
  <c r="H42" i="35"/>
  <c r="G42" i="35"/>
  <c r="F21" i="40"/>
  <c r="F87" i="18"/>
  <c r="G87" i="18" s="1"/>
  <c r="F47" i="18"/>
  <c r="H47" i="18" s="1"/>
  <c r="F45" i="40"/>
  <c r="F43" i="35"/>
  <c r="F41" i="40"/>
  <c r="F41" i="36"/>
  <c r="H41" i="36" s="1"/>
  <c r="F55" i="33"/>
  <c r="F55" i="34"/>
  <c r="H55" i="34" s="1"/>
  <c r="F55" i="36"/>
  <c r="G55" i="36" s="1"/>
  <c r="F71" i="35"/>
  <c r="H71" i="35" s="1"/>
  <c r="F77" i="40"/>
  <c r="E70" i="38"/>
  <c r="T44" i="18"/>
  <c r="T65" i="33"/>
  <c r="T75" i="35"/>
  <c r="E39" i="38"/>
  <c r="S70" i="35"/>
  <c r="T77" i="37"/>
  <c r="S29" i="36"/>
  <c r="F37" i="36"/>
  <c r="G37" i="36" s="1"/>
  <c r="F49" i="36"/>
  <c r="H49" i="36" s="1"/>
  <c r="S59" i="37"/>
  <c r="T59" i="37"/>
  <c r="F81" i="31"/>
  <c r="F73" i="35"/>
  <c r="F67" i="35"/>
  <c r="G67" i="35" s="1"/>
  <c r="F79" i="40"/>
  <c r="D72" i="38"/>
  <c r="T57" i="37"/>
  <c r="S57" i="37"/>
  <c r="F48" i="18"/>
  <c r="G48" i="18" s="1"/>
  <c r="F44" i="34"/>
  <c r="H44" i="34" s="1"/>
  <c r="F42" i="18"/>
  <c r="H42" i="18" s="1"/>
  <c r="F39" i="35"/>
  <c r="H39" i="35" s="1"/>
  <c r="F23" i="40"/>
  <c r="F95" i="18"/>
  <c r="H95" i="18" s="1"/>
  <c r="F97" i="40"/>
  <c r="D90" i="38"/>
  <c r="F97" i="35"/>
  <c r="G97" i="35" s="1"/>
  <c r="F97" i="36"/>
  <c r="G97" i="36" s="1"/>
  <c r="F29" i="40"/>
  <c r="F63" i="36"/>
  <c r="G63" i="36" s="1"/>
  <c r="F73" i="36"/>
  <c r="H73" i="36" s="1"/>
  <c r="F33" i="36"/>
  <c r="H33" i="36" s="1"/>
  <c r="R87" i="31"/>
  <c r="S87" i="31" s="1"/>
  <c r="F63" i="31"/>
  <c r="H63" i="31" s="1"/>
  <c r="F91" i="37"/>
  <c r="H91" i="37" s="1"/>
  <c r="F91" i="36"/>
  <c r="G91" i="36" s="1"/>
  <c r="F65" i="40"/>
  <c r="D58" i="38"/>
  <c r="E58" i="38"/>
  <c r="F43" i="40"/>
  <c r="D36" i="38"/>
  <c r="F79" i="31"/>
  <c r="H79" i="31" s="1"/>
  <c r="F55" i="37"/>
  <c r="H55" i="37" s="1"/>
  <c r="F89" i="36"/>
  <c r="G89" i="36" s="1"/>
  <c r="F77" i="37"/>
  <c r="F93" i="40"/>
  <c r="F93" i="35"/>
  <c r="H93" i="35" s="1"/>
  <c r="F93" i="36"/>
  <c r="H93" i="36" s="1"/>
  <c r="R91" i="31"/>
  <c r="T91" i="31" s="1"/>
  <c r="R49" i="31"/>
  <c r="S49" i="31" s="1"/>
  <c r="R95" i="31"/>
  <c r="T95" i="31" s="1"/>
  <c r="F54" i="37"/>
  <c r="H86" i="34"/>
  <c r="G86" i="34"/>
  <c r="F86" i="33"/>
  <c r="T55" i="33"/>
  <c r="T45" i="35"/>
  <c r="G90" i="34"/>
  <c r="T39" i="36"/>
  <c r="S46" i="35"/>
  <c r="E36" i="38"/>
  <c r="F23" i="36"/>
  <c r="G23" i="36" s="1"/>
  <c r="F29" i="36"/>
  <c r="G29" i="36" s="1"/>
  <c r="F91" i="34"/>
  <c r="G91" i="34" s="1"/>
  <c r="F54" i="32"/>
  <c r="R51" i="31"/>
  <c r="T51" i="31" s="1"/>
  <c r="F47" i="31"/>
  <c r="F71" i="18"/>
  <c r="G71" i="18" s="1"/>
  <c r="F46" i="31"/>
  <c r="G46" i="31" s="1"/>
  <c r="F54" i="35"/>
  <c r="S66" i="35"/>
  <c r="T66" i="35"/>
  <c r="F28" i="36"/>
  <c r="F86" i="31"/>
  <c r="F81" i="37"/>
  <c r="G81" i="37" s="1"/>
  <c r="F81" i="36"/>
  <c r="G81" i="36" s="1"/>
  <c r="F67" i="36"/>
  <c r="G67" i="36" s="1"/>
  <c r="F57" i="37"/>
  <c r="F73" i="37"/>
  <c r="D38" i="38"/>
  <c r="D50" i="38"/>
  <c r="F21" i="36"/>
  <c r="G21" i="36" s="1"/>
  <c r="F85" i="37"/>
  <c r="T81" i="35"/>
  <c r="S81" i="35"/>
  <c r="F46" i="37"/>
  <c r="H46" i="37" s="1"/>
  <c r="F85" i="40"/>
  <c r="F75" i="37"/>
  <c r="G75" i="37" s="1"/>
  <c r="F85" i="35"/>
  <c r="G85" i="35" s="1"/>
  <c r="R63" i="37"/>
  <c r="T63" i="37" s="1"/>
  <c r="R95" i="18"/>
  <c r="S95" i="18" s="1"/>
  <c r="F65" i="32"/>
  <c r="R65" i="18"/>
  <c r="S65" i="18" s="1"/>
  <c r="F90" i="35"/>
  <c r="G90" i="35" s="1"/>
  <c r="F54" i="34"/>
  <c r="G54" i="34" s="1"/>
  <c r="R49" i="18"/>
  <c r="T49" i="18" s="1"/>
  <c r="R47" i="31"/>
  <c r="T47" i="31" s="1"/>
  <c r="R41" i="18"/>
  <c r="S41" i="18" s="1"/>
  <c r="R63" i="18"/>
  <c r="T63" i="18" s="1"/>
  <c r="F57" i="18"/>
  <c r="H57" i="18" s="1"/>
  <c r="R65" i="31"/>
  <c r="S65" i="31" s="1"/>
  <c r="F77" i="32"/>
  <c r="F95" i="37"/>
  <c r="F95" i="31"/>
  <c r="H95" i="31" s="1"/>
  <c r="F43" i="31"/>
  <c r="G43" i="31" s="1"/>
  <c r="F51" i="32"/>
  <c r="F46" i="32"/>
  <c r="F97" i="34"/>
  <c r="G97" i="34" s="1"/>
  <c r="F51" i="34"/>
  <c r="H51" i="34" s="1"/>
  <c r="T54" i="35"/>
  <c r="S93" i="35"/>
  <c r="S83" i="35"/>
  <c r="T58" i="35"/>
  <c r="S87" i="35"/>
  <c r="S44" i="35"/>
  <c r="S47" i="35"/>
  <c r="T62" i="35"/>
  <c r="T59" i="33"/>
  <c r="G70" i="33"/>
  <c r="R95" i="33"/>
  <c r="S95" i="33" s="1"/>
  <c r="R71" i="33"/>
  <c r="G44" i="31"/>
  <c r="G41" i="31"/>
  <c r="F49" i="35"/>
  <c r="F47" i="35"/>
  <c r="G47" i="35" s="1"/>
  <c r="G62" i="31"/>
  <c r="H84" i="31"/>
  <c r="F49" i="31"/>
  <c r="F89" i="31"/>
  <c r="F95" i="35"/>
  <c r="G95" i="35" s="1"/>
  <c r="G76" i="18"/>
  <c r="T48" i="33"/>
  <c r="S48" i="33"/>
  <c r="T45" i="33"/>
  <c r="T73" i="33"/>
  <c r="T79" i="37"/>
  <c r="S79" i="37"/>
  <c r="R46" i="18"/>
  <c r="T46" i="18" s="1"/>
  <c r="T81" i="33"/>
  <c r="S70" i="34"/>
  <c r="T67" i="35"/>
  <c r="T97" i="37"/>
  <c r="S41" i="37"/>
  <c r="G56" i="31"/>
  <c r="H56" i="31"/>
  <c r="T43" i="33"/>
  <c r="T67" i="37"/>
  <c r="R75" i="18"/>
  <c r="S75" i="18" s="1"/>
  <c r="S41" i="35"/>
  <c r="T78" i="35"/>
  <c r="S73" i="37"/>
  <c r="R91" i="33"/>
  <c r="F71" i="31"/>
  <c r="F81" i="35"/>
  <c r="H81" i="35" s="1"/>
  <c r="F46" i="34"/>
  <c r="H46" i="34" s="1"/>
  <c r="R49" i="37"/>
  <c r="R43" i="18"/>
  <c r="S43" i="18" s="1"/>
  <c r="R95" i="37"/>
  <c r="F89" i="35"/>
  <c r="S61" i="35"/>
  <c r="S77" i="35"/>
  <c r="F46" i="35"/>
  <c r="R42" i="37"/>
  <c r="R39" i="18"/>
  <c r="F51" i="35"/>
  <c r="H51" i="35" s="1"/>
  <c r="R47" i="18"/>
  <c r="R71" i="18"/>
  <c r="S71" i="18" s="1"/>
  <c r="R71" i="31"/>
  <c r="R89" i="37"/>
  <c r="G36" i="36"/>
  <c r="T57" i="31"/>
  <c r="S57" i="31"/>
  <c r="G93" i="34"/>
  <c r="H93" i="34"/>
  <c r="T59" i="31"/>
  <c r="S59" i="31"/>
  <c r="H85" i="34"/>
  <c r="G85" i="34"/>
  <c r="S41" i="31"/>
  <c r="T41" i="31"/>
  <c r="S86" i="31"/>
  <c r="T78" i="31"/>
  <c r="R63" i="32"/>
  <c r="R93" i="32"/>
  <c r="R74" i="32"/>
  <c r="T56" i="36"/>
  <c r="S78" i="36"/>
  <c r="S64" i="36"/>
  <c r="S34" i="36"/>
  <c r="T46" i="36"/>
  <c r="R96" i="32"/>
  <c r="R90" i="32"/>
  <c r="R68" i="32"/>
  <c r="R85" i="32"/>
  <c r="R49" i="32"/>
  <c r="T32" i="36"/>
  <c r="T50" i="36"/>
  <c r="S89" i="36"/>
  <c r="F59" i="40"/>
  <c r="F59" i="18"/>
  <c r="F81" i="33"/>
  <c r="H67" i="34"/>
  <c r="G67" i="34"/>
  <c r="F79" i="33"/>
  <c r="F75" i="18"/>
  <c r="S48" i="37"/>
  <c r="T48" i="37"/>
  <c r="H42" i="34"/>
  <c r="G42" i="34"/>
  <c r="F42" i="37"/>
  <c r="F42" i="33"/>
  <c r="R46" i="33"/>
  <c r="F97" i="18"/>
  <c r="R97" i="33"/>
  <c r="F75" i="35"/>
  <c r="R75" i="33"/>
  <c r="R67" i="33"/>
  <c r="R57" i="18"/>
  <c r="F51" i="33"/>
  <c r="F51" i="18"/>
  <c r="H51" i="18" s="1"/>
  <c r="R85" i="33"/>
  <c r="F49" i="33"/>
  <c r="F45" i="33"/>
  <c r="H45" i="34"/>
  <c r="G45" i="34"/>
  <c r="F43" i="18"/>
  <c r="G43" i="18" s="1"/>
  <c r="F41" i="33"/>
  <c r="F41" i="18"/>
  <c r="G41" i="18" s="1"/>
  <c r="F95" i="33"/>
  <c r="F77" i="33"/>
  <c r="F93" i="33"/>
  <c r="D66" i="38"/>
  <c r="D54" i="38"/>
  <c r="T38" i="36"/>
  <c r="S82" i="36"/>
  <c r="T29" i="36"/>
  <c r="F59" i="33"/>
  <c r="H79" i="34"/>
  <c r="G79" i="34"/>
  <c r="G57" i="34"/>
  <c r="H57" i="34"/>
  <c r="F57" i="33"/>
  <c r="F48" i="37"/>
  <c r="F48" i="33"/>
  <c r="D39" i="38"/>
  <c r="F46" i="40"/>
  <c r="F44" i="33"/>
  <c r="F42" i="40"/>
  <c r="D35" i="38"/>
  <c r="H39" i="34"/>
  <c r="G39" i="34"/>
  <c r="F39" i="33"/>
  <c r="F46" i="33"/>
  <c r="G63" i="34"/>
  <c r="H63" i="34"/>
  <c r="F73" i="33"/>
  <c r="F97" i="33"/>
  <c r="F75" i="33"/>
  <c r="F59" i="32"/>
  <c r="F59" i="34"/>
  <c r="F67" i="33"/>
  <c r="F81" i="18"/>
  <c r="F85" i="33"/>
  <c r="F63" i="35"/>
  <c r="F91" i="33"/>
  <c r="F65" i="37"/>
  <c r="F65" i="33"/>
  <c r="F49" i="18"/>
  <c r="F47" i="33"/>
  <c r="F79" i="35"/>
  <c r="F65" i="35"/>
  <c r="H55" i="35"/>
  <c r="G55" i="35"/>
  <c r="F71" i="33"/>
  <c r="F71" i="37"/>
  <c r="F89" i="33"/>
  <c r="S98" i="35"/>
  <c r="T98" i="35"/>
  <c r="T83" i="31"/>
  <c r="S83" i="31"/>
  <c r="S61" i="31"/>
  <c r="T61" i="31"/>
  <c r="T96" i="35"/>
  <c r="S96" i="35"/>
  <c r="T42" i="35"/>
  <c r="S42" i="35"/>
  <c r="S90" i="35"/>
  <c r="T90" i="35"/>
  <c r="K10" i="32"/>
  <c r="K9" i="32"/>
  <c r="K12" i="32"/>
  <c r="T76" i="31"/>
  <c r="S76" i="31"/>
  <c r="S59" i="18"/>
  <c r="T89" i="18"/>
  <c r="T59" i="18"/>
  <c r="S86" i="18"/>
  <c r="T86" i="18"/>
  <c r="S97" i="18"/>
  <c r="S43" i="35"/>
  <c r="T43" i="35"/>
  <c r="T97" i="35"/>
  <c r="S97" i="35"/>
  <c r="T40" i="35"/>
  <c r="S40" i="35"/>
  <c r="S77" i="31"/>
  <c r="T77" i="31"/>
  <c r="S84" i="31"/>
  <c r="T82" i="31"/>
  <c r="S82" i="31"/>
  <c r="R65" i="32"/>
  <c r="R42" i="32"/>
  <c r="R66" i="32"/>
  <c r="R48" i="32"/>
  <c r="R69" i="32"/>
  <c r="R73" i="32"/>
  <c r="R67" i="32"/>
  <c r="R84" i="32"/>
  <c r="R95" i="32"/>
  <c r="R59" i="32"/>
  <c r="R89" i="32"/>
  <c r="R77" i="32"/>
  <c r="R99" i="32"/>
  <c r="R39" i="32"/>
  <c r="R60" i="32"/>
  <c r="R45" i="32"/>
  <c r="R40" i="32"/>
  <c r="R41" i="32"/>
  <c r="R79" i="32"/>
  <c r="R54" i="32"/>
  <c r="R87" i="32"/>
  <c r="R94" i="32"/>
  <c r="R56" i="32"/>
  <c r="R46" i="32"/>
  <c r="R86" i="32"/>
  <c r="R53" i="32"/>
  <c r="R83" i="32"/>
  <c r="R51" i="32"/>
  <c r="R64" i="32"/>
  <c r="R61" i="32"/>
  <c r="R55" i="32"/>
  <c r="R58" i="32"/>
  <c r="R75" i="32"/>
  <c r="R98" i="32"/>
  <c r="R82" i="32"/>
  <c r="R80" i="32"/>
  <c r="R43" i="32"/>
  <c r="R88" i="32"/>
  <c r="R71" i="32"/>
  <c r="R97" i="32"/>
  <c r="R70" i="32"/>
  <c r="R92" i="32"/>
  <c r="R50" i="32"/>
  <c r="R44" i="32"/>
  <c r="R62" i="32"/>
  <c r="R57" i="32"/>
  <c r="R91" i="32"/>
  <c r="R52" i="32"/>
  <c r="R78" i="32"/>
  <c r="H69" i="36"/>
  <c r="G69" i="36"/>
  <c r="T84" i="35"/>
  <c r="S84" i="35"/>
  <c r="T72" i="35"/>
  <c r="S72" i="35"/>
  <c r="S57" i="35"/>
  <c r="T57" i="35"/>
  <c r="T85" i="35"/>
  <c r="S85" i="35"/>
  <c r="G82" i="18"/>
  <c r="H82" i="18"/>
  <c r="S91" i="35"/>
  <c r="S76" i="35"/>
  <c r="T73" i="35"/>
  <c r="S59" i="35"/>
  <c r="D40" i="38"/>
  <c r="S79" i="18"/>
  <c r="T67" i="18"/>
  <c r="T73" i="18"/>
  <c r="S76" i="18"/>
  <c r="T96" i="18"/>
  <c r="T81" i="18"/>
  <c r="S82" i="18"/>
  <c r="S54" i="18"/>
  <c r="T52" i="18"/>
  <c r="T56" i="35"/>
  <c r="T88" i="18"/>
  <c r="T68" i="18"/>
  <c r="E90" i="38"/>
  <c r="T49" i="35"/>
  <c r="S50" i="35"/>
  <c r="S51" i="18"/>
  <c r="S56" i="36"/>
  <c r="T78" i="36"/>
  <c r="T64" i="36"/>
  <c r="T34" i="36"/>
  <c r="T74" i="36"/>
  <c r="T33" i="36"/>
  <c r="D70" i="38"/>
  <c r="S38" i="36"/>
  <c r="S50" i="36"/>
  <c r="T89" i="36"/>
  <c r="T74" i="35"/>
  <c r="S74" i="35"/>
  <c r="T82" i="35"/>
  <c r="S82" i="35"/>
  <c r="S65" i="35"/>
  <c r="T65" i="35"/>
  <c r="T39" i="35"/>
  <c r="S39" i="35"/>
  <c r="W10" i="40"/>
  <c r="W12" i="40"/>
  <c r="T24" i="40" s="1"/>
  <c r="W9" i="40"/>
  <c r="T58" i="31"/>
  <c r="S58" i="31"/>
  <c r="C84" i="38"/>
  <c r="C72" i="38"/>
  <c r="C62" i="38"/>
  <c r="C52" i="38"/>
  <c r="C40" i="38"/>
  <c r="C37" i="38"/>
  <c r="C86" i="38"/>
  <c r="C76" i="38"/>
  <c r="C64" i="38"/>
  <c r="C54" i="38"/>
  <c r="C44" i="38"/>
  <c r="C32" i="38"/>
  <c r="C41" i="38"/>
  <c r="C51" i="38"/>
  <c r="C69" i="38"/>
  <c r="C80" i="38"/>
  <c r="C60" i="38"/>
  <c r="C38" i="38"/>
  <c r="C43" i="38"/>
  <c r="C63" i="38"/>
  <c r="C87" i="38"/>
  <c r="C65" i="38"/>
  <c r="C85" i="38"/>
  <c r="C88" i="38"/>
  <c r="C68" i="38"/>
  <c r="C46" i="38"/>
  <c r="C89" i="38"/>
  <c r="C59" i="38"/>
  <c r="C83" i="38"/>
  <c r="C61" i="38"/>
  <c r="C56" i="38"/>
  <c r="C73" i="38"/>
  <c r="C91" i="38"/>
  <c r="C53" i="38"/>
  <c r="C70" i="38"/>
  <c r="C79" i="38"/>
  <c r="C49" i="38"/>
  <c r="C36" i="38"/>
  <c r="C81" i="38"/>
  <c r="C78" i="38"/>
  <c r="C47" i="38"/>
  <c r="C48" i="38"/>
  <c r="C92" i="38"/>
  <c r="C77" i="38"/>
  <c r="C35" i="38"/>
  <c r="C67" i="38"/>
  <c r="C34" i="38"/>
  <c r="C75" i="38"/>
  <c r="C90" i="38"/>
  <c r="C33" i="38"/>
  <c r="C66" i="38"/>
  <c r="G30" i="36"/>
  <c r="H30" i="36"/>
  <c r="S55" i="35"/>
  <c r="T55" i="35"/>
  <c r="S98" i="40"/>
  <c r="S93" i="40"/>
  <c r="T95" i="40"/>
  <c r="T99" i="40"/>
  <c r="T86" i="35"/>
  <c r="S86" i="35"/>
  <c r="S70" i="31"/>
  <c r="T70" i="31"/>
  <c r="S48" i="31"/>
  <c r="T48" i="31"/>
  <c r="T39" i="31"/>
  <c r="S39" i="31"/>
  <c r="S37" i="36"/>
  <c r="S79" i="36"/>
  <c r="T67" i="36"/>
  <c r="S77" i="36"/>
  <c r="T42" i="36"/>
  <c r="S31" i="36"/>
  <c r="S40" i="36"/>
  <c r="T52" i="36"/>
  <c r="S55" i="36"/>
  <c r="T51" i="36"/>
  <c r="S67" i="36"/>
  <c r="T77" i="36"/>
  <c r="T40" i="36"/>
  <c r="T55" i="36"/>
  <c r="S24" i="36"/>
  <c r="S65" i="36"/>
  <c r="S28" i="36"/>
  <c r="S21" i="36"/>
  <c r="T73" i="36"/>
  <c r="T98" i="36"/>
  <c r="T60" i="36"/>
  <c r="T59" i="36"/>
  <c r="S51" i="36"/>
  <c r="S25" i="36"/>
  <c r="T68" i="36"/>
  <c r="T24" i="36"/>
  <c r="T65" i="36"/>
  <c r="T28" i="36"/>
  <c r="S72" i="36"/>
  <c r="S60" i="36"/>
  <c r="S59" i="36"/>
  <c r="T48" i="36"/>
  <c r="S88" i="36"/>
  <c r="T31" i="36"/>
  <c r="T22" i="36"/>
  <c r="S73" i="36"/>
  <c r="S86" i="36"/>
  <c r="T37" i="36"/>
  <c r="S95" i="36"/>
  <c r="S52" i="36"/>
  <c r="S62" i="36"/>
  <c r="S49" i="36"/>
  <c r="T21" i="36"/>
  <c r="S98" i="36"/>
  <c r="S42" i="36"/>
  <c r="T27" i="36"/>
  <c r="T62" i="36"/>
  <c r="S76" i="36"/>
  <c r="T66" i="36"/>
  <c r="T79" i="36"/>
  <c r="S22" i="36"/>
  <c r="T86" i="36"/>
  <c r="T88" i="36"/>
  <c r="T72" i="36"/>
  <c r="T25" i="36"/>
  <c r="T95" i="36"/>
  <c r="T49" i="36"/>
  <c r="T43" i="36"/>
  <c r="S48" i="36"/>
  <c r="T70" i="36"/>
  <c r="T47" i="36"/>
  <c r="T57" i="36"/>
  <c r="T30" i="36"/>
  <c r="S96" i="36"/>
  <c r="T35" i="36"/>
  <c r="T53" i="36"/>
  <c r="T90" i="36"/>
  <c r="T44" i="36"/>
  <c r="T71" i="36"/>
  <c r="S27" i="36"/>
  <c r="S99" i="36"/>
  <c r="T61" i="36"/>
  <c r="S75" i="36"/>
  <c r="T63" i="36"/>
  <c r="S33" i="36"/>
  <c r="S58" i="36"/>
  <c r="T91" i="36"/>
  <c r="T23" i="36"/>
  <c r="S81" i="36"/>
  <c r="T93" i="36"/>
  <c r="T99" i="36"/>
  <c r="S68" i="36"/>
  <c r="S30" i="36"/>
  <c r="T96" i="36"/>
  <c r="S35" i="36"/>
  <c r="S53" i="36"/>
  <c r="S90" i="36"/>
  <c r="S44" i="36"/>
  <c r="S19" i="36"/>
  <c r="U19" i="36" s="1"/>
  <c r="S26" i="36"/>
  <c r="S43" i="36"/>
  <c r="S70" i="36"/>
  <c r="S91" i="36"/>
  <c r="T75" i="36"/>
  <c r="S83" i="36"/>
  <c r="T19" i="36"/>
  <c r="V19" i="36" s="1"/>
  <c r="W19" i="36" s="1"/>
  <c r="Z17" i="17" s="1"/>
  <c r="S20" i="36"/>
  <c r="T36" i="36"/>
  <c r="T81" i="36"/>
  <c r="S93" i="36"/>
  <c r="S92" i="36"/>
  <c r="S47" i="36"/>
  <c r="T26" i="36"/>
  <c r="S57" i="36"/>
  <c r="S66" i="36"/>
  <c r="T83" i="36"/>
  <c r="T20" i="36"/>
  <c r="S36" i="36"/>
  <c r="T92" i="36"/>
  <c r="S71" i="36"/>
  <c r="T76" i="36"/>
  <c r="T58" i="36"/>
  <c r="S61" i="36"/>
  <c r="S23" i="36"/>
  <c r="S63" i="36"/>
  <c r="G64" i="36"/>
  <c r="H64" i="36"/>
  <c r="T51" i="35"/>
  <c r="S51" i="35"/>
  <c r="S94" i="35"/>
  <c r="T94" i="35"/>
  <c r="T52" i="35"/>
  <c r="S52" i="35"/>
  <c r="S60" i="35"/>
  <c r="T60" i="35"/>
  <c r="T89" i="35"/>
  <c r="S89" i="35"/>
  <c r="S79" i="35"/>
  <c r="T79" i="35"/>
  <c r="S82" i="40"/>
  <c r="S76" i="40"/>
  <c r="S37" i="40"/>
  <c r="T51" i="40"/>
  <c r="T38" i="40"/>
  <c r="S60" i="40"/>
  <c r="T42" i="40"/>
  <c r="T66" i="40"/>
  <c r="W12" i="32"/>
  <c r="W9" i="32"/>
  <c r="W10" i="32"/>
  <c r="H96" i="18"/>
  <c r="G96" i="18"/>
  <c r="K9" i="40"/>
  <c r="K12" i="40"/>
  <c r="K10" i="40"/>
  <c r="S89" i="18"/>
  <c r="T79" i="18"/>
  <c r="S67" i="18"/>
  <c r="S73" i="18"/>
  <c r="T76" i="18"/>
  <c r="S53" i="18"/>
  <c r="T54" i="18"/>
  <c r="S52" i="18"/>
  <c r="S80" i="18"/>
  <c r="H75" i="31"/>
  <c r="E71" i="38"/>
  <c r="T51" i="18"/>
  <c r="T80" i="36"/>
  <c r="T87" i="36"/>
  <c r="S94" i="36"/>
  <c r="S45" i="36"/>
  <c r="S74" i="36"/>
  <c r="T53" i="31"/>
  <c r="S32" i="36"/>
  <c r="T82" i="36"/>
  <c r="T84" i="31"/>
  <c r="T50" i="34"/>
  <c r="S50" i="34"/>
  <c r="S56" i="34"/>
  <c r="T56" i="34"/>
  <c r="S58" i="34"/>
  <c r="T58" i="34"/>
  <c r="T81" i="34"/>
  <c r="S81" i="34"/>
  <c r="T91" i="34"/>
  <c r="S91" i="34"/>
  <c r="S67" i="34"/>
  <c r="T67" i="34"/>
  <c r="T57" i="34"/>
  <c r="S57" i="34"/>
  <c r="T46" i="34"/>
  <c r="S46" i="34"/>
  <c r="S51" i="34"/>
  <c r="T51" i="34"/>
  <c r="S43" i="34"/>
  <c r="T43" i="34"/>
  <c r="S62" i="34"/>
  <c r="T62" i="34"/>
  <c r="S39" i="34"/>
  <c r="T39" i="34"/>
  <c r="T44" i="34"/>
  <c r="S44" i="34"/>
  <c r="T42" i="34"/>
  <c r="S42" i="34"/>
  <c r="S80" i="34"/>
  <c r="T80" i="34"/>
  <c r="T96" i="34"/>
  <c r="S96" i="34"/>
  <c r="S71" i="34"/>
  <c r="T71" i="34"/>
  <c r="T87" i="34"/>
  <c r="S87" i="34"/>
  <c r="S94" i="34"/>
  <c r="T94" i="34"/>
  <c r="S98" i="34"/>
  <c r="T98" i="34"/>
  <c r="T54" i="34"/>
  <c r="S54" i="34"/>
  <c r="E47" i="38"/>
  <c r="E67" i="38"/>
  <c r="E61" i="38"/>
  <c r="E52" i="38"/>
  <c r="T65" i="34"/>
  <c r="S65" i="34"/>
  <c r="S61" i="34"/>
  <c r="T61" i="34"/>
  <c r="T86" i="34"/>
  <c r="S86" i="34"/>
  <c r="T79" i="34"/>
  <c r="S79" i="34"/>
  <c r="S52" i="34"/>
  <c r="T52" i="34"/>
  <c r="S95" i="34"/>
  <c r="T95" i="34"/>
  <c r="T48" i="34"/>
  <c r="S48" i="34"/>
  <c r="T99" i="34"/>
  <c r="S99" i="34"/>
  <c r="T69" i="34"/>
  <c r="S69" i="34"/>
  <c r="S85" i="34"/>
  <c r="T85" i="34"/>
  <c r="S83" i="34"/>
  <c r="T83" i="34"/>
  <c r="T73" i="34"/>
  <c r="S73" i="34"/>
  <c r="T41" i="34"/>
  <c r="S41" i="34"/>
  <c r="S55" i="34"/>
  <c r="T55" i="34"/>
  <c r="T93" i="34"/>
  <c r="S93" i="34"/>
  <c r="S66" i="34"/>
  <c r="T66" i="34"/>
  <c r="T53" i="34"/>
  <c r="S53" i="34"/>
  <c r="T84" i="34"/>
  <c r="S84" i="34"/>
  <c r="S76" i="34"/>
  <c r="T76" i="34"/>
  <c r="E77" i="38"/>
  <c r="E43" i="38"/>
  <c r="S72" i="34"/>
  <c r="T72" i="34"/>
  <c r="S77" i="34"/>
  <c r="T77" i="34"/>
  <c r="S49" i="34"/>
  <c r="T49" i="34"/>
  <c r="S75" i="34"/>
  <c r="T75" i="34"/>
  <c r="T97" i="34"/>
  <c r="S97" i="34"/>
  <c r="T89" i="34"/>
  <c r="S89" i="34"/>
  <c r="T88" i="34"/>
  <c r="S88" i="34"/>
  <c r="E68" i="38"/>
  <c r="T47" i="34"/>
  <c r="S47" i="34"/>
  <c r="S40" i="34"/>
  <c r="T40" i="34"/>
  <c r="T92" i="34"/>
  <c r="S92" i="34"/>
  <c r="S63" i="34"/>
  <c r="T63" i="34"/>
  <c r="S59" i="34"/>
  <c r="T59" i="34"/>
  <c r="T74" i="34"/>
  <c r="S74" i="34"/>
  <c r="T60" i="34"/>
  <c r="S60" i="34"/>
  <c r="S82" i="34"/>
  <c r="T82" i="34"/>
  <c r="T78" i="34"/>
  <c r="S78" i="34"/>
  <c r="T45" i="34"/>
  <c r="S45" i="34"/>
  <c r="T68" i="34"/>
  <c r="S68" i="34"/>
  <c r="S64" i="34"/>
  <c r="T64" i="34"/>
  <c r="E64" i="38"/>
  <c r="E84" i="38"/>
  <c r="G99" i="36" l="1"/>
  <c r="G58" i="31"/>
  <c r="H44" i="36"/>
  <c r="T51" i="33"/>
  <c r="H87" i="36"/>
  <c r="H83" i="31"/>
  <c r="H82" i="36"/>
  <c r="E63" i="38"/>
  <c r="D55" i="38"/>
  <c r="D75" i="38"/>
  <c r="G64" i="37"/>
  <c r="H64" i="34"/>
  <c r="H19" i="36"/>
  <c r="J19" i="36" s="1"/>
  <c r="K19" i="36" s="1"/>
  <c r="I17" i="17" s="1"/>
  <c r="H52" i="18"/>
  <c r="G78" i="36"/>
  <c r="G61" i="35"/>
  <c r="G54" i="31"/>
  <c r="G35" i="36"/>
  <c r="D37" i="38"/>
  <c r="T58" i="37"/>
  <c r="S52" i="37"/>
  <c r="G86" i="18"/>
  <c r="H83" i="34"/>
  <c r="G76" i="36"/>
  <c r="G96" i="31"/>
  <c r="H72" i="34"/>
  <c r="S96" i="33"/>
  <c r="S90" i="31"/>
  <c r="G76" i="31"/>
  <c r="G53" i="36"/>
  <c r="G96" i="35"/>
  <c r="G82" i="34"/>
  <c r="E89" i="38"/>
  <c r="H50" i="33"/>
  <c r="H68" i="36"/>
  <c r="T64" i="31"/>
  <c r="G61" i="36"/>
  <c r="D53" i="38"/>
  <c r="G87" i="35"/>
  <c r="G61" i="33"/>
  <c r="T68" i="31"/>
  <c r="H58" i="36"/>
  <c r="T94" i="33"/>
  <c r="G99" i="18"/>
  <c r="G52" i="33"/>
  <c r="G66" i="18"/>
  <c r="G84" i="36"/>
  <c r="H68" i="31"/>
  <c r="G80" i="31"/>
  <c r="T55" i="31"/>
  <c r="H51" i="36"/>
  <c r="H89" i="34"/>
  <c r="H58" i="34"/>
  <c r="G68" i="37"/>
  <c r="E38" i="38"/>
  <c r="T96" i="37"/>
  <c r="T63" i="33"/>
  <c r="S76" i="33"/>
  <c r="G60" i="37"/>
  <c r="H96" i="36"/>
  <c r="E83" i="38"/>
  <c r="G68" i="18"/>
  <c r="T69" i="31"/>
  <c r="H37" i="36"/>
  <c r="S72" i="37"/>
  <c r="H72" i="18"/>
  <c r="E78" i="38"/>
  <c r="H99" i="34"/>
  <c r="H94" i="37"/>
  <c r="H81" i="36"/>
  <c r="H53" i="37"/>
  <c r="H52" i="34"/>
  <c r="G84" i="37"/>
  <c r="H86" i="36"/>
  <c r="S88" i="37"/>
  <c r="S83" i="33"/>
  <c r="S42" i="31"/>
  <c r="H63" i="18"/>
  <c r="H87" i="31"/>
  <c r="T93" i="37"/>
  <c r="S77" i="18"/>
  <c r="H32" i="36"/>
  <c r="T60" i="18"/>
  <c r="G53" i="31"/>
  <c r="H65" i="18"/>
  <c r="S63" i="31"/>
  <c r="G84" i="34"/>
  <c r="T81" i="31"/>
  <c r="G96" i="37"/>
  <c r="H92" i="37"/>
  <c r="H98" i="18"/>
  <c r="S81" i="37"/>
  <c r="S61" i="18"/>
  <c r="H90" i="36"/>
  <c r="H69" i="31"/>
  <c r="D48" i="38"/>
  <c r="H52" i="31"/>
  <c r="H82" i="37"/>
  <c r="G66" i="35"/>
  <c r="G72" i="31"/>
  <c r="G48" i="36"/>
  <c r="S87" i="18"/>
  <c r="S98" i="18"/>
  <c r="G73" i="34"/>
  <c r="T85" i="37"/>
  <c r="S55" i="37"/>
  <c r="G22" i="36"/>
  <c r="D59" i="38"/>
  <c r="D87" i="38"/>
  <c r="G50" i="34"/>
  <c r="H61" i="34"/>
  <c r="G44" i="35"/>
  <c r="G69" i="34"/>
  <c r="G34" i="36"/>
  <c r="G83" i="36"/>
  <c r="H94" i="36"/>
  <c r="G59" i="36"/>
  <c r="H24" i="36"/>
  <c r="G61" i="18"/>
  <c r="H62" i="37"/>
  <c r="H69" i="18"/>
  <c r="G58" i="37"/>
  <c r="H48" i="34"/>
  <c r="G48" i="35"/>
  <c r="S40" i="37"/>
  <c r="H66" i="31"/>
  <c r="H67" i="31"/>
  <c r="G60" i="18"/>
  <c r="T55" i="18"/>
  <c r="G70" i="18"/>
  <c r="S72" i="18"/>
  <c r="S42" i="18"/>
  <c r="T44" i="33"/>
  <c r="T46" i="31"/>
  <c r="T41" i="33"/>
  <c r="S48" i="18"/>
  <c r="T49" i="33"/>
  <c r="S45" i="18"/>
  <c r="S44" i="31"/>
  <c r="E41" i="38"/>
  <c r="G40" i="18"/>
  <c r="S44" i="37"/>
  <c r="G45" i="35"/>
  <c r="B23" i="35"/>
  <c r="O23" i="31"/>
  <c r="B23" i="40"/>
  <c r="O23" i="35"/>
  <c r="B23" i="34"/>
  <c r="B23" i="33"/>
  <c r="O23" i="37"/>
  <c r="B23" i="32"/>
  <c r="B23" i="37"/>
  <c r="O23" i="40"/>
  <c r="B19" i="7"/>
  <c r="O23" i="18"/>
  <c r="O23" i="34"/>
  <c r="O23" i="33"/>
  <c r="B23" i="18"/>
  <c r="O23" i="32"/>
  <c r="O23" i="36"/>
  <c r="B23" i="36"/>
  <c r="B23" i="31"/>
  <c r="G48" i="31"/>
  <c r="G42" i="31"/>
  <c r="T47" i="33"/>
  <c r="G43" i="34"/>
  <c r="S45" i="31"/>
  <c r="T47" i="37"/>
  <c r="S42" i="33"/>
  <c r="D79" i="38"/>
  <c r="S91" i="18"/>
  <c r="G57" i="35"/>
  <c r="H81" i="34"/>
  <c r="G55" i="18"/>
  <c r="H58" i="18"/>
  <c r="G83" i="18"/>
  <c r="G96" i="33"/>
  <c r="S57" i="33"/>
  <c r="G98" i="34"/>
  <c r="S84" i="18"/>
  <c r="T79" i="31"/>
  <c r="G64" i="35"/>
  <c r="S71" i="37"/>
  <c r="T69" i="37"/>
  <c r="H40" i="34"/>
  <c r="T74" i="32"/>
  <c r="E46" i="38"/>
  <c r="S61" i="37"/>
  <c r="T61" i="37"/>
  <c r="T49" i="32"/>
  <c r="T96" i="32"/>
  <c r="T85" i="32"/>
  <c r="S83" i="37"/>
  <c r="T83" i="37"/>
  <c r="H98" i="33"/>
  <c r="S65" i="37"/>
  <c r="T91" i="37"/>
  <c r="H61" i="31"/>
  <c r="T92" i="37"/>
  <c r="T99" i="18"/>
  <c r="T93" i="31"/>
  <c r="T93" i="18"/>
  <c r="G49" i="34"/>
  <c r="S92" i="18"/>
  <c r="T72" i="32"/>
  <c r="H80" i="36"/>
  <c r="G64" i="18"/>
  <c r="G53" i="18"/>
  <c r="H60" i="34"/>
  <c r="H50" i="31"/>
  <c r="G74" i="33"/>
  <c r="G97" i="31"/>
  <c r="S60" i="33"/>
  <c r="H20" i="36"/>
  <c r="J20" i="36" s="1"/>
  <c r="K20" i="36" s="1"/>
  <c r="I18" i="17" s="1"/>
  <c r="D92" i="38"/>
  <c r="E91" i="38"/>
  <c r="G31" i="36"/>
  <c r="G57" i="18"/>
  <c r="S58" i="18"/>
  <c r="H54" i="18"/>
  <c r="S92" i="31"/>
  <c r="G39" i="36"/>
  <c r="H78" i="34"/>
  <c r="T50" i="31"/>
  <c r="E48" i="38"/>
  <c r="I20" i="36"/>
  <c r="I21" i="36" s="1"/>
  <c r="T85" i="31"/>
  <c r="H93" i="18"/>
  <c r="H94" i="18"/>
  <c r="H60" i="36"/>
  <c r="G80" i="34"/>
  <c r="H76" i="35"/>
  <c r="E32" i="38"/>
  <c r="H39" i="18"/>
  <c r="G50" i="36"/>
  <c r="G76" i="34"/>
  <c r="G50" i="37"/>
  <c r="G56" i="37"/>
  <c r="G69" i="35"/>
  <c r="H93" i="31"/>
  <c r="S50" i="18"/>
  <c r="D34" i="38"/>
  <c r="E86" i="38"/>
  <c r="T70" i="33"/>
  <c r="D63" i="38"/>
  <c r="E74" i="38"/>
  <c r="H83" i="33"/>
  <c r="H47" i="36"/>
  <c r="H77" i="36"/>
  <c r="H85" i="31"/>
  <c r="S66" i="31"/>
  <c r="S75" i="37"/>
  <c r="E81" i="38"/>
  <c r="G78" i="31"/>
  <c r="G80" i="37"/>
  <c r="H72" i="36"/>
  <c r="G90" i="31"/>
  <c r="D91" i="38"/>
  <c r="H84" i="18"/>
  <c r="H42" i="36"/>
  <c r="H63" i="36"/>
  <c r="H65" i="36"/>
  <c r="G56" i="36"/>
  <c r="H88" i="36"/>
  <c r="H80" i="35"/>
  <c r="S40" i="31"/>
  <c r="H67" i="35"/>
  <c r="G44" i="37"/>
  <c r="T64" i="37"/>
  <c r="H78" i="37"/>
  <c r="S74" i="37"/>
  <c r="S98" i="37"/>
  <c r="E56" i="38"/>
  <c r="G41" i="35"/>
  <c r="G52" i="35"/>
  <c r="G80" i="33"/>
  <c r="H61" i="37"/>
  <c r="G61" i="37"/>
  <c r="G85" i="18"/>
  <c r="H23" i="36"/>
  <c r="G73" i="18"/>
  <c r="G44" i="18"/>
  <c r="S75" i="31"/>
  <c r="H45" i="36"/>
  <c r="G98" i="31"/>
  <c r="H87" i="33"/>
  <c r="G56" i="35"/>
  <c r="G60" i="31"/>
  <c r="T68" i="33"/>
  <c r="D71" i="38"/>
  <c r="D45" i="38"/>
  <c r="E66" i="38"/>
  <c r="D86" i="38"/>
  <c r="E55" i="38"/>
  <c r="E42" i="38"/>
  <c r="H74" i="34"/>
  <c r="G74" i="34"/>
  <c r="S66" i="33"/>
  <c r="T66" i="33"/>
  <c r="H70" i="37"/>
  <c r="G74" i="36"/>
  <c r="H84" i="33"/>
  <c r="H89" i="37"/>
  <c r="E82" i="38"/>
  <c r="S73" i="31"/>
  <c r="H27" i="36"/>
  <c r="S56" i="18"/>
  <c r="H52" i="36"/>
  <c r="H80" i="18"/>
  <c r="G72" i="37"/>
  <c r="S70" i="18"/>
  <c r="G63" i="31"/>
  <c r="E85" i="38"/>
  <c r="H26" i="36"/>
  <c r="H77" i="18"/>
  <c r="G46" i="36"/>
  <c r="G85" i="36"/>
  <c r="H46" i="18"/>
  <c r="G41" i="36"/>
  <c r="S66" i="18"/>
  <c r="G40" i="37"/>
  <c r="H50" i="35"/>
  <c r="T99" i="33"/>
  <c r="G91" i="35"/>
  <c r="E37" i="38"/>
  <c r="G40" i="33"/>
  <c r="D68" i="38"/>
  <c r="G93" i="37"/>
  <c r="H58" i="35"/>
  <c r="E79" i="38"/>
  <c r="G83" i="35"/>
  <c r="H83" i="35"/>
  <c r="G64" i="31"/>
  <c r="H64" i="31"/>
  <c r="G76" i="33"/>
  <c r="H76" i="33"/>
  <c r="S74" i="18"/>
  <c r="G39" i="37"/>
  <c r="S67" i="31"/>
  <c r="G71" i="34"/>
  <c r="G77" i="31"/>
  <c r="H45" i="18"/>
  <c r="G71" i="35"/>
  <c r="S72" i="31"/>
  <c r="D44" i="38"/>
  <c r="S66" i="37"/>
  <c r="H68" i="33"/>
  <c r="T98" i="33"/>
  <c r="S98" i="33"/>
  <c r="T60" i="31"/>
  <c r="G62" i="18"/>
  <c r="G79" i="36"/>
  <c r="H97" i="37"/>
  <c r="G47" i="18"/>
  <c r="G62" i="36"/>
  <c r="G44" i="34"/>
  <c r="G90" i="18"/>
  <c r="H99" i="35"/>
  <c r="D84" i="38"/>
  <c r="H99" i="33"/>
  <c r="G99" i="33"/>
  <c r="T56" i="37"/>
  <c r="S56" i="37"/>
  <c r="G95" i="18"/>
  <c r="H47" i="37"/>
  <c r="S99" i="37"/>
  <c r="H65" i="31"/>
  <c r="G78" i="18"/>
  <c r="H45" i="37"/>
  <c r="H53" i="33"/>
  <c r="G53" i="33"/>
  <c r="H92" i="36"/>
  <c r="G92" i="36"/>
  <c r="H74" i="37"/>
  <c r="H89" i="36"/>
  <c r="H91" i="36"/>
  <c r="H70" i="31"/>
  <c r="T69" i="33"/>
  <c r="S69" i="33"/>
  <c r="H91" i="18"/>
  <c r="G38" i="36"/>
  <c r="S43" i="31"/>
  <c r="S99" i="31"/>
  <c r="H71" i="18"/>
  <c r="T65" i="18"/>
  <c r="T94" i="18"/>
  <c r="H41" i="34"/>
  <c r="D52" i="38"/>
  <c r="G92" i="31"/>
  <c r="G98" i="37"/>
  <c r="G89" i="18"/>
  <c r="G73" i="31"/>
  <c r="D74" i="38"/>
  <c r="T64" i="18"/>
  <c r="E34" i="38"/>
  <c r="E40" i="38"/>
  <c r="S98" i="31"/>
  <c r="G69" i="37"/>
  <c r="H74" i="18"/>
  <c r="H77" i="34"/>
  <c r="H95" i="34"/>
  <c r="H87" i="34"/>
  <c r="H59" i="35"/>
  <c r="G49" i="37"/>
  <c r="G51" i="37"/>
  <c r="S80" i="37"/>
  <c r="S49" i="18"/>
  <c r="T49" i="31"/>
  <c r="H43" i="37"/>
  <c r="G79" i="37"/>
  <c r="S95" i="31"/>
  <c r="G79" i="31"/>
  <c r="T65" i="31"/>
  <c r="G75" i="34"/>
  <c r="T89" i="31"/>
  <c r="H47" i="34"/>
  <c r="H77" i="35"/>
  <c r="S39" i="33"/>
  <c r="G72" i="35"/>
  <c r="S62" i="37"/>
  <c r="T46" i="37"/>
  <c r="H46" i="31"/>
  <c r="G60" i="35"/>
  <c r="S43" i="37"/>
  <c r="T43" i="37"/>
  <c r="H67" i="36"/>
  <c r="G40" i="36"/>
  <c r="H67" i="18"/>
  <c r="G93" i="36"/>
  <c r="H75" i="36"/>
  <c r="G70" i="36"/>
  <c r="H79" i="18"/>
  <c r="H85" i="35"/>
  <c r="G40" i="35"/>
  <c r="H45" i="31"/>
  <c r="H97" i="36"/>
  <c r="G55" i="34"/>
  <c r="H55" i="31"/>
  <c r="G54" i="33"/>
  <c r="H64" i="33"/>
  <c r="G64" i="33"/>
  <c r="H56" i="18"/>
  <c r="H21" i="36"/>
  <c r="G98" i="36"/>
  <c r="G40" i="31"/>
  <c r="G55" i="37"/>
  <c r="G98" i="35"/>
  <c r="E60" i="38"/>
  <c r="G62" i="33"/>
  <c r="H62" i="33"/>
  <c r="H25" i="36"/>
  <c r="H95" i="36"/>
  <c r="G43" i="36"/>
  <c r="G88" i="37"/>
  <c r="S91" i="31"/>
  <c r="G92" i="18"/>
  <c r="H29" i="36"/>
  <c r="G65" i="34"/>
  <c r="G39" i="35"/>
  <c r="H63" i="33"/>
  <c r="H92" i="35"/>
  <c r="T87" i="31"/>
  <c r="E72" i="38"/>
  <c r="G58" i="33"/>
  <c r="H58" i="33"/>
  <c r="G66" i="37"/>
  <c r="H63" i="37"/>
  <c r="G90" i="33"/>
  <c r="H90" i="33"/>
  <c r="T41" i="18"/>
  <c r="H69" i="33"/>
  <c r="G69" i="33"/>
  <c r="H54" i="36"/>
  <c r="G54" i="36"/>
  <c r="H84" i="35"/>
  <c r="G84" i="35"/>
  <c r="H94" i="35"/>
  <c r="G94" i="35"/>
  <c r="S85" i="18"/>
  <c r="H54" i="34"/>
  <c r="G46" i="37"/>
  <c r="G93" i="35"/>
  <c r="G39" i="31"/>
  <c r="S74" i="33"/>
  <c r="S60" i="37"/>
  <c r="T60" i="37"/>
  <c r="S56" i="31"/>
  <c r="T56" i="31"/>
  <c r="G56" i="33"/>
  <c r="H56" i="33"/>
  <c r="G66" i="36"/>
  <c r="H66" i="36"/>
  <c r="G59" i="31"/>
  <c r="H59" i="31"/>
  <c r="S47" i="31"/>
  <c r="T75" i="18"/>
  <c r="T95" i="18"/>
  <c r="S51" i="31"/>
  <c r="G51" i="34"/>
  <c r="G91" i="37"/>
  <c r="G41" i="37"/>
  <c r="G95" i="31"/>
  <c r="H43" i="31"/>
  <c r="H66" i="34"/>
  <c r="G99" i="31"/>
  <c r="G74" i="35"/>
  <c r="H74" i="35"/>
  <c r="T87" i="33"/>
  <c r="S87" i="33"/>
  <c r="H66" i="33"/>
  <c r="G66" i="33"/>
  <c r="D49" i="38"/>
  <c r="G67" i="37"/>
  <c r="H67" i="37"/>
  <c r="S49" i="32"/>
  <c r="H78" i="33"/>
  <c r="G78" i="33"/>
  <c r="H74" i="31"/>
  <c r="G74" i="31"/>
  <c r="G78" i="35"/>
  <c r="H78" i="35"/>
  <c r="G94" i="34"/>
  <c r="H94" i="34"/>
  <c r="G90" i="37"/>
  <c r="H90" i="37"/>
  <c r="H55" i="36"/>
  <c r="H71" i="36"/>
  <c r="H87" i="18"/>
  <c r="H87" i="37"/>
  <c r="S63" i="18"/>
  <c r="G57" i="36"/>
  <c r="H81" i="37"/>
  <c r="T56" i="33"/>
  <c r="S56" i="33"/>
  <c r="H70" i="35"/>
  <c r="G70" i="35"/>
  <c r="H88" i="18"/>
  <c r="G88" i="18"/>
  <c r="G60" i="33"/>
  <c r="H60" i="33"/>
  <c r="G57" i="31"/>
  <c r="H57" i="31"/>
  <c r="H75" i="37"/>
  <c r="H47" i="35"/>
  <c r="H86" i="37"/>
  <c r="S87" i="37"/>
  <c r="E50" i="38"/>
  <c r="H94" i="33"/>
  <c r="G94" i="33"/>
  <c r="H88" i="33"/>
  <c r="G88" i="33"/>
  <c r="H43" i="33"/>
  <c r="G43" i="33"/>
  <c r="H92" i="33"/>
  <c r="G92" i="33"/>
  <c r="G86" i="35"/>
  <c r="H86" i="35"/>
  <c r="G85" i="37"/>
  <c r="H85" i="37"/>
  <c r="G33" i="36"/>
  <c r="H48" i="18"/>
  <c r="G49" i="36"/>
  <c r="G73" i="36"/>
  <c r="T43" i="18"/>
  <c r="H91" i="34"/>
  <c r="G81" i="35"/>
  <c r="G95" i="37"/>
  <c r="H95" i="37"/>
  <c r="H57" i="37"/>
  <c r="G57" i="37"/>
  <c r="H86" i="33"/>
  <c r="G86" i="33"/>
  <c r="H73" i="35"/>
  <c r="G73" i="35"/>
  <c r="H59" i="37"/>
  <c r="G59" i="37"/>
  <c r="H81" i="31"/>
  <c r="G81" i="31"/>
  <c r="G42" i="18"/>
  <c r="H97" i="35"/>
  <c r="H90" i="35"/>
  <c r="S63" i="37"/>
  <c r="H86" i="31"/>
  <c r="G86" i="31"/>
  <c r="H28" i="36"/>
  <c r="G28" i="36"/>
  <c r="H54" i="35"/>
  <c r="G54" i="35"/>
  <c r="H47" i="31"/>
  <c r="G47" i="31"/>
  <c r="H73" i="37"/>
  <c r="G73" i="37"/>
  <c r="G54" i="37"/>
  <c r="H54" i="37"/>
  <c r="G77" i="37"/>
  <c r="H77" i="37"/>
  <c r="H55" i="33"/>
  <c r="G55" i="33"/>
  <c r="H43" i="35"/>
  <c r="G43" i="35"/>
  <c r="S96" i="32"/>
  <c r="H97" i="34"/>
  <c r="G46" i="34"/>
  <c r="T95" i="33"/>
  <c r="T71" i="33"/>
  <c r="S71" i="33"/>
  <c r="H95" i="35"/>
  <c r="G49" i="35"/>
  <c r="H49" i="35"/>
  <c r="H49" i="31"/>
  <c r="G49" i="31"/>
  <c r="G51" i="35"/>
  <c r="G89" i="31"/>
  <c r="H89" i="31"/>
  <c r="T71" i="18"/>
  <c r="S42" i="37"/>
  <c r="T42" i="37"/>
  <c r="G51" i="18"/>
  <c r="S39" i="18"/>
  <c r="T39" i="18"/>
  <c r="T49" i="37"/>
  <c r="S49" i="37"/>
  <c r="G71" i="31"/>
  <c r="H71" i="31"/>
  <c r="T47" i="18"/>
  <c r="S47" i="18"/>
  <c r="G89" i="35"/>
  <c r="H89" i="35"/>
  <c r="S46" i="18"/>
  <c r="T89" i="37"/>
  <c r="S89" i="37"/>
  <c r="H46" i="35"/>
  <c r="G46" i="35"/>
  <c r="S95" i="37"/>
  <c r="T95" i="37"/>
  <c r="T71" i="31"/>
  <c r="S71" i="31"/>
  <c r="T91" i="33"/>
  <c r="S91" i="33"/>
  <c r="G79" i="35"/>
  <c r="H79" i="35"/>
  <c r="G47" i="33"/>
  <c r="H47" i="33"/>
  <c r="H65" i="33"/>
  <c r="G65" i="33"/>
  <c r="H85" i="33"/>
  <c r="G85" i="33"/>
  <c r="G67" i="33"/>
  <c r="H67" i="33"/>
  <c r="H97" i="33"/>
  <c r="G97" i="33"/>
  <c r="G39" i="33"/>
  <c r="H39" i="33"/>
  <c r="G48" i="33"/>
  <c r="H48" i="33"/>
  <c r="H48" i="37"/>
  <c r="G48" i="37"/>
  <c r="G57" i="33"/>
  <c r="H57" i="33"/>
  <c r="H93" i="33"/>
  <c r="G93" i="33"/>
  <c r="G95" i="33"/>
  <c r="H95" i="33"/>
  <c r="T85" i="33"/>
  <c r="S85" i="33"/>
  <c r="T67" i="33"/>
  <c r="S67" i="33"/>
  <c r="H75" i="35"/>
  <c r="G75" i="35"/>
  <c r="G97" i="18"/>
  <c r="H97" i="18"/>
  <c r="H75" i="18"/>
  <c r="G75" i="18"/>
  <c r="H59" i="18"/>
  <c r="G59" i="18"/>
  <c r="V20" i="36"/>
  <c r="W20" i="36" s="1"/>
  <c r="Z18" i="17" s="1"/>
  <c r="H43" i="18"/>
  <c r="S72" i="32"/>
  <c r="T90" i="32"/>
  <c r="H41" i="18"/>
  <c r="S90" i="32"/>
  <c r="H89" i="33"/>
  <c r="G89" i="33"/>
  <c r="G71" i="37"/>
  <c r="H71" i="37"/>
  <c r="G71" i="33"/>
  <c r="H71" i="33"/>
  <c r="H65" i="35"/>
  <c r="G65" i="35"/>
  <c r="H49" i="18"/>
  <c r="G49" i="18"/>
  <c r="G65" i="37"/>
  <c r="H65" i="37"/>
  <c r="G91" i="33"/>
  <c r="H91" i="33"/>
  <c r="H63" i="35"/>
  <c r="G63" i="35"/>
  <c r="G81" i="18"/>
  <c r="H81" i="18"/>
  <c r="H59" i="34"/>
  <c r="G59" i="34"/>
  <c r="H75" i="33"/>
  <c r="G75" i="33"/>
  <c r="H73" i="33"/>
  <c r="G73" i="33"/>
  <c r="H46" i="33"/>
  <c r="G46" i="33"/>
  <c r="H44" i="33"/>
  <c r="G44" i="33"/>
  <c r="G59" i="33"/>
  <c r="H59" i="33"/>
  <c r="G77" i="33"/>
  <c r="H77" i="33"/>
  <c r="G41" i="33"/>
  <c r="H41" i="33"/>
  <c r="H45" i="33"/>
  <c r="G45" i="33"/>
  <c r="G49" i="33"/>
  <c r="H49" i="33"/>
  <c r="G51" i="33"/>
  <c r="H51" i="33"/>
  <c r="S57" i="18"/>
  <c r="T57" i="18"/>
  <c r="S75" i="33"/>
  <c r="T75" i="33"/>
  <c r="S97" i="33"/>
  <c r="T97" i="33"/>
  <c r="T46" i="33"/>
  <c r="S46" i="33"/>
  <c r="H42" i="33"/>
  <c r="G42" i="33"/>
  <c r="H42" i="37"/>
  <c r="G42" i="37"/>
  <c r="H79" i="33"/>
  <c r="G79" i="33"/>
  <c r="G81" i="33"/>
  <c r="H81" i="33"/>
  <c r="C39" i="38"/>
  <c r="C58" i="38"/>
  <c r="C50" i="38"/>
  <c r="T78" i="32"/>
  <c r="S78" i="32"/>
  <c r="T70" i="32"/>
  <c r="S70" i="32"/>
  <c r="S98" i="32"/>
  <c r="T98" i="32"/>
  <c r="S64" i="32"/>
  <c r="T64" i="32"/>
  <c r="S56" i="32"/>
  <c r="T56" i="32"/>
  <c r="S41" i="32"/>
  <c r="T41" i="32"/>
  <c r="S67" i="32"/>
  <c r="T67" i="32"/>
  <c r="T92" i="32"/>
  <c r="S92" i="32"/>
  <c r="T82" i="32"/>
  <c r="S82" i="32"/>
  <c r="T61" i="32"/>
  <c r="S61" i="32"/>
  <c r="T46" i="32"/>
  <c r="S46" i="32"/>
  <c r="T79" i="32"/>
  <c r="S79" i="32"/>
  <c r="T99" i="32"/>
  <c r="S99" i="32"/>
  <c r="S84" i="32"/>
  <c r="T84" i="32"/>
  <c r="S48" i="32"/>
  <c r="T48" i="32"/>
  <c r="S47" i="32"/>
  <c r="T93" i="32"/>
  <c r="S81" i="32"/>
  <c r="T47" i="32"/>
  <c r="S93" i="32"/>
  <c r="T63" i="32"/>
  <c r="T81" i="32"/>
  <c r="S74" i="32"/>
  <c r="T76" i="32"/>
  <c r="S85" i="32"/>
  <c r="S68" i="32"/>
  <c r="C55" i="38"/>
  <c r="C45" i="38"/>
  <c r="C57" i="38"/>
  <c r="T91" i="32"/>
  <c r="S91" i="32"/>
  <c r="T50" i="32"/>
  <c r="S50" i="32"/>
  <c r="T80" i="32"/>
  <c r="S80" i="32"/>
  <c r="S75" i="32"/>
  <c r="T75" i="32"/>
  <c r="T86" i="32"/>
  <c r="S86" i="32"/>
  <c r="T54" i="32"/>
  <c r="S54" i="32"/>
  <c r="T45" i="32"/>
  <c r="S45" i="32"/>
  <c r="T39" i="32"/>
  <c r="S39" i="32"/>
  <c r="S95" i="32"/>
  <c r="T95" i="32"/>
  <c r="S69" i="32"/>
  <c r="T69" i="32"/>
  <c r="T42" i="32"/>
  <c r="S42" i="32"/>
  <c r="G54" i="32"/>
  <c r="H71" i="32"/>
  <c r="G75" i="32"/>
  <c r="H74" i="32"/>
  <c r="H89" i="32"/>
  <c r="H75" i="32"/>
  <c r="G74" i="32"/>
  <c r="G89" i="32"/>
  <c r="G71" i="32"/>
  <c r="G96" i="32"/>
  <c r="H54" i="32"/>
  <c r="G61" i="32"/>
  <c r="H55" i="32"/>
  <c r="G87" i="32"/>
  <c r="G99" i="32"/>
  <c r="H62" i="32"/>
  <c r="G48" i="32"/>
  <c r="G93" i="32"/>
  <c r="G68" i="32"/>
  <c r="H82" i="32"/>
  <c r="G97" i="32"/>
  <c r="G77" i="32"/>
  <c r="H96" i="32"/>
  <c r="G82" i="32"/>
  <c r="H99" i="32"/>
  <c r="G47" i="32"/>
  <c r="H79" i="32"/>
  <c r="G65" i="32"/>
  <c r="G76" i="32"/>
  <c r="H61" i="32"/>
  <c r="G55" i="32"/>
  <c r="H97" i="32"/>
  <c r="G62" i="32"/>
  <c r="G43" i="32"/>
  <c r="H48" i="32"/>
  <c r="H65" i="32"/>
  <c r="H76" i="32"/>
  <c r="H80" i="32"/>
  <c r="H47" i="32"/>
  <c r="H43" i="32"/>
  <c r="G79" i="32"/>
  <c r="H68" i="32"/>
  <c r="H91" i="32"/>
  <c r="H87" i="32"/>
  <c r="H77" i="32"/>
  <c r="G80" i="32"/>
  <c r="G39" i="32"/>
  <c r="G51" i="32"/>
  <c r="H58" i="32"/>
  <c r="G95" i="32"/>
  <c r="G66" i="32"/>
  <c r="G90" i="32"/>
  <c r="H93" i="32"/>
  <c r="G45" i="32"/>
  <c r="H59" i="32"/>
  <c r="G94" i="32"/>
  <c r="H98" i="32"/>
  <c r="G84" i="32"/>
  <c r="H64" i="32"/>
  <c r="G53" i="32"/>
  <c r="H46" i="32"/>
  <c r="G86" i="32"/>
  <c r="G72" i="32"/>
  <c r="G50" i="32"/>
  <c r="G88" i="32"/>
  <c r="G85" i="32"/>
  <c r="G78" i="32"/>
  <c r="G52" i="32"/>
  <c r="G57" i="32"/>
  <c r="H41" i="32"/>
  <c r="H92" i="32"/>
  <c r="H63" i="32"/>
  <c r="H70" i="32"/>
  <c r="H39" i="32"/>
  <c r="H95" i="32"/>
  <c r="H73" i="32"/>
  <c r="H56" i="32"/>
  <c r="G59" i="32"/>
  <c r="G92" i="32"/>
  <c r="G64" i="32"/>
  <c r="H53" i="32"/>
  <c r="H86" i="32"/>
  <c r="H50" i="32"/>
  <c r="H88" i="32"/>
  <c r="G49" i="32"/>
  <c r="G91" i="32"/>
  <c r="G73" i="32"/>
  <c r="H67" i="32"/>
  <c r="H57" i="32"/>
  <c r="H69" i="32"/>
  <c r="H49" i="32"/>
  <c r="H45" i="32"/>
  <c r="G41" i="32"/>
  <c r="G60" i="32"/>
  <c r="G98" i="32"/>
  <c r="G42" i="32"/>
  <c r="G81" i="32"/>
  <c r="H40" i="32"/>
  <c r="H44" i="32"/>
  <c r="G63" i="32"/>
  <c r="G83" i="32"/>
  <c r="G70" i="32"/>
  <c r="H78" i="32"/>
  <c r="G67" i="32"/>
  <c r="G69" i="32"/>
  <c r="G56" i="32"/>
  <c r="H60" i="32"/>
  <c r="H42" i="32"/>
  <c r="H81" i="32"/>
  <c r="G40" i="32"/>
  <c r="G44" i="32"/>
  <c r="H83" i="32"/>
  <c r="H90" i="32"/>
  <c r="H51" i="32"/>
  <c r="G58" i="32"/>
  <c r="H66" i="32"/>
  <c r="H94" i="32"/>
  <c r="H84" i="32"/>
  <c r="G46" i="32"/>
  <c r="H72" i="32"/>
  <c r="H85" i="32"/>
  <c r="H52" i="32"/>
  <c r="T69" i="40"/>
  <c r="S29" i="40"/>
  <c r="T74" i="40"/>
  <c r="T70" i="40"/>
  <c r="T33" i="40"/>
  <c r="S35" i="40"/>
  <c r="T55" i="40"/>
  <c r="T54" i="40"/>
  <c r="S80" i="40"/>
  <c r="S42" i="40"/>
  <c r="S38" i="40"/>
  <c r="T37" i="40"/>
  <c r="T82" i="40"/>
  <c r="T22" i="40"/>
  <c r="S79" i="40"/>
  <c r="S46" i="40"/>
  <c r="S88" i="40"/>
  <c r="S84" i="40"/>
  <c r="S25" i="40"/>
  <c r="S28" i="40"/>
  <c r="S31" i="40"/>
  <c r="T72" i="40"/>
  <c r="T59" i="40"/>
  <c r="T87" i="40"/>
  <c r="S57" i="40"/>
  <c r="T62" i="40"/>
  <c r="S54" i="40"/>
  <c r="T80" i="40"/>
  <c r="S20" i="40"/>
  <c r="S67" i="40"/>
  <c r="S94" i="40"/>
  <c r="S63" i="40"/>
  <c r="T86" i="40"/>
  <c r="S64" i="40"/>
  <c r="S50" i="40"/>
  <c r="T71" i="40"/>
  <c r="T56" i="40"/>
  <c r="S23" i="40"/>
  <c r="S22" i="40"/>
  <c r="T30" i="40"/>
  <c r="S65" i="40"/>
  <c r="T91" i="40"/>
  <c r="T83" i="40"/>
  <c r="T79" i="40"/>
  <c r="T78" i="40"/>
  <c r="T46" i="40"/>
  <c r="S44" i="40"/>
  <c r="S19" i="40"/>
  <c r="U19" i="40" s="1"/>
  <c r="T40" i="40"/>
  <c r="T34" i="40"/>
  <c r="S48" i="40"/>
  <c r="T36" i="40"/>
  <c r="T27" i="40"/>
  <c r="S96" i="40"/>
  <c r="T97" i="40"/>
  <c r="S72" i="40"/>
  <c r="S59" i="40"/>
  <c r="S87" i="40"/>
  <c r="T57" i="40"/>
  <c r="T47" i="40"/>
  <c r="T43" i="40"/>
  <c r="S92" i="40"/>
  <c r="S76" i="32"/>
  <c r="T68" i="32"/>
  <c r="G93" i="40"/>
  <c r="G54" i="40"/>
  <c r="H27" i="40"/>
  <c r="G74" i="40"/>
  <c r="H54" i="40"/>
  <c r="G95" i="40"/>
  <c r="H45" i="40"/>
  <c r="G37" i="40"/>
  <c r="G36" i="40"/>
  <c r="H86" i="40"/>
  <c r="H30" i="40"/>
  <c r="H36" i="40"/>
  <c r="H93" i="40"/>
  <c r="H95" i="40"/>
  <c r="G29" i="40"/>
  <c r="H70" i="40"/>
  <c r="G70" i="40"/>
  <c r="G30" i="40"/>
  <c r="H64" i="40"/>
  <c r="H37" i="40"/>
  <c r="G86" i="40"/>
  <c r="H85" i="40"/>
  <c r="H60" i="40"/>
  <c r="G27" i="40"/>
  <c r="G56" i="40"/>
  <c r="H35" i="40"/>
  <c r="H74" i="40"/>
  <c r="H55" i="40"/>
  <c r="H58" i="40"/>
  <c r="H57" i="40"/>
  <c r="H65" i="40"/>
  <c r="G19" i="40"/>
  <c r="I19" i="40" s="1"/>
  <c r="G99" i="40"/>
  <c r="G77" i="40"/>
  <c r="G66" i="40"/>
  <c r="G92" i="40"/>
  <c r="G61" i="40"/>
  <c r="G57" i="40"/>
  <c r="G83" i="40"/>
  <c r="H97" i="40"/>
  <c r="H79" i="40"/>
  <c r="H92" i="40"/>
  <c r="H43" i="40"/>
  <c r="G98" i="40"/>
  <c r="H34" i="40"/>
  <c r="H19" i="40"/>
  <c r="J19" i="40" s="1"/>
  <c r="K19" i="40" s="1"/>
  <c r="K17" i="17" s="1"/>
  <c r="G96" i="40"/>
  <c r="G45" i="40"/>
  <c r="G23" i="40"/>
  <c r="G85" i="40"/>
  <c r="H56" i="40"/>
  <c r="G41" i="40"/>
  <c r="H26" i="40"/>
  <c r="G40" i="40"/>
  <c r="G81" i="40"/>
  <c r="G64" i="40"/>
  <c r="H66" i="40"/>
  <c r="H81" i="40"/>
  <c r="H33" i="40"/>
  <c r="H29" i="40"/>
  <c r="G58" i="40"/>
  <c r="H72" i="40"/>
  <c r="G33" i="40"/>
  <c r="H41" i="40"/>
  <c r="H94" i="40"/>
  <c r="G82" i="40"/>
  <c r="H99" i="40"/>
  <c r="G60" i="40"/>
  <c r="G72" i="40"/>
  <c r="G34" i="40"/>
  <c r="H48" i="40"/>
  <c r="H87" i="40"/>
  <c r="H83" i="40"/>
  <c r="G32" i="40"/>
  <c r="G55" i="40"/>
  <c r="G65" i="40"/>
  <c r="G35" i="40"/>
  <c r="H96" i="40"/>
  <c r="G28" i="40"/>
  <c r="H78" i="40"/>
  <c r="G47" i="40"/>
  <c r="H23" i="40"/>
  <c r="G90" i="40"/>
  <c r="H40" i="40"/>
  <c r="G97" i="40"/>
  <c r="G49" i="40"/>
  <c r="G21" i="40"/>
  <c r="H75" i="40"/>
  <c r="H91" i="40"/>
  <c r="H69" i="40"/>
  <c r="H61" i="40"/>
  <c r="G20" i="40"/>
  <c r="G94" i="40"/>
  <c r="H84" i="40"/>
  <c r="H76" i="40"/>
  <c r="G63" i="40"/>
  <c r="G38" i="40"/>
  <c r="G80" i="40"/>
  <c r="H88" i="40"/>
  <c r="H62" i="40"/>
  <c r="H20" i="40"/>
  <c r="G89" i="40"/>
  <c r="H32" i="40"/>
  <c r="H68" i="40"/>
  <c r="G71" i="40"/>
  <c r="G46" i="40"/>
  <c r="G59" i="40"/>
  <c r="H50" i="40"/>
  <c r="G31" i="40"/>
  <c r="H28" i="40"/>
  <c r="G78" i="40"/>
  <c r="H47" i="40"/>
  <c r="G87" i="40"/>
  <c r="G79" i="40"/>
  <c r="H53" i="40"/>
  <c r="H21" i="40"/>
  <c r="G69" i="40"/>
  <c r="G68" i="40"/>
  <c r="H63" i="40"/>
  <c r="H44" i="40"/>
  <c r="G51" i="40"/>
  <c r="G39" i="40"/>
  <c r="G73" i="40"/>
  <c r="H52" i="40"/>
  <c r="H31" i="40"/>
  <c r="H82" i="40"/>
  <c r="H49" i="40"/>
  <c r="H89" i="40"/>
  <c r="G24" i="40"/>
  <c r="G48" i="40"/>
  <c r="H90" i="40"/>
  <c r="G43" i="40"/>
  <c r="H98" i="40"/>
  <c r="H77" i="40"/>
  <c r="G84" i="40"/>
  <c r="H71" i="40"/>
  <c r="G67" i="40"/>
  <c r="H46" i="40"/>
  <c r="H38" i="40"/>
  <c r="H80" i="40"/>
  <c r="H25" i="40"/>
  <c r="G22" i="40"/>
  <c r="H59" i="40"/>
  <c r="G88" i="40"/>
  <c r="G62" i="40"/>
  <c r="G44" i="40"/>
  <c r="H51" i="40"/>
  <c r="H39" i="40"/>
  <c r="H73" i="40"/>
  <c r="G52" i="40"/>
  <c r="G53" i="40"/>
  <c r="H24" i="40"/>
  <c r="H67" i="40"/>
  <c r="H42" i="40"/>
  <c r="G25" i="40"/>
  <c r="H22" i="40"/>
  <c r="G26" i="40"/>
  <c r="G75" i="40"/>
  <c r="G91" i="40"/>
  <c r="G76" i="40"/>
  <c r="G42" i="40"/>
  <c r="G50" i="40"/>
  <c r="C42" i="38"/>
  <c r="T81" i="40"/>
  <c r="S81" i="40"/>
  <c r="T53" i="40"/>
  <c r="S26" i="40"/>
  <c r="S73" i="40"/>
  <c r="S52" i="40"/>
  <c r="S32" i="40"/>
  <c r="T21" i="40"/>
  <c r="T68" i="40"/>
  <c r="S49" i="40"/>
  <c r="T90" i="40"/>
  <c r="T77" i="40"/>
  <c r="S85" i="40"/>
  <c r="T26" i="40"/>
  <c r="S77" i="40"/>
  <c r="S21" i="40"/>
  <c r="S68" i="40"/>
  <c r="S41" i="40"/>
  <c r="T49" i="40"/>
  <c r="S90" i="40"/>
  <c r="T52" i="40"/>
  <c r="T32" i="40"/>
  <c r="T45" i="40"/>
  <c r="T85" i="40"/>
  <c r="T41" i="40"/>
  <c r="T58" i="40"/>
  <c r="S45" i="40"/>
  <c r="S53" i="40"/>
  <c r="T73" i="40"/>
  <c r="S58" i="40"/>
  <c r="T62" i="32"/>
  <c r="S62" i="32"/>
  <c r="T88" i="32"/>
  <c r="S88" i="32"/>
  <c r="T55" i="32"/>
  <c r="S55" i="32"/>
  <c r="S53" i="32"/>
  <c r="T53" i="32"/>
  <c r="S87" i="32"/>
  <c r="T87" i="32"/>
  <c r="S59" i="32"/>
  <c r="T59" i="32"/>
  <c r="T66" i="32"/>
  <c r="S66" i="32"/>
  <c r="S57" i="32"/>
  <c r="T57" i="32"/>
  <c r="T71" i="32"/>
  <c r="S71" i="32"/>
  <c r="S58" i="32"/>
  <c r="T58" i="32"/>
  <c r="S83" i="32"/>
  <c r="T83" i="32"/>
  <c r="T94" i="32"/>
  <c r="S94" i="32"/>
  <c r="T60" i="32"/>
  <c r="S60" i="32"/>
  <c r="S89" i="32"/>
  <c r="T89" i="32"/>
  <c r="C74" i="38"/>
  <c r="C71" i="38"/>
  <c r="C82" i="38"/>
  <c r="S52" i="32"/>
  <c r="T52" i="32"/>
  <c r="S44" i="32"/>
  <c r="T44" i="32"/>
  <c r="S97" i="32"/>
  <c r="T97" i="32"/>
  <c r="S43" i="32"/>
  <c r="T43" i="32"/>
  <c r="T51" i="32"/>
  <c r="S51" i="32"/>
  <c r="S40" i="32"/>
  <c r="T40" i="32"/>
  <c r="S77" i="32"/>
  <c r="T77" i="32"/>
  <c r="T73" i="32"/>
  <c r="S73" i="32"/>
  <c r="S65" i="32"/>
  <c r="T65" i="32"/>
  <c r="S89" i="40"/>
  <c r="T61" i="40"/>
  <c r="T88" i="40"/>
  <c r="T84" i="40"/>
  <c r="T25" i="40"/>
  <c r="T28" i="40"/>
  <c r="T31" i="40"/>
  <c r="S39" i="40"/>
  <c r="T75" i="40"/>
  <c r="S62" i="40"/>
  <c r="T20" i="40"/>
  <c r="S66" i="40"/>
  <c r="T60" i="40"/>
  <c r="S51" i="40"/>
  <c r="T76" i="40"/>
  <c r="U20" i="36"/>
  <c r="T23" i="40"/>
  <c r="S30" i="40"/>
  <c r="T65" i="40"/>
  <c r="S91" i="40"/>
  <c r="S83" i="40"/>
  <c r="S78" i="40"/>
  <c r="S74" i="40"/>
  <c r="S70" i="40"/>
  <c r="S33" i="40"/>
  <c r="T67" i="40"/>
  <c r="T94" i="40"/>
  <c r="T63" i="40"/>
  <c r="S86" i="40"/>
  <c r="T64" i="40"/>
  <c r="T50" i="40"/>
  <c r="S71" i="40"/>
  <c r="S56" i="40"/>
  <c r="S99" i="40"/>
  <c r="S95" i="40"/>
  <c r="T93" i="40"/>
  <c r="T98" i="40"/>
  <c r="T89" i="40"/>
  <c r="S69" i="40"/>
  <c r="S61" i="40"/>
  <c r="T29" i="40"/>
  <c r="T44" i="40"/>
  <c r="T19" i="40"/>
  <c r="V19" i="40" s="1"/>
  <c r="W19" i="40" s="1"/>
  <c r="AB17" i="17" s="1"/>
  <c r="S40" i="40"/>
  <c r="S34" i="40"/>
  <c r="T48" i="40"/>
  <c r="S36" i="40"/>
  <c r="S27" i="40"/>
  <c r="T96" i="40"/>
  <c r="S97" i="40"/>
  <c r="T39" i="40"/>
  <c r="T35" i="40"/>
  <c r="S75" i="40"/>
  <c r="S55" i="40"/>
  <c r="S47" i="40"/>
  <c r="S43" i="40"/>
  <c r="T92" i="40"/>
  <c r="S24" i="40"/>
  <c r="S63" i="32"/>
  <c r="I22" i="36" l="1"/>
  <c r="J23" i="36" s="1"/>
  <c r="K23" i="36" s="1"/>
  <c r="I21" i="17" s="1"/>
  <c r="J21" i="36"/>
  <c r="K21" i="36" s="1"/>
  <c r="I19" i="17" s="1"/>
  <c r="I20" i="40"/>
  <c r="I21" i="40" s="1"/>
  <c r="J22" i="40" s="1"/>
  <c r="K22" i="40" s="1"/>
  <c r="K20" i="17" s="1"/>
  <c r="B24" i="35"/>
  <c r="B24" i="32"/>
  <c r="O24" i="31"/>
  <c r="B24" i="36"/>
  <c r="B24" i="40"/>
  <c r="B24" i="18"/>
  <c r="O24" i="37"/>
  <c r="O24" i="35"/>
  <c r="O24" i="40"/>
  <c r="B24" i="31"/>
  <c r="O24" i="36"/>
  <c r="O24" i="34"/>
  <c r="B24" i="37"/>
  <c r="O24" i="18"/>
  <c r="B24" i="33"/>
  <c r="O24" i="32"/>
  <c r="B24" i="34"/>
  <c r="O24" i="33"/>
  <c r="B20" i="7"/>
  <c r="J22" i="36"/>
  <c r="K22" i="36" s="1"/>
  <c r="I20" i="17" s="1"/>
  <c r="J20" i="40"/>
  <c r="K20" i="40" s="1"/>
  <c r="K18" i="17" s="1"/>
  <c r="U20" i="40"/>
  <c r="V21" i="40" s="1"/>
  <c r="W21" i="40" s="1"/>
  <c r="AB19" i="17" s="1"/>
  <c r="U21" i="36"/>
  <c r="V21" i="36"/>
  <c r="W21" i="36" s="1"/>
  <c r="Z19" i="17" s="1"/>
  <c r="V20" i="40"/>
  <c r="W20" i="40" s="1"/>
  <c r="AB18" i="17" s="1"/>
  <c r="I23" i="36" l="1"/>
  <c r="J24" i="36" s="1"/>
  <c r="K24" i="36" s="1"/>
  <c r="I22" i="17" s="1"/>
  <c r="J21" i="40"/>
  <c r="K21" i="40" s="1"/>
  <c r="K19" i="17" s="1"/>
  <c r="B25" i="33"/>
  <c r="B25" i="40"/>
  <c r="O25" i="32"/>
  <c r="B21" i="7"/>
  <c r="B25" i="31"/>
  <c r="B25" i="32"/>
  <c r="B25" i="37"/>
  <c r="O25" i="37"/>
  <c r="O25" i="34"/>
  <c r="B25" i="34"/>
  <c r="B25" i="35"/>
  <c r="O25" i="33"/>
  <c r="O25" i="31"/>
  <c r="O25" i="35"/>
  <c r="B25" i="36"/>
  <c r="O25" i="40"/>
  <c r="O25" i="18"/>
  <c r="O25" i="36"/>
  <c r="B25" i="18"/>
  <c r="U21" i="40"/>
  <c r="V22" i="40" s="1"/>
  <c r="W22" i="40" s="1"/>
  <c r="AB20" i="17" s="1"/>
  <c r="V22" i="36"/>
  <c r="W22" i="36" s="1"/>
  <c r="Z20" i="17" s="1"/>
  <c r="U22" i="36"/>
  <c r="I22" i="40"/>
  <c r="I24" i="36" l="1"/>
  <c r="J25" i="36" s="1"/>
  <c r="K25" i="36" s="1"/>
  <c r="I23" i="17" s="1"/>
  <c r="O26" i="40"/>
  <c r="O26" i="33"/>
  <c r="B26" i="31"/>
  <c r="O26" i="18"/>
  <c r="B26" i="18"/>
  <c r="B26" i="34"/>
  <c r="B26" i="32"/>
  <c r="B22" i="7"/>
  <c r="B26" i="36"/>
  <c r="O26" i="37"/>
  <c r="O26" i="34"/>
  <c r="O26" i="35"/>
  <c r="O26" i="31"/>
  <c r="O26" i="36"/>
  <c r="B26" i="37"/>
  <c r="B26" i="33"/>
  <c r="O26" i="32"/>
  <c r="B26" i="40"/>
  <c r="B26" i="35"/>
  <c r="U22" i="40"/>
  <c r="U23" i="40" s="1"/>
  <c r="U23" i="36"/>
  <c r="V23" i="36"/>
  <c r="W23" i="36" s="1"/>
  <c r="Z21" i="17" s="1"/>
  <c r="I23" i="40"/>
  <c r="J23" i="40"/>
  <c r="K23" i="40" s="1"/>
  <c r="K21" i="17" s="1"/>
  <c r="I25" i="36" l="1"/>
  <c r="J26" i="36" s="1"/>
  <c r="K26" i="36" s="1"/>
  <c r="I24" i="17" s="1"/>
  <c r="O27" i="18"/>
  <c r="O27" i="37"/>
  <c r="B27" i="37"/>
  <c r="O27" i="32"/>
  <c r="B27" i="36"/>
  <c r="O27" i="35"/>
  <c r="B27" i="18"/>
  <c r="O27" i="31"/>
  <c r="B27" i="40"/>
  <c r="O27" i="34"/>
  <c r="B27" i="35"/>
  <c r="B27" i="34"/>
  <c r="B27" i="33"/>
  <c r="B27" i="32"/>
  <c r="O27" i="40"/>
  <c r="B23" i="7"/>
  <c r="O27" i="33"/>
  <c r="O27" i="36"/>
  <c r="B27" i="31"/>
  <c r="V23" i="40"/>
  <c r="W23" i="40" s="1"/>
  <c r="AB21" i="17" s="1"/>
  <c r="V24" i="40"/>
  <c r="W24" i="40" s="1"/>
  <c r="AB22" i="17" s="1"/>
  <c r="U24" i="40"/>
  <c r="I24" i="40"/>
  <c r="J24" i="40"/>
  <c r="K24" i="40" s="1"/>
  <c r="K22" i="17" s="1"/>
  <c r="V24" i="36"/>
  <c r="W24" i="36" s="1"/>
  <c r="Z22" i="17" s="1"/>
  <c r="U24" i="36"/>
  <c r="I26" i="36" l="1"/>
  <c r="J27" i="36" s="1"/>
  <c r="K27" i="36" s="1"/>
  <c r="I25" i="17" s="1"/>
  <c r="O28" i="37"/>
  <c r="B28" i="32"/>
  <c r="B28" i="35"/>
  <c r="B28" i="36"/>
  <c r="O28" i="18"/>
  <c r="B28" i="33"/>
  <c r="B28" i="18"/>
  <c r="B28" i="34"/>
  <c r="O28" i="31"/>
  <c r="B24" i="7"/>
  <c r="O28" i="40"/>
  <c r="O28" i="36"/>
  <c r="B28" i="40"/>
  <c r="O28" i="33"/>
  <c r="O28" i="34"/>
  <c r="B28" i="31"/>
  <c r="O28" i="32"/>
  <c r="B28" i="37"/>
  <c r="O28" i="35"/>
  <c r="V25" i="36"/>
  <c r="W25" i="36" s="1"/>
  <c r="Z23" i="17" s="1"/>
  <c r="U25" i="36"/>
  <c r="V25" i="40"/>
  <c r="W25" i="40" s="1"/>
  <c r="AB23" i="17" s="1"/>
  <c r="U25" i="40"/>
  <c r="I25" i="40"/>
  <c r="J25" i="40"/>
  <c r="K25" i="40" s="1"/>
  <c r="K23" i="17" s="1"/>
  <c r="I27" i="36" l="1"/>
  <c r="J28" i="36" s="1"/>
  <c r="K28" i="36" s="1"/>
  <c r="I26" i="17" s="1"/>
  <c r="B25" i="7"/>
  <c r="B29" i="37"/>
  <c r="O29" i="18"/>
  <c r="B29" i="40"/>
  <c r="O29" i="33"/>
  <c r="O29" i="40"/>
  <c r="B29" i="33"/>
  <c r="O29" i="31"/>
  <c r="B29" i="36"/>
  <c r="B29" i="32"/>
  <c r="O29" i="34"/>
  <c r="B29" i="35"/>
  <c r="B29" i="18"/>
  <c r="O29" i="32"/>
  <c r="B29" i="31"/>
  <c r="O29" i="35"/>
  <c r="O29" i="37"/>
  <c r="B29" i="34"/>
  <c r="O29" i="36"/>
  <c r="J26" i="40"/>
  <c r="K26" i="40" s="1"/>
  <c r="K24" i="17" s="1"/>
  <c r="I26" i="40"/>
  <c r="U26" i="40"/>
  <c r="V26" i="40"/>
  <c r="W26" i="40" s="1"/>
  <c r="AB24" i="17" s="1"/>
  <c r="U26" i="36"/>
  <c r="V26" i="36"/>
  <c r="W26" i="36" s="1"/>
  <c r="Z24" i="17" s="1"/>
  <c r="I28" i="36" l="1"/>
  <c r="I29" i="36" s="1"/>
  <c r="I30" i="36" s="1"/>
  <c r="B30" i="35"/>
  <c r="O30" i="40"/>
  <c r="B30" i="33"/>
  <c r="B30" i="34"/>
  <c r="O30" i="31"/>
  <c r="O30" i="36"/>
  <c r="B26" i="7"/>
  <c r="B30" i="18"/>
  <c r="O30" i="18"/>
  <c r="B30" i="40"/>
  <c r="O30" i="33"/>
  <c r="O30" i="32"/>
  <c r="B30" i="37"/>
  <c r="B30" i="32"/>
  <c r="O30" i="35"/>
  <c r="B30" i="31"/>
  <c r="O30" i="37"/>
  <c r="O30" i="34"/>
  <c r="B30" i="36"/>
  <c r="U27" i="36"/>
  <c r="V27" i="36"/>
  <c r="W27" i="36" s="1"/>
  <c r="Z25" i="17" s="1"/>
  <c r="J27" i="40"/>
  <c r="K27" i="40" s="1"/>
  <c r="K25" i="17" s="1"/>
  <c r="I27" i="40"/>
  <c r="U27" i="40"/>
  <c r="V27" i="40"/>
  <c r="W27" i="40" s="1"/>
  <c r="AB25" i="17" s="1"/>
  <c r="J29" i="36" l="1"/>
  <c r="K29" i="36" s="1"/>
  <c r="I27" i="17" s="1"/>
  <c r="J30" i="36"/>
  <c r="K30" i="36" s="1"/>
  <c r="I28" i="17" s="1"/>
  <c r="O31" i="40"/>
  <c r="B31" i="31"/>
  <c r="O31" i="36"/>
  <c r="O31" i="31"/>
  <c r="O31" i="34"/>
  <c r="O31" i="37"/>
  <c r="B31" i="32"/>
  <c r="O31" i="33"/>
  <c r="B27" i="7"/>
  <c r="B31" i="40"/>
  <c r="O31" i="35"/>
  <c r="B31" i="18"/>
  <c r="O31" i="32"/>
  <c r="B31" i="34"/>
  <c r="B31" i="36"/>
  <c r="B31" i="35"/>
  <c r="B31" i="37"/>
  <c r="O31" i="18"/>
  <c r="B31" i="33"/>
  <c r="U28" i="40"/>
  <c r="V28" i="40"/>
  <c r="W28" i="40" s="1"/>
  <c r="AB26" i="17" s="1"/>
  <c r="U28" i="36"/>
  <c r="V28" i="36"/>
  <c r="W28" i="36" s="1"/>
  <c r="Z26" i="17" s="1"/>
  <c r="I28" i="40"/>
  <c r="J28" i="40"/>
  <c r="K28" i="40" s="1"/>
  <c r="K26" i="17" s="1"/>
  <c r="J31" i="36"/>
  <c r="K31" i="36" s="1"/>
  <c r="I29" i="17" s="1"/>
  <c r="I31" i="36"/>
  <c r="B32" i="40" l="1"/>
  <c r="O32" i="18"/>
  <c r="B32" i="31"/>
  <c r="O32" i="37"/>
  <c r="B32" i="34"/>
  <c r="O32" i="35"/>
  <c r="B32" i="36"/>
  <c r="B32" i="32"/>
  <c r="B32" i="18"/>
  <c r="O32" i="33"/>
  <c r="B32" i="37"/>
  <c r="B28" i="7"/>
  <c r="O32" i="36"/>
  <c r="B32" i="35"/>
  <c r="O32" i="40"/>
  <c r="O32" i="32"/>
  <c r="B32" i="33"/>
  <c r="O32" i="34"/>
  <c r="O32" i="31"/>
  <c r="I29" i="40"/>
  <c r="J29" i="40"/>
  <c r="K29" i="40" s="1"/>
  <c r="K27" i="17" s="1"/>
  <c r="U29" i="36"/>
  <c r="V29" i="36"/>
  <c r="W29" i="36" s="1"/>
  <c r="Z27" i="17" s="1"/>
  <c r="V29" i="40"/>
  <c r="W29" i="40" s="1"/>
  <c r="AB27" i="17" s="1"/>
  <c r="U29" i="40"/>
  <c r="J32" i="36"/>
  <c r="K32" i="36" s="1"/>
  <c r="I30" i="17" s="1"/>
  <c r="I32" i="36"/>
  <c r="O33" i="18" l="1"/>
  <c r="B29" i="7"/>
  <c r="B33" i="35"/>
  <c r="O33" i="32"/>
  <c r="B33" i="36"/>
  <c r="B33" i="18"/>
  <c r="O33" i="34"/>
  <c r="O33" i="33"/>
  <c r="O33" i="31"/>
  <c r="O33" i="35"/>
  <c r="B33" i="31"/>
  <c r="B33" i="34"/>
  <c r="O33" i="37"/>
  <c r="B33" i="37"/>
  <c r="B33" i="33"/>
  <c r="O33" i="40"/>
  <c r="B33" i="32"/>
  <c r="O33" i="36"/>
  <c r="B33" i="40"/>
  <c r="J30" i="40"/>
  <c r="K30" i="40" s="1"/>
  <c r="K28" i="17" s="1"/>
  <c r="I30" i="40"/>
  <c r="U30" i="40"/>
  <c r="V30" i="40"/>
  <c r="W30" i="40" s="1"/>
  <c r="AB28" i="17" s="1"/>
  <c r="U30" i="36"/>
  <c r="V30" i="36"/>
  <c r="W30" i="36" s="1"/>
  <c r="Z28" i="17" s="1"/>
  <c r="J33" i="36"/>
  <c r="K33" i="36" s="1"/>
  <c r="I31" i="17" s="1"/>
  <c r="I33" i="36"/>
  <c r="O34" i="40" l="1"/>
  <c r="B34" i="34"/>
  <c r="O34" i="37"/>
  <c r="B34" i="31"/>
  <c r="B34" i="18"/>
  <c r="O34" i="36"/>
  <c r="O34" i="33"/>
  <c r="B34" i="32"/>
  <c r="B30" i="7"/>
  <c r="B34" i="37"/>
  <c r="O34" i="18"/>
  <c r="B34" i="35"/>
  <c r="O34" i="34"/>
  <c r="B34" i="36"/>
  <c r="O34" i="31"/>
  <c r="O34" i="32"/>
  <c r="B34" i="40"/>
  <c r="B34" i="33"/>
  <c r="O34" i="35"/>
  <c r="V31" i="36"/>
  <c r="W31" i="36" s="1"/>
  <c r="Z29" i="17" s="1"/>
  <c r="U31" i="36"/>
  <c r="V31" i="40"/>
  <c r="W31" i="40" s="1"/>
  <c r="AB29" i="17" s="1"/>
  <c r="U31" i="40"/>
  <c r="I31" i="40"/>
  <c r="J31" i="40"/>
  <c r="K31" i="40" s="1"/>
  <c r="K29" i="17" s="1"/>
  <c r="J34" i="36"/>
  <c r="K34" i="36" s="1"/>
  <c r="I32" i="17" s="1"/>
  <c r="I34" i="36"/>
  <c r="B35" i="40" l="1"/>
  <c r="O35" i="34"/>
  <c r="O35" i="31"/>
  <c r="B35" i="34"/>
  <c r="B35" i="36"/>
  <c r="O35" i="33"/>
  <c r="O35" i="32"/>
  <c r="O35" i="36"/>
  <c r="O35" i="18"/>
  <c r="B35" i="18"/>
  <c r="B35" i="31"/>
  <c r="B31" i="7"/>
  <c r="B35" i="33"/>
  <c r="O35" i="40"/>
  <c r="O35" i="35"/>
  <c r="B35" i="35"/>
  <c r="B35" i="37"/>
  <c r="B35" i="32"/>
  <c r="O35" i="37"/>
  <c r="J32" i="40"/>
  <c r="K32" i="40" s="1"/>
  <c r="K30" i="17" s="1"/>
  <c r="I32" i="40"/>
  <c r="V32" i="40"/>
  <c r="W32" i="40" s="1"/>
  <c r="AB30" i="17" s="1"/>
  <c r="U32" i="40"/>
  <c r="U32" i="36"/>
  <c r="V32" i="36"/>
  <c r="W32" i="36" s="1"/>
  <c r="Z30" i="17" s="1"/>
  <c r="J35" i="36"/>
  <c r="K35" i="36" s="1"/>
  <c r="I33" i="17" s="1"/>
  <c r="I35" i="36"/>
  <c r="O36" i="37" l="1"/>
  <c r="B36" i="33"/>
  <c r="B36" i="32"/>
  <c r="O36" i="18"/>
  <c r="O36" i="40"/>
  <c r="O36" i="36"/>
  <c r="O36" i="31"/>
  <c r="O36" i="34"/>
  <c r="B36" i="40"/>
  <c r="B36" i="31"/>
  <c r="B36" i="36"/>
  <c r="B36" i="18"/>
  <c r="B36" i="35"/>
  <c r="B32" i="7"/>
  <c r="O36" i="32"/>
  <c r="O36" i="33"/>
  <c r="B36" i="37"/>
  <c r="B36" i="34"/>
  <c r="O36" i="35"/>
  <c r="U33" i="36"/>
  <c r="V33" i="36"/>
  <c r="W33" i="36" s="1"/>
  <c r="Z31" i="17" s="1"/>
  <c r="V33" i="40"/>
  <c r="W33" i="40" s="1"/>
  <c r="AB31" i="17" s="1"/>
  <c r="U33" i="40"/>
  <c r="J33" i="40"/>
  <c r="K33" i="40" s="1"/>
  <c r="K31" i="17" s="1"/>
  <c r="I33" i="40"/>
  <c r="J36" i="36"/>
  <c r="K36" i="36" s="1"/>
  <c r="I34" i="17" s="1"/>
  <c r="I36" i="36"/>
  <c r="B37" i="37" l="1"/>
  <c r="B37" i="40"/>
  <c r="B37" i="35"/>
  <c r="O37" i="31"/>
  <c r="O37" i="33"/>
  <c r="B37" i="32"/>
  <c r="B37" i="34"/>
  <c r="O37" i="18"/>
  <c r="B33" i="7"/>
  <c r="B37" i="31"/>
  <c r="B37" i="33"/>
  <c r="O37" i="34"/>
  <c r="B37" i="18"/>
  <c r="O37" i="35"/>
  <c r="B37" i="36"/>
  <c r="O37" i="37"/>
  <c r="O37" i="32"/>
  <c r="O37" i="40"/>
  <c r="O37" i="36"/>
  <c r="J34" i="40"/>
  <c r="K34" i="40" s="1"/>
  <c r="K32" i="17" s="1"/>
  <c r="I34" i="40"/>
  <c r="U34" i="40"/>
  <c r="V34" i="40"/>
  <c r="W34" i="40" s="1"/>
  <c r="AB32" i="17" s="1"/>
  <c r="V34" i="36"/>
  <c r="W34" i="36" s="1"/>
  <c r="Z32" i="17" s="1"/>
  <c r="U34" i="36"/>
  <c r="J37" i="36"/>
  <c r="K37" i="36" s="1"/>
  <c r="I35" i="17" s="1"/>
  <c r="I37" i="36"/>
  <c r="O38" i="33" l="1"/>
  <c r="O38" i="34"/>
  <c r="B38" i="32"/>
  <c r="B38" i="33"/>
  <c r="O38" i="32"/>
  <c r="O38" i="37"/>
  <c r="B38" i="37"/>
  <c r="B38" i="18"/>
  <c r="B38" i="36"/>
  <c r="B38" i="34"/>
  <c r="O38" i="36"/>
  <c r="O38" i="40"/>
  <c r="B38" i="40"/>
  <c r="O38" i="18"/>
  <c r="B34" i="7"/>
  <c r="O38" i="31"/>
  <c r="O38" i="35"/>
  <c r="B38" i="31"/>
  <c r="B38" i="35"/>
  <c r="U35" i="40"/>
  <c r="V35" i="40"/>
  <c r="W35" i="40" s="1"/>
  <c r="AB33" i="17" s="1"/>
  <c r="I35" i="40"/>
  <c r="J35" i="40"/>
  <c r="K35" i="40" s="1"/>
  <c r="K33" i="17" s="1"/>
  <c r="U35" i="36"/>
  <c r="V35" i="36"/>
  <c r="W35" i="36" s="1"/>
  <c r="Z33" i="17" s="1"/>
  <c r="J38" i="36"/>
  <c r="K38" i="36" s="1"/>
  <c r="I36" i="17" s="1"/>
  <c r="I38" i="36"/>
  <c r="O39" i="18" l="1"/>
  <c r="B39" i="34"/>
  <c r="B39" i="35"/>
  <c r="B39" i="36"/>
  <c r="O39" i="34"/>
  <c r="B39" i="31"/>
  <c r="O39" i="35"/>
  <c r="B35" i="7"/>
  <c r="B39" i="18"/>
  <c r="O39" i="31"/>
  <c r="B39" i="37"/>
  <c r="B39" i="40"/>
  <c r="O39" i="33"/>
  <c r="B39" i="32"/>
  <c r="B39" i="33"/>
  <c r="O39" i="37"/>
  <c r="O39" i="40"/>
  <c r="O39" i="36"/>
  <c r="O39" i="32"/>
  <c r="J36" i="40"/>
  <c r="K36" i="40" s="1"/>
  <c r="K34" i="17" s="1"/>
  <c r="I36" i="40"/>
  <c r="U36" i="40"/>
  <c r="V36" i="40"/>
  <c r="W36" i="40" s="1"/>
  <c r="AB34" i="17" s="1"/>
  <c r="V36" i="36"/>
  <c r="W36" i="36" s="1"/>
  <c r="Z34" i="17" s="1"/>
  <c r="U36" i="36"/>
  <c r="J39" i="36"/>
  <c r="K39" i="36" s="1"/>
  <c r="I37" i="17" s="1"/>
  <c r="I39" i="36"/>
  <c r="O40" i="35" l="1"/>
  <c r="B40" i="34"/>
  <c r="O40" i="36"/>
  <c r="B40" i="33"/>
  <c r="B40" i="32"/>
  <c r="O40" i="37"/>
  <c r="O40" i="32"/>
  <c r="O40" i="18"/>
  <c r="O40" i="34"/>
  <c r="B40" i="36"/>
  <c r="O40" i="31"/>
  <c r="B40" i="37"/>
  <c r="B40" i="35"/>
  <c r="O40" i="40"/>
  <c r="B40" i="40"/>
  <c r="B36" i="7"/>
  <c r="B40" i="31"/>
  <c r="O40" i="33"/>
  <c r="B40" i="18"/>
  <c r="I37" i="40"/>
  <c r="J37" i="40"/>
  <c r="K37" i="40" s="1"/>
  <c r="K35" i="17" s="1"/>
  <c r="U37" i="40"/>
  <c r="V37" i="40"/>
  <c r="W37" i="40" s="1"/>
  <c r="AB35" i="17" s="1"/>
  <c r="V37" i="36"/>
  <c r="W37" i="36" s="1"/>
  <c r="Z35" i="17" s="1"/>
  <c r="U37" i="36"/>
  <c r="I40" i="36"/>
  <c r="J40" i="36"/>
  <c r="K40" i="36" s="1"/>
  <c r="I38" i="17" s="1"/>
  <c r="O41" i="31" l="1"/>
  <c r="B41" i="40"/>
  <c r="B41" i="36"/>
  <c r="O41" i="40"/>
  <c r="O41" i="37"/>
  <c r="B41" i="37"/>
  <c r="B41" i="32"/>
  <c r="O41" i="35"/>
  <c r="B41" i="31"/>
  <c r="B41" i="18"/>
  <c r="O41" i="34"/>
  <c r="O41" i="32"/>
  <c r="O41" i="33"/>
  <c r="B41" i="34"/>
  <c r="B41" i="33"/>
  <c r="B37" i="7"/>
  <c r="O41" i="36"/>
  <c r="O41" i="18"/>
  <c r="B41" i="35"/>
  <c r="V38" i="40"/>
  <c r="W38" i="40" s="1"/>
  <c r="AB36" i="17" s="1"/>
  <c r="U38" i="40"/>
  <c r="I38" i="40"/>
  <c r="J38" i="40"/>
  <c r="K38" i="40" s="1"/>
  <c r="K36" i="17" s="1"/>
  <c r="U38" i="36"/>
  <c r="V38" i="36"/>
  <c r="W38" i="36" s="1"/>
  <c r="Z36" i="17" s="1"/>
  <c r="J41" i="36"/>
  <c r="K41" i="36" s="1"/>
  <c r="I39" i="17" s="1"/>
  <c r="I41" i="36"/>
  <c r="B42" i="18" l="1"/>
  <c r="O42" i="35"/>
  <c r="O42" i="37"/>
  <c r="B42" i="34"/>
  <c r="O42" i="18"/>
  <c r="O42" i="40"/>
  <c r="B42" i="32"/>
  <c r="B42" i="31"/>
  <c r="O42" i="31"/>
  <c r="O42" i="34"/>
  <c r="B42" i="40"/>
  <c r="B38" i="7"/>
  <c r="B42" i="33"/>
  <c r="B42" i="35"/>
  <c r="B42" i="36"/>
  <c r="O42" i="32"/>
  <c r="O42" i="36"/>
  <c r="O42" i="33"/>
  <c r="B42" i="37"/>
  <c r="I39" i="40"/>
  <c r="J39" i="40"/>
  <c r="K39" i="40" s="1"/>
  <c r="K37" i="17" s="1"/>
  <c r="V39" i="36"/>
  <c r="W39" i="36" s="1"/>
  <c r="Z37" i="17" s="1"/>
  <c r="U39" i="36"/>
  <c r="V39" i="40"/>
  <c r="W39" i="40" s="1"/>
  <c r="AB37" i="17" s="1"/>
  <c r="U39" i="40"/>
  <c r="J42" i="36"/>
  <c r="K42" i="36" s="1"/>
  <c r="I40" i="17" s="1"/>
  <c r="I42" i="36"/>
  <c r="B43" i="35" l="1"/>
  <c r="O43" i="31"/>
  <c r="O43" i="37"/>
  <c r="O43" i="32"/>
  <c r="O43" i="34"/>
  <c r="O43" i="40"/>
  <c r="B39" i="7"/>
  <c r="O43" i="33"/>
  <c r="O43" i="35"/>
  <c r="B43" i="36"/>
  <c r="B43" i="33"/>
  <c r="B43" i="18"/>
  <c r="B43" i="40"/>
  <c r="B43" i="31"/>
  <c r="B43" i="34"/>
  <c r="B43" i="32"/>
  <c r="O43" i="36"/>
  <c r="B43" i="37"/>
  <c r="O43" i="18"/>
  <c r="I40" i="40"/>
  <c r="J40" i="40"/>
  <c r="K40" i="40" s="1"/>
  <c r="K38" i="17" s="1"/>
  <c r="U40" i="40"/>
  <c r="V40" i="40"/>
  <c r="W40" i="40" s="1"/>
  <c r="AB38" i="17" s="1"/>
  <c r="U40" i="36"/>
  <c r="V40" i="36"/>
  <c r="W40" i="36" s="1"/>
  <c r="Z38" i="17" s="1"/>
  <c r="J43" i="36"/>
  <c r="K43" i="36" s="1"/>
  <c r="I41" i="17" s="1"/>
  <c r="I43" i="36"/>
  <c r="B44" i="34" l="1"/>
  <c r="O44" i="40"/>
  <c r="O44" i="33"/>
  <c r="O44" i="35"/>
  <c r="O44" i="32"/>
  <c r="B44" i="31"/>
  <c r="O44" i="31"/>
  <c r="O44" i="34"/>
  <c r="B44" i="33"/>
  <c r="B44" i="32"/>
  <c r="B40" i="7"/>
  <c r="B44" i="18"/>
  <c r="B44" i="37"/>
  <c r="O44" i="36"/>
  <c r="O44" i="18"/>
  <c r="O44" i="37"/>
  <c r="B44" i="36"/>
  <c r="B44" i="40"/>
  <c r="B44" i="35"/>
  <c r="U41" i="36"/>
  <c r="V41" i="36"/>
  <c r="W41" i="36" s="1"/>
  <c r="Z39" i="17" s="1"/>
  <c r="J41" i="40"/>
  <c r="K41" i="40" s="1"/>
  <c r="K39" i="17" s="1"/>
  <c r="I41" i="40"/>
  <c r="U41" i="40"/>
  <c r="V41" i="40"/>
  <c r="W41" i="40" s="1"/>
  <c r="AB39" i="17" s="1"/>
  <c r="J44" i="36"/>
  <c r="K44" i="36" s="1"/>
  <c r="I42" i="17" s="1"/>
  <c r="I44" i="36"/>
  <c r="O45" i="40" l="1"/>
  <c r="O45" i="31"/>
  <c r="O45" i="18"/>
  <c r="O45" i="35"/>
  <c r="B41" i="7"/>
  <c r="B45" i="32"/>
  <c r="O45" i="36"/>
  <c r="B45" i="40"/>
  <c r="O45" i="32"/>
  <c r="B45" i="35"/>
  <c r="B45" i="18"/>
  <c r="O45" i="34"/>
  <c r="B45" i="34"/>
  <c r="B45" i="31"/>
  <c r="B45" i="37"/>
  <c r="O45" i="37"/>
  <c r="B45" i="36"/>
  <c r="B45" i="33"/>
  <c r="O45" i="33"/>
  <c r="U42" i="36"/>
  <c r="V42" i="36"/>
  <c r="W42" i="36" s="1"/>
  <c r="Z40" i="17" s="1"/>
  <c r="V42" i="40"/>
  <c r="W42" i="40" s="1"/>
  <c r="AB40" i="17" s="1"/>
  <c r="U42" i="40"/>
  <c r="I42" i="40"/>
  <c r="J42" i="40"/>
  <c r="K42" i="40" s="1"/>
  <c r="K40" i="17" s="1"/>
  <c r="J45" i="36"/>
  <c r="K45" i="36" s="1"/>
  <c r="I43" i="17" s="1"/>
  <c r="I45" i="36"/>
  <c r="B46" i="35" l="1"/>
  <c r="O46" i="31"/>
  <c r="O46" i="32"/>
  <c r="B46" i="31"/>
  <c r="O46" i="34"/>
  <c r="B46" i="18"/>
  <c r="O46" i="33"/>
  <c r="O46" i="40"/>
  <c r="O46" i="35"/>
  <c r="B46" i="32"/>
  <c r="B42" i="7"/>
  <c r="B46" i="34"/>
  <c r="B46" i="40"/>
  <c r="O46" i="37"/>
  <c r="B46" i="33"/>
  <c r="B46" i="36"/>
  <c r="O46" i="36"/>
  <c r="B46" i="37"/>
  <c r="O46" i="18"/>
  <c r="V43" i="36"/>
  <c r="W43" i="36" s="1"/>
  <c r="Z41" i="17" s="1"/>
  <c r="U43" i="36"/>
  <c r="J43" i="40"/>
  <c r="K43" i="40" s="1"/>
  <c r="K41" i="17" s="1"/>
  <c r="I43" i="40"/>
  <c r="U43" i="40"/>
  <c r="V43" i="40"/>
  <c r="W43" i="40" s="1"/>
  <c r="AB41" i="17" s="1"/>
  <c r="J46" i="36"/>
  <c r="K46" i="36" s="1"/>
  <c r="I44" i="17" s="1"/>
  <c r="I46" i="36"/>
  <c r="B47" i="35" l="1"/>
  <c r="O47" i="18"/>
  <c r="B47" i="32"/>
  <c r="B47" i="18"/>
  <c r="B43" i="7"/>
  <c r="O47" i="33"/>
  <c r="O47" i="34"/>
  <c r="B47" i="36"/>
  <c r="B47" i="40"/>
  <c r="B47" i="31"/>
  <c r="B47" i="37"/>
  <c r="O47" i="31"/>
  <c r="O47" i="36"/>
  <c r="O47" i="35"/>
  <c r="B47" i="34"/>
  <c r="O47" i="32"/>
  <c r="B47" i="33"/>
  <c r="O47" i="37"/>
  <c r="O47" i="40"/>
  <c r="J44" i="40"/>
  <c r="K44" i="40" s="1"/>
  <c r="K42" i="17" s="1"/>
  <c r="I44" i="40"/>
  <c r="V44" i="40"/>
  <c r="W44" i="40" s="1"/>
  <c r="AB42" i="17" s="1"/>
  <c r="U44" i="40"/>
  <c r="V44" i="36"/>
  <c r="W44" i="36" s="1"/>
  <c r="Z42" i="17" s="1"/>
  <c r="U44" i="36"/>
  <c r="J47" i="36"/>
  <c r="K47" i="36" s="1"/>
  <c r="I45" i="17" s="1"/>
  <c r="I47" i="36"/>
  <c r="O48" i="18" l="1"/>
  <c r="B48" i="40"/>
  <c r="O48" i="36"/>
  <c r="B48" i="33"/>
  <c r="O48" i="33"/>
  <c r="B48" i="36"/>
  <c r="O48" i="40"/>
  <c r="B48" i="34"/>
  <c r="B44" i="7"/>
  <c r="O48" i="35"/>
  <c r="O48" i="34"/>
  <c r="B48" i="31"/>
  <c r="B48" i="37"/>
  <c r="O48" i="31"/>
  <c r="O48" i="32"/>
  <c r="B48" i="32"/>
  <c r="B48" i="18"/>
  <c r="O48" i="37"/>
  <c r="B48" i="35"/>
  <c r="V45" i="40"/>
  <c r="W45" i="40" s="1"/>
  <c r="AB43" i="17" s="1"/>
  <c r="U45" i="40"/>
  <c r="U45" i="36"/>
  <c r="V45" i="36"/>
  <c r="W45" i="36" s="1"/>
  <c r="Z43" i="17" s="1"/>
  <c r="I45" i="40"/>
  <c r="J45" i="40"/>
  <c r="K45" i="40" s="1"/>
  <c r="K43" i="17" s="1"/>
  <c r="J48" i="36"/>
  <c r="K48" i="36" s="1"/>
  <c r="I46" i="17" s="1"/>
  <c r="I48" i="36"/>
  <c r="O49" i="31" l="1"/>
  <c r="O49" i="34"/>
  <c r="B49" i="37"/>
  <c r="B45" i="7"/>
  <c r="O49" i="37"/>
  <c r="B49" i="34"/>
  <c r="O49" i="18"/>
  <c r="O49" i="36"/>
  <c r="O49" i="33"/>
  <c r="O49" i="40"/>
  <c r="B49" i="18"/>
  <c r="O49" i="35"/>
  <c r="B49" i="35"/>
  <c r="B49" i="31"/>
  <c r="B49" i="36"/>
  <c r="O49" i="32"/>
  <c r="B49" i="32"/>
  <c r="B49" i="40"/>
  <c r="B49" i="33"/>
  <c r="U46" i="36"/>
  <c r="V46" i="36"/>
  <c r="W46" i="36" s="1"/>
  <c r="Z44" i="17" s="1"/>
  <c r="J46" i="40"/>
  <c r="K46" i="40" s="1"/>
  <c r="K44" i="17" s="1"/>
  <c r="I46" i="40"/>
  <c r="V46" i="40"/>
  <c r="W46" i="40" s="1"/>
  <c r="AB44" i="17" s="1"/>
  <c r="U46" i="40"/>
  <c r="I49" i="36"/>
  <c r="J49" i="36"/>
  <c r="K49" i="36" s="1"/>
  <c r="I47" i="17" s="1"/>
  <c r="B50" i="37" l="1"/>
  <c r="B50" i="18"/>
  <c r="B50" i="33"/>
  <c r="O50" i="36"/>
  <c r="B50" i="36"/>
  <c r="O50" i="32"/>
  <c r="O50" i="37"/>
  <c r="O50" i="40"/>
  <c r="B46" i="7"/>
  <c r="O50" i="33"/>
  <c r="B50" i="35"/>
  <c r="B50" i="34"/>
  <c r="O50" i="18"/>
  <c r="B50" i="31"/>
  <c r="B50" i="40"/>
  <c r="B50" i="32"/>
  <c r="O50" i="34"/>
  <c r="O50" i="31"/>
  <c r="O50" i="35"/>
  <c r="V47" i="36"/>
  <c r="W47" i="36" s="1"/>
  <c r="Z45" i="17" s="1"/>
  <c r="U47" i="36"/>
  <c r="V47" i="40"/>
  <c r="W47" i="40" s="1"/>
  <c r="AB45" i="17" s="1"/>
  <c r="U47" i="40"/>
  <c r="I47" i="40"/>
  <c r="J47" i="40"/>
  <c r="K47" i="40" s="1"/>
  <c r="K45" i="17" s="1"/>
  <c r="J50" i="36"/>
  <c r="K50" i="36" s="1"/>
  <c r="I48" i="17" s="1"/>
  <c r="I50" i="36"/>
  <c r="O51" i="18" l="1"/>
  <c r="O51" i="35"/>
  <c r="O51" i="33"/>
  <c r="O51" i="37"/>
  <c r="O51" i="31"/>
  <c r="B51" i="18"/>
  <c r="B51" i="37"/>
  <c r="B51" i="35"/>
  <c r="B51" i="31"/>
  <c r="B51" i="34"/>
  <c r="B51" i="33"/>
  <c r="B51" i="36"/>
  <c r="B51" i="32"/>
  <c r="O51" i="36"/>
  <c r="B51" i="40"/>
  <c r="O51" i="40"/>
  <c r="O51" i="32"/>
  <c r="O51" i="34"/>
  <c r="B47" i="7"/>
  <c r="J48" i="40"/>
  <c r="K48" i="40" s="1"/>
  <c r="K46" i="17" s="1"/>
  <c r="I48" i="40"/>
  <c r="V48" i="40"/>
  <c r="W48" i="40" s="1"/>
  <c r="AB46" i="17" s="1"/>
  <c r="U48" i="40"/>
  <c r="U48" i="36"/>
  <c r="V48" i="36"/>
  <c r="W48" i="36" s="1"/>
  <c r="Z46" i="17" s="1"/>
  <c r="I51" i="36"/>
  <c r="J51" i="36"/>
  <c r="K51" i="36" s="1"/>
  <c r="I49" i="17" s="1"/>
  <c r="O52" i="32" l="1"/>
  <c r="B52" i="18"/>
  <c r="O52" i="35"/>
  <c r="O52" i="31"/>
  <c r="B52" i="31"/>
  <c r="O52" i="18"/>
  <c r="B52" i="36"/>
  <c r="O52" i="36"/>
  <c r="B52" i="34"/>
  <c r="B48" i="7"/>
  <c r="O52" i="37"/>
  <c r="O52" i="33"/>
  <c r="B52" i="33"/>
  <c r="O52" i="34"/>
  <c r="B52" i="37"/>
  <c r="B52" i="35"/>
  <c r="O52" i="40"/>
  <c r="B52" i="40"/>
  <c r="B52" i="32"/>
  <c r="V49" i="36"/>
  <c r="W49" i="36" s="1"/>
  <c r="Z47" i="17" s="1"/>
  <c r="U49" i="36"/>
  <c r="V49" i="40"/>
  <c r="W49" i="40" s="1"/>
  <c r="AB47" i="17" s="1"/>
  <c r="U49" i="40"/>
  <c r="I49" i="40"/>
  <c r="J49" i="40"/>
  <c r="K49" i="40" s="1"/>
  <c r="K47" i="17" s="1"/>
  <c r="I52" i="36"/>
  <c r="J52" i="36"/>
  <c r="K52" i="36" s="1"/>
  <c r="I50" i="17" s="1"/>
  <c r="O53" i="33" l="1"/>
  <c r="B53" i="35"/>
  <c r="B53" i="33"/>
  <c r="O53" i="34"/>
  <c r="B53" i="36"/>
  <c r="B53" i="32"/>
  <c r="O53" i="18"/>
  <c r="B53" i="40"/>
  <c r="O53" i="36"/>
  <c r="O53" i="35"/>
  <c r="O53" i="32"/>
  <c r="B53" i="37"/>
  <c r="O53" i="31"/>
  <c r="B53" i="18"/>
  <c r="B49" i="7"/>
  <c r="B53" i="31"/>
  <c r="O53" i="40"/>
  <c r="B53" i="34"/>
  <c r="O53" i="37"/>
  <c r="V50" i="40"/>
  <c r="W50" i="40" s="1"/>
  <c r="AB48" i="17" s="1"/>
  <c r="U50" i="40"/>
  <c r="I50" i="40"/>
  <c r="J50" i="40"/>
  <c r="K50" i="40" s="1"/>
  <c r="K48" i="17" s="1"/>
  <c r="V50" i="36"/>
  <c r="W50" i="36" s="1"/>
  <c r="Z48" i="17" s="1"/>
  <c r="U50" i="36"/>
  <c r="J53" i="36"/>
  <c r="K53" i="36" s="1"/>
  <c r="I51" i="17" s="1"/>
  <c r="I53" i="36"/>
  <c r="B54" i="32" l="1"/>
  <c r="O54" i="18"/>
  <c r="B54" i="18"/>
  <c r="B50" i="7"/>
  <c r="B54" i="36"/>
  <c r="B54" i="34"/>
  <c r="O54" i="32"/>
  <c r="O54" i="35"/>
  <c r="B54" i="40"/>
  <c r="O54" i="40"/>
  <c r="B54" i="33"/>
  <c r="O54" i="34"/>
  <c r="B54" i="35"/>
  <c r="O54" i="37"/>
  <c r="B54" i="37"/>
  <c r="B54" i="31"/>
  <c r="O54" i="36"/>
  <c r="O54" i="31"/>
  <c r="O54" i="33"/>
  <c r="J51" i="40"/>
  <c r="K51" i="40" s="1"/>
  <c r="K49" i="17" s="1"/>
  <c r="I51" i="40"/>
  <c r="V51" i="36"/>
  <c r="W51" i="36" s="1"/>
  <c r="Z49" i="17" s="1"/>
  <c r="U51" i="36"/>
  <c r="V51" i="40"/>
  <c r="W51" i="40" s="1"/>
  <c r="AB49" i="17" s="1"/>
  <c r="U51" i="40"/>
  <c r="J54" i="36"/>
  <c r="K54" i="36" s="1"/>
  <c r="I52" i="17" s="1"/>
  <c r="I54" i="36"/>
  <c r="B55" i="31" l="1"/>
  <c r="B55" i="33"/>
  <c r="O55" i="32"/>
  <c r="B51" i="7"/>
  <c r="B55" i="40"/>
  <c r="B55" i="18"/>
  <c r="O55" i="36"/>
  <c r="B55" i="32"/>
  <c r="B55" i="35"/>
  <c r="B55" i="34"/>
  <c r="B55" i="37"/>
  <c r="B55" i="36"/>
  <c r="O55" i="31"/>
  <c r="O55" i="33"/>
  <c r="O55" i="40"/>
  <c r="O55" i="18"/>
  <c r="O55" i="34"/>
  <c r="O55" i="35"/>
  <c r="O55" i="37"/>
  <c r="I52" i="40"/>
  <c r="J52" i="40"/>
  <c r="K52" i="40" s="1"/>
  <c r="K50" i="17" s="1"/>
  <c r="V52" i="40"/>
  <c r="W52" i="40" s="1"/>
  <c r="AB50" i="17" s="1"/>
  <c r="U52" i="40"/>
  <c r="U52" i="36"/>
  <c r="V52" i="36"/>
  <c r="W52" i="36" s="1"/>
  <c r="Z50" i="17" s="1"/>
  <c r="I55" i="36"/>
  <c r="J55" i="36"/>
  <c r="K55" i="36" s="1"/>
  <c r="I53" i="17" s="1"/>
  <c r="O56" i="35" l="1"/>
  <c r="B56" i="18"/>
  <c r="O56" i="32"/>
  <c r="B56" i="33"/>
  <c r="B56" i="40"/>
  <c r="O56" i="40"/>
  <c r="O56" i="34"/>
  <c r="B56" i="31"/>
  <c r="B52" i="7"/>
  <c r="B56" i="36"/>
  <c r="B56" i="37"/>
  <c r="B56" i="35"/>
  <c r="B56" i="34"/>
  <c r="O56" i="33"/>
  <c r="B56" i="32"/>
  <c r="O56" i="18"/>
  <c r="O56" i="37"/>
  <c r="O56" i="31"/>
  <c r="O56" i="36"/>
  <c r="U53" i="36"/>
  <c r="V53" i="36"/>
  <c r="W53" i="36" s="1"/>
  <c r="Z51" i="17" s="1"/>
  <c r="I53" i="40"/>
  <c r="J53" i="40"/>
  <c r="K53" i="40" s="1"/>
  <c r="K51" i="17" s="1"/>
  <c r="V53" i="40"/>
  <c r="W53" i="40" s="1"/>
  <c r="AB51" i="17" s="1"/>
  <c r="U53" i="40"/>
  <c r="J56" i="36"/>
  <c r="K56" i="36" s="1"/>
  <c r="I54" i="17" s="1"/>
  <c r="I56" i="36"/>
  <c r="O57" i="32" l="1"/>
  <c r="O57" i="37"/>
  <c r="O57" i="40"/>
  <c r="B57" i="18"/>
  <c r="O57" i="31"/>
  <c r="O57" i="18"/>
  <c r="B57" i="33"/>
  <c r="O57" i="34"/>
  <c r="O57" i="33"/>
  <c r="B57" i="37"/>
  <c r="O57" i="36"/>
  <c r="B57" i="40"/>
  <c r="B57" i="32"/>
  <c r="B57" i="31"/>
  <c r="O57" i="35"/>
  <c r="B57" i="35"/>
  <c r="B57" i="36"/>
  <c r="B53" i="7"/>
  <c r="B57" i="34"/>
  <c r="U54" i="36"/>
  <c r="V54" i="36"/>
  <c r="W54" i="36" s="1"/>
  <c r="Z52" i="17" s="1"/>
  <c r="V54" i="40"/>
  <c r="W54" i="40" s="1"/>
  <c r="AB52" i="17" s="1"/>
  <c r="U54" i="40"/>
  <c r="I54" i="40"/>
  <c r="J54" i="40"/>
  <c r="K54" i="40" s="1"/>
  <c r="K52" i="17" s="1"/>
  <c r="I57" i="36"/>
  <c r="J57" i="36"/>
  <c r="K57" i="36" s="1"/>
  <c r="I55" i="17" s="1"/>
  <c r="B58" i="33" l="1"/>
  <c r="B58" i="37"/>
  <c r="O58" i="33"/>
  <c r="O58" i="34"/>
  <c r="B58" i="31"/>
  <c r="B58" i="18"/>
  <c r="O58" i="32"/>
  <c r="B58" i="36"/>
  <c r="O58" i="35"/>
  <c r="B58" i="40"/>
  <c r="O58" i="40"/>
  <c r="B58" i="35"/>
  <c r="O58" i="31"/>
  <c r="O58" i="37"/>
  <c r="B58" i="32"/>
  <c r="O58" i="36"/>
  <c r="B58" i="34"/>
  <c r="O58" i="18"/>
  <c r="B54" i="7"/>
  <c r="I55" i="40"/>
  <c r="J55" i="40"/>
  <c r="K55" i="40" s="1"/>
  <c r="K53" i="17" s="1"/>
  <c r="U55" i="36"/>
  <c r="V55" i="36"/>
  <c r="W55" i="36" s="1"/>
  <c r="Z53" i="17" s="1"/>
  <c r="U55" i="40"/>
  <c r="V55" i="40"/>
  <c r="W55" i="40" s="1"/>
  <c r="AB53" i="17" s="1"/>
  <c r="J58" i="36"/>
  <c r="K58" i="36" s="1"/>
  <c r="I56" i="17" s="1"/>
  <c r="I58" i="36"/>
  <c r="B59" i="32" l="1"/>
  <c r="B55" i="7"/>
  <c r="O59" i="35"/>
  <c r="O59" i="31"/>
  <c r="B59" i="18"/>
  <c r="O59" i="18"/>
  <c r="B59" i="36"/>
  <c r="O59" i="33"/>
  <c r="O59" i="36"/>
  <c r="B59" i="37"/>
  <c r="O59" i="32"/>
  <c r="O59" i="40"/>
  <c r="O59" i="37"/>
  <c r="O59" i="34"/>
  <c r="B59" i="40"/>
  <c r="B59" i="35"/>
  <c r="B59" i="34"/>
  <c r="B59" i="31"/>
  <c r="B59" i="33"/>
  <c r="U56" i="40"/>
  <c r="V56" i="40"/>
  <c r="W56" i="40" s="1"/>
  <c r="AB54" i="17" s="1"/>
  <c r="J56" i="40"/>
  <c r="K56" i="40" s="1"/>
  <c r="K54" i="17" s="1"/>
  <c r="I56" i="40"/>
  <c r="U56" i="36"/>
  <c r="V56" i="36"/>
  <c r="W56" i="36" s="1"/>
  <c r="Z54" i="17" s="1"/>
  <c r="J59" i="36"/>
  <c r="K59" i="36" s="1"/>
  <c r="I57" i="17" s="1"/>
  <c r="I59" i="36"/>
  <c r="B60" i="34" l="1"/>
  <c r="B60" i="37"/>
  <c r="B60" i="32"/>
  <c r="O60" i="40"/>
  <c r="O60" i="35"/>
  <c r="O60" i="34"/>
  <c r="O60" i="37"/>
  <c r="O60" i="31"/>
  <c r="B56" i="7"/>
  <c r="B60" i="40"/>
  <c r="B60" i="35"/>
  <c r="B60" i="18"/>
  <c r="O60" i="36"/>
  <c r="B60" i="31"/>
  <c r="B60" i="33"/>
  <c r="O60" i="18"/>
  <c r="O60" i="32"/>
  <c r="B60" i="36"/>
  <c r="O60" i="33"/>
  <c r="I57" i="40"/>
  <c r="J57" i="40"/>
  <c r="K57" i="40" s="1"/>
  <c r="K55" i="17" s="1"/>
  <c r="V57" i="36"/>
  <c r="W57" i="36" s="1"/>
  <c r="Z55" i="17" s="1"/>
  <c r="U57" i="36"/>
  <c r="V57" i="40"/>
  <c r="W57" i="40" s="1"/>
  <c r="AB55" i="17" s="1"/>
  <c r="U57" i="40"/>
  <c r="J60" i="36"/>
  <c r="K60" i="36" s="1"/>
  <c r="I58" i="17" s="1"/>
  <c r="I60" i="36"/>
  <c r="B61" i="33" l="1"/>
  <c r="O61" i="34"/>
  <c r="B61" i="36"/>
  <c r="O61" i="35"/>
  <c r="B61" i="31"/>
  <c r="B61" i="35"/>
  <c r="B61" i="18"/>
  <c r="O61" i="31"/>
  <c r="B57" i="7"/>
  <c r="O61" i="37"/>
  <c r="O61" i="18"/>
  <c r="B61" i="37"/>
  <c r="B61" i="34"/>
  <c r="O61" i="40"/>
  <c r="O61" i="32"/>
  <c r="O61" i="36"/>
  <c r="B61" i="32"/>
  <c r="O61" i="33"/>
  <c r="B61" i="40"/>
  <c r="U58" i="36"/>
  <c r="V58" i="36"/>
  <c r="W58" i="36" s="1"/>
  <c r="Z56" i="17" s="1"/>
  <c r="U58" i="40"/>
  <c r="V58" i="40"/>
  <c r="W58" i="40" s="1"/>
  <c r="AB56" i="17" s="1"/>
  <c r="J58" i="40"/>
  <c r="K58" i="40" s="1"/>
  <c r="K56" i="17" s="1"/>
  <c r="I58" i="40"/>
  <c r="J61" i="36"/>
  <c r="K61" i="36" s="1"/>
  <c r="I59" i="17" s="1"/>
  <c r="I61" i="36"/>
  <c r="O62" i="35" l="1"/>
  <c r="B62" i="37"/>
  <c r="O62" i="34"/>
  <c r="B58" i="7"/>
  <c r="B62" i="18"/>
  <c r="B62" i="35"/>
  <c r="B62" i="40"/>
  <c r="O62" i="33"/>
  <c r="B62" i="32"/>
  <c r="O62" i="40"/>
  <c r="B62" i="33"/>
  <c r="B62" i="31"/>
  <c r="O62" i="32"/>
  <c r="O62" i="36"/>
  <c r="O62" i="31"/>
  <c r="B62" i="34"/>
  <c r="B62" i="36"/>
  <c r="O62" i="37"/>
  <c r="O62" i="18"/>
  <c r="J59" i="40"/>
  <c r="K59" i="40" s="1"/>
  <c r="K57" i="17" s="1"/>
  <c r="I59" i="40"/>
  <c r="U59" i="40"/>
  <c r="V59" i="40"/>
  <c r="W59" i="40" s="1"/>
  <c r="AB57" i="17" s="1"/>
  <c r="U59" i="36"/>
  <c r="V59" i="36"/>
  <c r="W59" i="36" s="1"/>
  <c r="Z57" i="17" s="1"/>
  <c r="J62" i="36"/>
  <c r="K62" i="36" s="1"/>
  <c r="I60" i="17" s="1"/>
  <c r="I62" i="36"/>
  <c r="B63" i="40" l="1"/>
  <c r="B63" i="34"/>
  <c r="B63" i="36"/>
  <c r="B63" i="35"/>
  <c r="O63" i="35"/>
  <c r="B63" i="18"/>
  <c r="O63" i="18"/>
  <c r="O63" i="33"/>
  <c r="B63" i="33"/>
  <c r="O63" i="36"/>
  <c r="O63" i="40"/>
  <c r="O63" i="34"/>
  <c r="B63" i="37"/>
  <c r="O63" i="31"/>
  <c r="B63" i="31"/>
  <c r="B63" i="32"/>
  <c r="B59" i="7"/>
  <c r="O63" i="37"/>
  <c r="O63" i="32"/>
  <c r="V60" i="40"/>
  <c r="W60" i="40" s="1"/>
  <c r="AB58" i="17" s="1"/>
  <c r="U60" i="40"/>
  <c r="U60" i="36"/>
  <c r="V60" i="36"/>
  <c r="W60" i="36" s="1"/>
  <c r="Z58" i="17" s="1"/>
  <c r="I60" i="40"/>
  <c r="J60" i="40"/>
  <c r="K60" i="40" s="1"/>
  <c r="K58" i="17" s="1"/>
  <c r="I63" i="36"/>
  <c r="J63" i="36"/>
  <c r="K63" i="36" s="1"/>
  <c r="I61" i="17" s="1"/>
  <c r="B64" i="35" l="1"/>
  <c r="O64" i="32"/>
  <c r="O64" i="33"/>
  <c r="O64" i="34"/>
  <c r="B64" i="31"/>
  <c r="O64" i="40"/>
  <c r="B64" i="32"/>
  <c r="O64" i="31"/>
  <c r="O64" i="18"/>
  <c r="B64" i="34"/>
  <c r="B64" i="40"/>
  <c r="B60" i="7"/>
  <c r="B64" i="36"/>
  <c r="B64" i="18"/>
  <c r="O64" i="36"/>
  <c r="O64" i="37"/>
  <c r="O64" i="35"/>
  <c r="B64" i="37"/>
  <c r="B64" i="33"/>
  <c r="I61" i="40"/>
  <c r="J61" i="40"/>
  <c r="K61" i="40" s="1"/>
  <c r="K59" i="17" s="1"/>
  <c r="U61" i="36"/>
  <c r="V61" i="36"/>
  <c r="W61" i="36" s="1"/>
  <c r="Z59" i="17" s="1"/>
  <c r="U61" i="40"/>
  <c r="V61" i="40"/>
  <c r="W61" i="40" s="1"/>
  <c r="AB59" i="17" s="1"/>
  <c r="J64" i="36"/>
  <c r="K64" i="36" s="1"/>
  <c r="I62" i="17" s="1"/>
  <c r="I64" i="36"/>
  <c r="O65" i="37" l="1"/>
  <c r="O65" i="33"/>
  <c r="O65" i="18"/>
  <c r="B65" i="33"/>
  <c r="B65" i="31"/>
  <c r="O65" i="34"/>
  <c r="B65" i="40"/>
  <c r="O65" i="32"/>
  <c r="B65" i="36"/>
  <c r="O65" i="36"/>
  <c r="B65" i="34"/>
  <c r="B65" i="37"/>
  <c r="B61" i="7"/>
  <c r="O65" i="35"/>
  <c r="B65" i="35"/>
  <c r="B65" i="18"/>
  <c r="B65" i="32"/>
  <c r="O65" i="40"/>
  <c r="O65" i="31"/>
  <c r="J62" i="40"/>
  <c r="K62" i="40" s="1"/>
  <c r="K60" i="17" s="1"/>
  <c r="I62" i="40"/>
  <c r="U62" i="40"/>
  <c r="V62" i="40"/>
  <c r="W62" i="40" s="1"/>
  <c r="AB60" i="17" s="1"/>
  <c r="V62" i="36"/>
  <c r="W62" i="36" s="1"/>
  <c r="Z60" i="17" s="1"/>
  <c r="U62" i="36"/>
  <c r="J65" i="36"/>
  <c r="K65" i="36" s="1"/>
  <c r="I63" i="17" s="1"/>
  <c r="I65" i="36"/>
  <c r="B66" i="37" l="1"/>
  <c r="O66" i="34"/>
  <c r="B66" i="32"/>
  <c r="B66" i="36"/>
  <c r="B66" i="34"/>
  <c r="B66" i="18"/>
  <c r="O66" i="32"/>
  <c r="O66" i="33"/>
  <c r="O66" i="31"/>
  <c r="O66" i="18"/>
  <c r="O66" i="36"/>
  <c r="B66" i="33"/>
  <c r="B66" i="31"/>
  <c r="B66" i="40"/>
  <c r="B66" i="35"/>
  <c r="O66" i="37"/>
  <c r="B62" i="7"/>
  <c r="O66" i="35"/>
  <c r="O66" i="40"/>
  <c r="U63" i="36"/>
  <c r="V63" i="36"/>
  <c r="W63" i="36" s="1"/>
  <c r="Z61" i="17" s="1"/>
  <c r="U63" i="40"/>
  <c r="V63" i="40"/>
  <c r="W63" i="40" s="1"/>
  <c r="AB61" i="17" s="1"/>
  <c r="J63" i="40"/>
  <c r="K63" i="40" s="1"/>
  <c r="K61" i="17" s="1"/>
  <c r="I63" i="40"/>
  <c r="J66" i="36"/>
  <c r="K66" i="36" s="1"/>
  <c r="I64" i="17" s="1"/>
  <c r="I66" i="36"/>
  <c r="O67" i="40" l="1"/>
  <c r="B67" i="36"/>
  <c r="O67" i="34"/>
  <c r="B67" i="31"/>
  <c r="B67" i="33"/>
  <c r="O67" i="31"/>
  <c r="B67" i="35"/>
  <c r="B67" i="37"/>
  <c r="B67" i="40"/>
  <c r="O67" i="32"/>
  <c r="B67" i="18"/>
  <c r="O67" i="33"/>
  <c r="B63" i="7"/>
  <c r="O67" i="37"/>
  <c r="O67" i="18"/>
  <c r="O67" i="36"/>
  <c r="B67" i="34"/>
  <c r="O67" i="35"/>
  <c r="B67" i="32"/>
  <c r="I64" i="40"/>
  <c r="J64" i="40"/>
  <c r="K64" i="40" s="1"/>
  <c r="K62" i="17" s="1"/>
  <c r="U64" i="40"/>
  <c r="V64" i="40"/>
  <c r="W64" i="40" s="1"/>
  <c r="AB62" i="17" s="1"/>
  <c r="U64" i="36"/>
  <c r="V64" i="36"/>
  <c r="W64" i="36" s="1"/>
  <c r="Z62" i="17" s="1"/>
  <c r="J67" i="36"/>
  <c r="K67" i="36" s="1"/>
  <c r="I65" i="17" s="1"/>
  <c r="I67" i="36"/>
  <c r="O68" i="31" l="1"/>
  <c r="O68" i="37"/>
  <c r="B68" i="18"/>
  <c r="B68" i="37"/>
  <c r="B68" i="35"/>
  <c r="O68" i="18"/>
  <c r="O68" i="34"/>
  <c r="B64" i="7"/>
  <c r="B68" i="31"/>
  <c r="O68" i="32"/>
  <c r="O68" i="33"/>
  <c r="O68" i="35"/>
  <c r="B68" i="40"/>
  <c r="O68" i="40"/>
  <c r="B68" i="33"/>
  <c r="B68" i="34"/>
  <c r="B68" i="32"/>
  <c r="O68" i="36"/>
  <c r="B68" i="36"/>
  <c r="V65" i="36"/>
  <c r="W65" i="36" s="1"/>
  <c r="Z63" i="17" s="1"/>
  <c r="U65" i="36"/>
  <c r="V65" i="40"/>
  <c r="W65" i="40" s="1"/>
  <c r="AB63" i="17" s="1"/>
  <c r="U65" i="40"/>
  <c r="I65" i="40"/>
  <c r="J65" i="40"/>
  <c r="K65" i="40" s="1"/>
  <c r="K63" i="17" s="1"/>
  <c r="J68" i="36"/>
  <c r="K68" i="36" s="1"/>
  <c r="I66" i="17" s="1"/>
  <c r="I68" i="36"/>
  <c r="O69" i="18" l="1"/>
  <c r="O69" i="35"/>
  <c r="B69" i="33"/>
  <c r="O69" i="33"/>
  <c r="B69" i="36"/>
  <c r="O69" i="37"/>
  <c r="B69" i="35"/>
  <c r="O69" i="34"/>
  <c r="B69" i="37"/>
  <c r="O69" i="32"/>
  <c r="B69" i="18"/>
  <c r="B69" i="40"/>
  <c r="O69" i="31"/>
  <c r="B69" i="32"/>
  <c r="B65" i="7"/>
  <c r="B69" i="31"/>
  <c r="O69" i="36"/>
  <c r="O69" i="40"/>
  <c r="B69" i="34"/>
  <c r="V66" i="40"/>
  <c r="W66" i="40" s="1"/>
  <c r="AB64" i="17" s="1"/>
  <c r="U66" i="40"/>
  <c r="I66" i="40"/>
  <c r="J66" i="40"/>
  <c r="K66" i="40" s="1"/>
  <c r="K64" i="17" s="1"/>
  <c r="V66" i="36"/>
  <c r="W66" i="36" s="1"/>
  <c r="Z64" i="17" s="1"/>
  <c r="U66" i="36"/>
  <c r="J69" i="36"/>
  <c r="K69" i="36" s="1"/>
  <c r="I67" i="17" s="1"/>
  <c r="I69" i="36"/>
  <c r="O70" i="33" l="1"/>
  <c r="O70" i="34"/>
  <c r="O70" i="31"/>
  <c r="O70" i="36"/>
  <c r="B70" i="35"/>
  <c r="O70" i="40"/>
  <c r="O70" i="32"/>
  <c r="B70" i="33"/>
  <c r="B70" i="34"/>
  <c r="B70" i="36"/>
  <c r="B70" i="40"/>
  <c r="B70" i="32"/>
  <c r="B70" i="18"/>
  <c r="B70" i="37"/>
  <c r="B66" i="7"/>
  <c r="B70" i="31"/>
  <c r="O70" i="37"/>
  <c r="O70" i="18"/>
  <c r="O70" i="35"/>
  <c r="J67" i="40"/>
  <c r="K67" i="40" s="1"/>
  <c r="K65" i="17" s="1"/>
  <c r="I67" i="40"/>
  <c r="U67" i="36"/>
  <c r="V67" i="36"/>
  <c r="W67" i="36" s="1"/>
  <c r="Z65" i="17" s="1"/>
  <c r="V67" i="40"/>
  <c r="W67" i="40" s="1"/>
  <c r="AB65" i="17" s="1"/>
  <c r="U67" i="40"/>
  <c r="J70" i="36"/>
  <c r="K70" i="36" s="1"/>
  <c r="I68" i="17" s="1"/>
  <c r="I70" i="36"/>
  <c r="B71" i="35" l="1"/>
  <c r="B71" i="32"/>
  <c r="B71" i="33"/>
  <c r="O71" i="18"/>
  <c r="B71" i="37"/>
  <c r="O71" i="32"/>
  <c r="B71" i="18"/>
  <c r="O71" i="37"/>
  <c r="B71" i="36"/>
  <c r="O71" i="31"/>
  <c r="O71" i="33"/>
  <c r="O71" i="35"/>
  <c r="B67" i="7"/>
  <c r="O71" i="36"/>
  <c r="B71" i="31"/>
  <c r="B71" i="40"/>
  <c r="B71" i="34"/>
  <c r="O71" i="34"/>
  <c r="O71" i="40"/>
  <c r="V68" i="36"/>
  <c r="W68" i="36" s="1"/>
  <c r="Z66" i="17" s="1"/>
  <c r="U68" i="36"/>
  <c r="J68" i="40"/>
  <c r="K68" i="40" s="1"/>
  <c r="K66" i="17" s="1"/>
  <c r="I68" i="40"/>
  <c r="U68" i="40"/>
  <c r="V68" i="40"/>
  <c r="W68" i="40" s="1"/>
  <c r="AB66" i="17" s="1"/>
  <c r="J71" i="36"/>
  <c r="K71" i="36" s="1"/>
  <c r="I69" i="17" s="1"/>
  <c r="I71" i="36"/>
  <c r="O72" i="40" l="1"/>
  <c r="O72" i="34"/>
  <c r="B72" i="35"/>
  <c r="B72" i="36"/>
  <c r="O72" i="35"/>
  <c r="O72" i="32"/>
  <c r="B72" i="32"/>
  <c r="B72" i="33"/>
  <c r="O72" i="33"/>
  <c r="B72" i="40"/>
  <c r="O72" i="36"/>
  <c r="O72" i="37"/>
  <c r="B72" i="34"/>
  <c r="B72" i="18"/>
  <c r="B72" i="37"/>
  <c r="B68" i="7"/>
  <c r="O72" i="31"/>
  <c r="O72" i="18"/>
  <c r="B72" i="31"/>
  <c r="J69" i="40"/>
  <c r="K69" i="40" s="1"/>
  <c r="K67" i="17" s="1"/>
  <c r="I69" i="40"/>
  <c r="U69" i="36"/>
  <c r="V69" i="36"/>
  <c r="W69" i="36" s="1"/>
  <c r="Z67" i="17" s="1"/>
  <c r="U69" i="40"/>
  <c r="V69" i="40"/>
  <c r="W69" i="40" s="1"/>
  <c r="AB67" i="17" s="1"/>
  <c r="J72" i="36"/>
  <c r="K72" i="36" s="1"/>
  <c r="I70" i="17" s="1"/>
  <c r="I72" i="36"/>
  <c r="O73" i="31" l="1"/>
  <c r="O73" i="34"/>
  <c r="B73" i="37"/>
  <c r="O73" i="18"/>
  <c r="B73" i="31"/>
  <c r="O73" i="37"/>
  <c r="B73" i="40"/>
  <c r="B73" i="18"/>
  <c r="B69" i="7"/>
  <c r="O73" i="36"/>
  <c r="O73" i="32"/>
  <c r="B73" i="33"/>
  <c r="B73" i="34"/>
  <c r="B73" i="32"/>
  <c r="B73" i="36"/>
  <c r="O73" i="40"/>
  <c r="B73" i="35"/>
  <c r="O73" i="33"/>
  <c r="O73" i="35"/>
  <c r="J70" i="40"/>
  <c r="K70" i="40" s="1"/>
  <c r="K68" i="17" s="1"/>
  <c r="I70" i="40"/>
  <c r="V70" i="40"/>
  <c r="W70" i="40" s="1"/>
  <c r="AB68" i="17" s="1"/>
  <c r="U70" i="40"/>
  <c r="V70" i="36"/>
  <c r="W70" i="36" s="1"/>
  <c r="Z68" i="17" s="1"/>
  <c r="U70" i="36"/>
  <c r="J73" i="36"/>
  <c r="K73" i="36" s="1"/>
  <c r="I71" i="17" s="1"/>
  <c r="I73" i="36"/>
  <c r="O74" i="18" l="1"/>
  <c r="O74" i="40"/>
  <c r="B74" i="40"/>
  <c r="O74" i="32"/>
  <c r="B74" i="18"/>
  <c r="B74" i="32"/>
  <c r="B74" i="36"/>
  <c r="O74" i="34"/>
  <c r="B74" i="33"/>
  <c r="B74" i="34"/>
  <c r="B70" i="7"/>
  <c r="O74" i="35"/>
  <c r="O74" i="37"/>
  <c r="O74" i="36"/>
  <c r="O74" i="31"/>
  <c r="B74" i="37"/>
  <c r="B74" i="35"/>
  <c r="B74" i="31"/>
  <c r="O74" i="33"/>
  <c r="J71" i="40"/>
  <c r="K71" i="40" s="1"/>
  <c r="K69" i="17" s="1"/>
  <c r="I71" i="40"/>
  <c r="U71" i="36"/>
  <c r="V71" i="36"/>
  <c r="W71" i="36" s="1"/>
  <c r="Z69" i="17" s="1"/>
  <c r="V71" i="40"/>
  <c r="W71" i="40" s="1"/>
  <c r="AB69" i="17" s="1"/>
  <c r="U71" i="40"/>
  <c r="J74" i="36"/>
  <c r="K74" i="36" s="1"/>
  <c r="I72" i="17" s="1"/>
  <c r="I74" i="36"/>
  <c r="B75" i="32" l="1"/>
  <c r="O75" i="18"/>
  <c r="B75" i="37"/>
  <c r="O75" i="33"/>
  <c r="B75" i="36"/>
  <c r="B75" i="35"/>
  <c r="O75" i="32"/>
  <c r="O75" i="31"/>
  <c r="B71" i="7"/>
  <c r="O75" i="35"/>
  <c r="B75" i="40"/>
  <c r="O75" i="40"/>
  <c r="O75" i="34"/>
  <c r="O75" i="37"/>
  <c r="B75" i="33"/>
  <c r="B75" i="34"/>
  <c r="B75" i="31"/>
  <c r="O75" i="36"/>
  <c r="B75" i="18"/>
  <c r="V72" i="36"/>
  <c r="W72" i="36" s="1"/>
  <c r="Z70" i="17" s="1"/>
  <c r="U72" i="36"/>
  <c r="U72" i="40"/>
  <c r="V72" i="40"/>
  <c r="W72" i="40" s="1"/>
  <c r="AB70" i="17" s="1"/>
  <c r="I72" i="40"/>
  <c r="J72" i="40"/>
  <c r="K72" i="40" s="1"/>
  <c r="K70" i="17" s="1"/>
  <c r="J75" i="36"/>
  <c r="K75" i="36" s="1"/>
  <c r="I73" i="17" s="1"/>
  <c r="I75" i="36"/>
  <c r="O76" i="32" l="1"/>
  <c r="B76" i="40"/>
  <c r="B76" i="31"/>
  <c r="B76" i="37"/>
  <c r="O76" i="18"/>
  <c r="B76" i="32"/>
  <c r="B72" i="7"/>
  <c r="O76" i="40"/>
  <c r="O76" i="31"/>
  <c r="O76" i="35"/>
  <c r="B76" i="34"/>
  <c r="B76" i="35"/>
  <c r="O76" i="33"/>
  <c r="O76" i="36"/>
  <c r="B76" i="36"/>
  <c r="B76" i="18"/>
  <c r="O76" i="34"/>
  <c r="O76" i="37"/>
  <c r="B76" i="33"/>
  <c r="J73" i="40"/>
  <c r="K73" i="40" s="1"/>
  <c r="K71" i="17" s="1"/>
  <c r="I73" i="40"/>
  <c r="U73" i="40"/>
  <c r="V73" i="40"/>
  <c r="W73" i="40" s="1"/>
  <c r="AB71" i="17" s="1"/>
  <c r="U73" i="36"/>
  <c r="V73" i="36"/>
  <c r="W73" i="36" s="1"/>
  <c r="Z71" i="17" s="1"/>
  <c r="J76" i="36"/>
  <c r="K76" i="36" s="1"/>
  <c r="I74" i="17" s="1"/>
  <c r="I76" i="36"/>
  <c r="O77" i="37" l="1"/>
  <c r="O77" i="40"/>
  <c r="B77" i="40"/>
  <c r="B77" i="31"/>
  <c r="B77" i="35"/>
  <c r="O77" i="33"/>
  <c r="B73" i="7"/>
  <c r="O77" i="34"/>
  <c r="O77" i="35"/>
  <c r="B77" i="37"/>
  <c r="B77" i="36"/>
  <c r="O77" i="36"/>
  <c r="B77" i="34"/>
  <c r="B77" i="32"/>
  <c r="O77" i="31"/>
  <c r="O77" i="18"/>
  <c r="O77" i="32"/>
  <c r="B77" i="18"/>
  <c r="B77" i="33"/>
  <c r="V74" i="40"/>
  <c r="W74" i="40" s="1"/>
  <c r="AB72" i="17" s="1"/>
  <c r="U74" i="40"/>
  <c r="U74" i="36"/>
  <c r="V74" i="36"/>
  <c r="W74" i="36" s="1"/>
  <c r="Z72" i="17" s="1"/>
  <c r="J74" i="40"/>
  <c r="K74" i="40" s="1"/>
  <c r="K72" i="17" s="1"/>
  <c r="I74" i="40"/>
  <c r="J77" i="36"/>
  <c r="K77" i="36" s="1"/>
  <c r="I75" i="17" s="1"/>
  <c r="I77" i="36"/>
  <c r="B78" i="34" l="1"/>
  <c r="B78" i="36"/>
  <c r="B78" i="35"/>
  <c r="O78" i="34"/>
  <c r="O78" i="40"/>
  <c r="B78" i="31"/>
  <c r="B78" i="33"/>
  <c r="B78" i="18"/>
  <c r="O78" i="37"/>
  <c r="O78" i="31"/>
  <c r="O78" i="33"/>
  <c r="O78" i="32"/>
  <c r="B78" i="37"/>
  <c r="O78" i="18"/>
  <c r="B78" i="32"/>
  <c r="B74" i="7"/>
  <c r="B78" i="40"/>
  <c r="O78" i="36"/>
  <c r="O78" i="35"/>
  <c r="J75" i="40"/>
  <c r="K75" i="40" s="1"/>
  <c r="K73" i="17" s="1"/>
  <c r="I75" i="40"/>
  <c r="U75" i="36"/>
  <c r="V75" i="36"/>
  <c r="W75" i="36" s="1"/>
  <c r="Z73" i="17" s="1"/>
  <c r="U75" i="40"/>
  <c r="V75" i="40"/>
  <c r="W75" i="40" s="1"/>
  <c r="AB73" i="17" s="1"/>
  <c r="J78" i="36"/>
  <c r="K78" i="36" s="1"/>
  <c r="I76" i="17" s="1"/>
  <c r="I78" i="36"/>
  <c r="O79" i="37" l="1"/>
  <c r="O79" i="18"/>
  <c r="B79" i="36"/>
  <c r="B79" i="35"/>
  <c r="O79" i="36"/>
  <c r="O79" i="35"/>
  <c r="B79" i="31"/>
  <c r="B79" i="37"/>
  <c r="B79" i="40"/>
  <c r="O79" i="34"/>
  <c r="O79" i="33"/>
  <c r="B75" i="7"/>
  <c r="B79" i="33"/>
  <c r="O79" i="31"/>
  <c r="O79" i="40"/>
  <c r="B79" i="18"/>
  <c r="O79" i="32"/>
  <c r="B79" i="32"/>
  <c r="B79" i="34"/>
  <c r="I76" i="40"/>
  <c r="J76" i="40"/>
  <c r="K76" i="40" s="1"/>
  <c r="K74" i="17" s="1"/>
  <c r="U76" i="40"/>
  <c r="V76" i="40"/>
  <c r="W76" i="40" s="1"/>
  <c r="AB74" i="17" s="1"/>
  <c r="V76" i="36"/>
  <c r="W76" i="36" s="1"/>
  <c r="Z74" i="17" s="1"/>
  <c r="U76" i="36"/>
  <c r="J79" i="36"/>
  <c r="K79" i="36" s="1"/>
  <c r="I77" i="17" s="1"/>
  <c r="I79" i="36"/>
  <c r="B80" i="37" l="1"/>
  <c r="B80" i="18"/>
  <c r="O80" i="34"/>
  <c r="B80" i="35"/>
  <c r="B80" i="31"/>
  <c r="O80" i="36"/>
  <c r="B80" i="40"/>
  <c r="B80" i="36"/>
  <c r="B80" i="32"/>
  <c r="O80" i="40"/>
  <c r="B80" i="34"/>
  <c r="O80" i="37"/>
  <c r="B80" i="33"/>
  <c r="O80" i="32"/>
  <c r="B76" i="7"/>
  <c r="O80" i="31"/>
  <c r="O80" i="35"/>
  <c r="O80" i="33"/>
  <c r="O80" i="18"/>
  <c r="I77" i="40"/>
  <c r="J77" i="40"/>
  <c r="K77" i="40" s="1"/>
  <c r="K75" i="17" s="1"/>
  <c r="V77" i="40"/>
  <c r="W77" i="40" s="1"/>
  <c r="AB75" i="17" s="1"/>
  <c r="U77" i="40"/>
  <c r="V77" i="36"/>
  <c r="W77" i="36" s="1"/>
  <c r="Z75" i="17" s="1"/>
  <c r="U77" i="36"/>
  <c r="I80" i="36"/>
  <c r="J80" i="36"/>
  <c r="K80" i="36" s="1"/>
  <c r="I78" i="17" s="1"/>
  <c r="O81" i="18" l="1"/>
  <c r="B81" i="31"/>
  <c r="B77" i="7"/>
  <c r="O81" i="36"/>
  <c r="O81" i="35"/>
  <c r="O81" i="37"/>
  <c r="B81" i="37"/>
  <c r="B81" i="33"/>
  <c r="O81" i="31"/>
  <c r="B81" i="34"/>
  <c r="B81" i="18"/>
  <c r="B81" i="32"/>
  <c r="B81" i="36"/>
  <c r="B81" i="40"/>
  <c r="O81" i="40"/>
  <c r="O81" i="33"/>
  <c r="O81" i="34"/>
  <c r="O81" i="32"/>
  <c r="B81" i="35"/>
  <c r="V78" i="36"/>
  <c r="W78" i="36" s="1"/>
  <c r="Z76" i="17" s="1"/>
  <c r="U78" i="36"/>
  <c r="U78" i="40"/>
  <c r="V78" i="40"/>
  <c r="W78" i="40" s="1"/>
  <c r="AB76" i="17" s="1"/>
  <c r="I78" i="40"/>
  <c r="J78" i="40"/>
  <c r="K78" i="40" s="1"/>
  <c r="K76" i="17" s="1"/>
  <c r="J81" i="36"/>
  <c r="K81" i="36" s="1"/>
  <c r="I79" i="17" s="1"/>
  <c r="I81" i="36"/>
  <c r="B82" i="37" l="1"/>
  <c r="O82" i="33"/>
  <c r="O82" i="18"/>
  <c r="B82" i="31"/>
  <c r="O82" i="31"/>
  <c r="O82" i="40"/>
  <c r="B82" i="36"/>
  <c r="O82" i="36"/>
  <c r="B82" i="34"/>
  <c r="B78" i="7"/>
  <c r="B82" i="33"/>
  <c r="O82" i="34"/>
  <c r="B82" i="18"/>
  <c r="B82" i="40"/>
  <c r="O82" i="35"/>
  <c r="B82" i="32"/>
  <c r="O82" i="37"/>
  <c r="O82" i="32"/>
  <c r="B82" i="35"/>
  <c r="U79" i="36"/>
  <c r="V79" i="36"/>
  <c r="W79" i="36" s="1"/>
  <c r="Z77" i="17" s="1"/>
  <c r="I79" i="40"/>
  <c r="J79" i="40"/>
  <c r="K79" i="40" s="1"/>
  <c r="K77" i="17" s="1"/>
  <c r="U79" i="40"/>
  <c r="V79" i="40"/>
  <c r="W79" i="40" s="1"/>
  <c r="AB77" i="17" s="1"/>
  <c r="J82" i="36"/>
  <c r="K82" i="36" s="1"/>
  <c r="I80" i="17" s="1"/>
  <c r="I82" i="36"/>
  <c r="B79" i="7" l="1"/>
  <c r="O83" i="31"/>
  <c r="O83" i="36"/>
  <c r="O83" i="35"/>
  <c r="B83" i="18"/>
  <c r="B83" i="36"/>
  <c r="O83" i="32"/>
  <c r="O83" i="40"/>
  <c r="B83" i="40"/>
  <c r="B83" i="31"/>
  <c r="B83" i="37"/>
  <c r="O83" i="18"/>
  <c r="B83" i="34"/>
  <c r="O83" i="34"/>
  <c r="O83" i="33"/>
  <c r="O83" i="37"/>
  <c r="B83" i="32"/>
  <c r="B83" i="33"/>
  <c r="B83" i="35"/>
  <c r="U80" i="40"/>
  <c r="V80" i="40"/>
  <c r="W80" i="40" s="1"/>
  <c r="AB78" i="17" s="1"/>
  <c r="V80" i="36"/>
  <c r="W80" i="36" s="1"/>
  <c r="Z78" i="17" s="1"/>
  <c r="U80" i="36"/>
  <c r="J80" i="40"/>
  <c r="K80" i="40" s="1"/>
  <c r="K78" i="17" s="1"/>
  <c r="I80" i="40"/>
  <c r="J83" i="36"/>
  <c r="K83" i="36" s="1"/>
  <c r="I81" i="17" s="1"/>
  <c r="I83" i="36"/>
  <c r="B84" i="32" l="1"/>
  <c r="B84" i="18"/>
  <c r="O84" i="32"/>
  <c r="O84" i="18"/>
  <c r="O84" i="34"/>
  <c r="O84" i="31"/>
  <c r="B84" i="36"/>
  <c r="O84" i="35"/>
  <c r="B84" i="34"/>
  <c r="B84" i="37"/>
  <c r="O84" i="40"/>
  <c r="B80" i="7"/>
  <c r="O84" i="33"/>
  <c r="B84" i="35"/>
  <c r="B84" i="40"/>
  <c r="B84" i="31"/>
  <c r="O84" i="37"/>
  <c r="O84" i="36"/>
  <c r="B84" i="33"/>
  <c r="V81" i="36"/>
  <c r="W81" i="36" s="1"/>
  <c r="Z79" i="17" s="1"/>
  <c r="U81" i="36"/>
  <c r="V81" i="40"/>
  <c r="W81" i="40" s="1"/>
  <c r="AB79" i="17" s="1"/>
  <c r="U81" i="40"/>
  <c r="I81" i="40"/>
  <c r="J81" i="40"/>
  <c r="K81" i="40" s="1"/>
  <c r="K79" i="17" s="1"/>
  <c r="J84" i="36"/>
  <c r="K84" i="36" s="1"/>
  <c r="I82" i="17" s="1"/>
  <c r="I84" i="36"/>
  <c r="B81" i="7" l="1"/>
  <c r="B85" i="35"/>
  <c r="O85" i="35"/>
  <c r="B85" i="40"/>
  <c r="O85" i="36"/>
  <c r="O85" i="37"/>
  <c r="O85" i="33"/>
  <c r="B85" i="31"/>
  <c r="B85" i="37"/>
  <c r="O85" i="31"/>
  <c r="O85" i="18"/>
  <c r="O85" i="40"/>
  <c r="B85" i="33"/>
  <c r="B85" i="32"/>
  <c r="B85" i="36"/>
  <c r="O85" i="34"/>
  <c r="B85" i="18"/>
  <c r="O85" i="32"/>
  <c r="B85" i="34"/>
  <c r="U82" i="40"/>
  <c r="V82" i="40"/>
  <c r="W82" i="40" s="1"/>
  <c r="AB80" i="17" s="1"/>
  <c r="U82" i="36"/>
  <c r="V82" i="36"/>
  <c r="W82" i="36" s="1"/>
  <c r="Z80" i="17" s="1"/>
  <c r="J82" i="40"/>
  <c r="K82" i="40" s="1"/>
  <c r="K80" i="17" s="1"/>
  <c r="I82" i="40"/>
  <c r="I85" i="36"/>
  <c r="J85" i="36"/>
  <c r="K85" i="36" s="1"/>
  <c r="I83" i="17" s="1"/>
  <c r="O86" i="18" l="1"/>
  <c r="B86" i="34"/>
  <c r="B86" i="31"/>
  <c r="O86" i="31"/>
  <c r="O86" i="37"/>
  <c r="B86" i="35"/>
  <c r="B86" i="32"/>
  <c r="B86" i="33"/>
  <c r="O86" i="32"/>
  <c r="O86" i="33"/>
  <c r="B86" i="40"/>
  <c r="B82" i="7"/>
  <c r="B86" i="18"/>
  <c r="B86" i="37"/>
  <c r="O86" i="40"/>
  <c r="O86" i="35"/>
  <c r="B86" i="36"/>
  <c r="O86" i="36"/>
  <c r="O86" i="34"/>
  <c r="U83" i="36"/>
  <c r="V83" i="36"/>
  <c r="W83" i="36" s="1"/>
  <c r="Z81" i="17" s="1"/>
  <c r="V83" i="40"/>
  <c r="W83" i="40" s="1"/>
  <c r="AB81" i="17" s="1"/>
  <c r="U83" i="40"/>
  <c r="J83" i="40"/>
  <c r="K83" i="40" s="1"/>
  <c r="K81" i="17" s="1"/>
  <c r="I83" i="40"/>
  <c r="J86" i="36"/>
  <c r="K86" i="36" s="1"/>
  <c r="I84" i="17" s="1"/>
  <c r="I86" i="36"/>
  <c r="B87" i="18" l="1"/>
  <c r="B87" i="33"/>
  <c r="O87" i="34"/>
  <c r="O87" i="35"/>
  <c r="B87" i="34"/>
  <c r="O87" i="31"/>
  <c r="O87" i="40"/>
  <c r="B83" i="7"/>
  <c r="O87" i="33"/>
  <c r="B87" i="35"/>
  <c r="O87" i="32"/>
  <c r="O87" i="18"/>
  <c r="B87" i="36"/>
  <c r="B87" i="31"/>
  <c r="B87" i="32"/>
  <c r="O87" i="36"/>
  <c r="O87" i="37"/>
  <c r="B87" i="40"/>
  <c r="B87" i="37"/>
  <c r="V84" i="40"/>
  <c r="W84" i="40" s="1"/>
  <c r="AB82" i="17" s="1"/>
  <c r="U84" i="40"/>
  <c r="U84" i="36"/>
  <c r="V84" i="36"/>
  <c r="W84" i="36" s="1"/>
  <c r="Z82" i="17" s="1"/>
  <c r="I84" i="40"/>
  <c r="J84" i="40"/>
  <c r="K84" i="40" s="1"/>
  <c r="K82" i="17" s="1"/>
  <c r="I87" i="36"/>
  <c r="J87" i="36"/>
  <c r="K87" i="36" s="1"/>
  <c r="I85" i="17" s="1"/>
  <c r="O88" i="36" l="1"/>
  <c r="O88" i="34"/>
  <c r="B88" i="35"/>
  <c r="O88" i="18"/>
  <c r="O88" i="33"/>
  <c r="O88" i="31"/>
  <c r="O88" i="37"/>
  <c r="B88" i="40"/>
  <c r="B88" i="33"/>
  <c r="B88" i="36"/>
  <c r="B88" i="18"/>
  <c r="B88" i="32"/>
  <c r="O88" i="35"/>
  <c r="B88" i="31"/>
  <c r="B84" i="7"/>
  <c r="O88" i="40"/>
  <c r="O88" i="32"/>
  <c r="B88" i="34"/>
  <c r="B88" i="37"/>
  <c r="V85" i="36"/>
  <c r="W85" i="36" s="1"/>
  <c r="Z83" i="17" s="1"/>
  <c r="U85" i="36"/>
  <c r="I85" i="40"/>
  <c r="J85" i="40"/>
  <c r="K85" i="40" s="1"/>
  <c r="K83" i="17" s="1"/>
  <c r="U85" i="40"/>
  <c r="V85" i="40"/>
  <c r="W85" i="40" s="1"/>
  <c r="AB83" i="17" s="1"/>
  <c r="I88" i="36"/>
  <c r="J88" i="36"/>
  <c r="K88" i="36" s="1"/>
  <c r="I86" i="17" s="1"/>
  <c r="B89" i="40" l="1"/>
  <c r="B89" i="36"/>
  <c r="O89" i="33"/>
  <c r="O89" i="31"/>
  <c r="B89" i="32"/>
  <c r="O89" i="36"/>
  <c r="O89" i="40"/>
  <c r="B89" i="37"/>
  <c r="B85" i="7"/>
  <c r="B89" i="33"/>
  <c r="O89" i="32"/>
  <c r="B89" i="34"/>
  <c r="O89" i="34"/>
  <c r="B89" i="35"/>
  <c r="O89" i="35"/>
  <c r="O89" i="18"/>
  <c r="B89" i="31"/>
  <c r="O89" i="37"/>
  <c r="B89" i="18"/>
  <c r="U86" i="40"/>
  <c r="V86" i="40"/>
  <c r="W86" i="40" s="1"/>
  <c r="AB84" i="17" s="1"/>
  <c r="I86" i="40"/>
  <c r="J86" i="40"/>
  <c r="K86" i="40" s="1"/>
  <c r="K84" i="17" s="1"/>
  <c r="U86" i="36"/>
  <c r="V86" i="36"/>
  <c r="W86" i="36" s="1"/>
  <c r="Z84" i="17" s="1"/>
  <c r="I89" i="36"/>
  <c r="J89" i="36"/>
  <c r="K89" i="36" s="1"/>
  <c r="I87" i="17" s="1"/>
  <c r="O90" i="37" l="1"/>
  <c r="O90" i="32"/>
  <c r="O90" i="35"/>
  <c r="O90" i="36"/>
  <c r="B90" i="18"/>
  <c r="O90" i="34"/>
  <c r="B90" i="34"/>
  <c r="B90" i="37"/>
  <c r="O90" i="31"/>
  <c r="O90" i="40"/>
  <c r="B90" i="36"/>
  <c r="B90" i="32"/>
  <c r="B90" i="33"/>
  <c r="O90" i="33"/>
  <c r="B90" i="40"/>
  <c r="B86" i="7"/>
  <c r="B90" i="35"/>
  <c r="B90" i="31"/>
  <c r="O90" i="18"/>
  <c r="U87" i="36"/>
  <c r="V87" i="36"/>
  <c r="W87" i="36" s="1"/>
  <c r="Z85" i="17" s="1"/>
  <c r="J87" i="40"/>
  <c r="K87" i="40" s="1"/>
  <c r="K85" i="17" s="1"/>
  <c r="I87" i="40"/>
  <c r="U87" i="40"/>
  <c r="V87" i="40"/>
  <c r="W87" i="40" s="1"/>
  <c r="AB85" i="17" s="1"/>
  <c r="I90" i="36"/>
  <c r="J90" i="36"/>
  <c r="K90" i="36" s="1"/>
  <c r="I88" i="17" s="1"/>
  <c r="B91" i="40" l="1"/>
  <c r="O91" i="32"/>
  <c r="O91" i="18"/>
  <c r="B91" i="18"/>
  <c r="B91" i="34"/>
  <c r="B91" i="35"/>
  <c r="B87" i="7"/>
  <c r="O91" i="36"/>
  <c r="B91" i="33"/>
  <c r="B91" i="31"/>
  <c r="O91" i="34"/>
  <c r="O91" i="31"/>
  <c r="B91" i="32"/>
  <c r="B91" i="36"/>
  <c r="O91" i="33"/>
  <c r="O91" i="40"/>
  <c r="O91" i="35"/>
  <c r="O91" i="37"/>
  <c r="B91" i="37"/>
  <c r="U88" i="36"/>
  <c r="V88" i="36"/>
  <c r="W88" i="36" s="1"/>
  <c r="Z86" i="17" s="1"/>
  <c r="U88" i="40"/>
  <c r="V88" i="40"/>
  <c r="W88" i="40" s="1"/>
  <c r="AB86" i="17" s="1"/>
  <c r="J88" i="40"/>
  <c r="K88" i="40" s="1"/>
  <c r="K86" i="17" s="1"/>
  <c r="I88" i="40"/>
  <c r="J91" i="36"/>
  <c r="K91" i="36" s="1"/>
  <c r="I89" i="17" s="1"/>
  <c r="I91" i="36"/>
  <c r="B88" i="7" l="1"/>
  <c r="O92" i="32"/>
  <c r="B92" i="33"/>
  <c r="B92" i="34"/>
  <c r="B92" i="35"/>
  <c r="B92" i="31"/>
  <c r="B92" i="32"/>
  <c r="O92" i="36"/>
  <c r="O92" i="37"/>
  <c r="O92" i="34"/>
  <c r="O92" i="33"/>
  <c r="B92" i="37"/>
  <c r="O92" i="18"/>
  <c r="B92" i="36"/>
  <c r="O92" i="40"/>
  <c r="B92" i="18"/>
  <c r="O92" i="31"/>
  <c r="O92" i="35"/>
  <c r="B92" i="40"/>
  <c r="V89" i="36"/>
  <c r="W89" i="36" s="1"/>
  <c r="Z87" i="17" s="1"/>
  <c r="U89" i="36"/>
  <c r="V89" i="40"/>
  <c r="W89" i="40" s="1"/>
  <c r="AB87" i="17" s="1"/>
  <c r="U89" i="40"/>
  <c r="J89" i="40"/>
  <c r="K89" i="40" s="1"/>
  <c r="K87" i="17" s="1"/>
  <c r="I89" i="40"/>
  <c r="J92" i="36"/>
  <c r="K92" i="36" s="1"/>
  <c r="I90" i="17" s="1"/>
  <c r="I92" i="36"/>
  <c r="O93" i="18" l="1"/>
  <c r="B93" i="32"/>
  <c r="B93" i="31"/>
  <c r="O93" i="32"/>
  <c r="B89" i="7"/>
  <c r="O93" i="35"/>
  <c r="B93" i="36"/>
  <c r="B93" i="18"/>
  <c r="B93" i="37"/>
  <c r="B93" i="33"/>
  <c r="O93" i="40"/>
  <c r="B93" i="40"/>
  <c r="B93" i="34"/>
  <c r="O93" i="33"/>
  <c r="B93" i="35"/>
  <c r="O93" i="37"/>
  <c r="O93" i="31"/>
  <c r="O93" i="34"/>
  <c r="O93" i="36"/>
  <c r="J90" i="40"/>
  <c r="K90" i="40" s="1"/>
  <c r="K88" i="17" s="1"/>
  <c r="I90" i="40"/>
  <c r="U90" i="40"/>
  <c r="V90" i="40"/>
  <c r="W90" i="40" s="1"/>
  <c r="AB88" i="17" s="1"/>
  <c r="V90" i="36"/>
  <c r="W90" i="36" s="1"/>
  <c r="Z88" i="17" s="1"/>
  <c r="U90" i="36"/>
  <c r="J93" i="36"/>
  <c r="K93" i="36" s="1"/>
  <c r="I91" i="17" s="1"/>
  <c r="I93" i="36"/>
  <c r="B94" i="36" l="1"/>
  <c r="O94" i="36"/>
  <c r="O94" i="35"/>
  <c r="O94" i="40"/>
  <c r="B90" i="7"/>
  <c r="O94" i="31"/>
  <c r="B94" i="40"/>
  <c r="B94" i="18"/>
  <c r="B94" i="34"/>
  <c r="B94" i="33"/>
  <c r="B94" i="35"/>
  <c r="O94" i="37"/>
  <c r="O94" i="32"/>
  <c r="B94" i="37"/>
  <c r="B94" i="31"/>
  <c r="B94" i="32"/>
  <c r="O94" i="18"/>
  <c r="O94" i="34"/>
  <c r="O94" i="33"/>
  <c r="U91" i="40"/>
  <c r="V91" i="40"/>
  <c r="W91" i="40" s="1"/>
  <c r="AB89" i="17" s="1"/>
  <c r="U91" i="36"/>
  <c r="V91" i="36"/>
  <c r="W91" i="36" s="1"/>
  <c r="Z89" i="17" s="1"/>
  <c r="J91" i="40"/>
  <c r="K91" i="40" s="1"/>
  <c r="K89" i="17" s="1"/>
  <c r="I91" i="40"/>
  <c r="J94" i="36"/>
  <c r="K94" i="36" s="1"/>
  <c r="I92" i="17" s="1"/>
  <c r="I94" i="36"/>
  <c r="O95" i="40" l="1"/>
  <c r="B95" i="37"/>
  <c r="B95" i="31"/>
  <c r="O95" i="35"/>
  <c r="B95" i="33"/>
  <c r="O95" i="32"/>
  <c r="B91" i="7"/>
  <c r="O95" i="34"/>
  <c r="B95" i="32"/>
  <c r="B95" i="18"/>
  <c r="O95" i="36"/>
  <c r="O95" i="33"/>
  <c r="O95" i="31"/>
  <c r="O95" i="18"/>
  <c r="B95" i="35"/>
  <c r="B95" i="36"/>
  <c r="B95" i="40"/>
  <c r="B95" i="34"/>
  <c r="O95" i="37"/>
  <c r="U92" i="40"/>
  <c r="V92" i="40"/>
  <c r="W92" i="40" s="1"/>
  <c r="AB90" i="17" s="1"/>
  <c r="U92" i="36"/>
  <c r="V92" i="36"/>
  <c r="W92" i="36" s="1"/>
  <c r="Z90" i="17" s="1"/>
  <c r="J92" i="40"/>
  <c r="K92" i="40" s="1"/>
  <c r="K90" i="17" s="1"/>
  <c r="I92" i="40"/>
  <c r="I95" i="36"/>
  <c r="J95" i="36"/>
  <c r="K95" i="36" s="1"/>
  <c r="I93" i="17" s="1"/>
  <c r="B92" i="7" l="1"/>
  <c r="B96" i="35"/>
  <c r="B96" i="37"/>
  <c r="O96" i="36"/>
  <c r="O96" i="40"/>
  <c r="B96" i="40"/>
  <c r="B96" i="31"/>
  <c r="O96" i="31"/>
  <c r="B96" i="36"/>
  <c r="O96" i="32"/>
  <c r="O96" i="35"/>
  <c r="O96" i="18"/>
  <c r="O96" i="34"/>
  <c r="B96" i="34"/>
  <c r="B96" i="33"/>
  <c r="O96" i="37"/>
  <c r="B96" i="32"/>
  <c r="O96" i="33"/>
  <c r="B96" i="18"/>
  <c r="J93" i="40"/>
  <c r="K93" i="40" s="1"/>
  <c r="K91" i="17" s="1"/>
  <c r="I93" i="40"/>
  <c r="U93" i="36"/>
  <c r="V93" i="36"/>
  <c r="W93" i="36" s="1"/>
  <c r="Z91" i="17" s="1"/>
  <c r="U93" i="40"/>
  <c r="V93" i="40"/>
  <c r="W93" i="40" s="1"/>
  <c r="AB91" i="17" s="1"/>
  <c r="J96" i="36"/>
  <c r="K96" i="36" s="1"/>
  <c r="I94" i="17" s="1"/>
  <c r="I96" i="36"/>
  <c r="B97" i="32" l="1"/>
  <c r="O97" i="31"/>
  <c r="O97" i="18"/>
  <c r="B97" i="37"/>
  <c r="B97" i="18"/>
  <c r="O97" i="34"/>
  <c r="O97" i="40"/>
  <c r="O97" i="33"/>
  <c r="O97" i="35"/>
  <c r="O97" i="37"/>
  <c r="B93" i="7"/>
  <c r="B97" i="33"/>
  <c r="B97" i="34"/>
  <c r="B97" i="40"/>
  <c r="O97" i="36"/>
  <c r="B97" i="31"/>
  <c r="O97" i="32"/>
  <c r="B97" i="35"/>
  <c r="B97" i="36"/>
  <c r="J94" i="40"/>
  <c r="K94" i="40" s="1"/>
  <c r="K92" i="17" s="1"/>
  <c r="I94" i="40"/>
  <c r="U94" i="40"/>
  <c r="V94" i="40"/>
  <c r="W94" i="40" s="1"/>
  <c r="AB92" i="17" s="1"/>
  <c r="U94" i="36"/>
  <c r="V94" i="36"/>
  <c r="W94" i="36" s="1"/>
  <c r="Z92" i="17" s="1"/>
  <c r="I97" i="36"/>
  <c r="J97" i="36"/>
  <c r="K97" i="36" s="1"/>
  <c r="I95" i="17" s="1"/>
  <c r="B98" i="18" l="1"/>
  <c r="B98" i="40"/>
  <c r="O98" i="31"/>
  <c r="B98" i="33"/>
  <c r="B98" i="35"/>
  <c r="B98" i="34"/>
  <c r="B94" i="7"/>
  <c r="O98" i="40"/>
  <c r="O98" i="18"/>
  <c r="O98" i="37"/>
  <c r="B98" i="31"/>
  <c r="O98" i="35"/>
  <c r="O98" i="34"/>
  <c r="B98" i="32"/>
  <c r="B98" i="36"/>
  <c r="O98" i="33"/>
  <c r="O98" i="36"/>
  <c r="B98" i="37"/>
  <c r="O98" i="32"/>
  <c r="V95" i="36"/>
  <c r="W95" i="36" s="1"/>
  <c r="Z93" i="17" s="1"/>
  <c r="U95" i="36"/>
  <c r="J95" i="40"/>
  <c r="K95" i="40" s="1"/>
  <c r="K93" i="17" s="1"/>
  <c r="I95" i="40"/>
  <c r="V95" i="40"/>
  <c r="W95" i="40" s="1"/>
  <c r="AB93" i="17" s="1"/>
  <c r="U95" i="40"/>
  <c r="I98" i="36"/>
  <c r="J98" i="36"/>
  <c r="K98" i="36" s="1"/>
  <c r="I96" i="17" s="1"/>
  <c r="B99" i="33" l="1"/>
  <c r="B99" i="18"/>
  <c r="O99" i="31"/>
  <c r="O99" i="18"/>
  <c r="B99" i="32"/>
  <c r="B99" i="40"/>
  <c r="B99" i="31"/>
  <c r="B99" i="37"/>
  <c r="O99" i="36"/>
  <c r="B99" i="36"/>
  <c r="O99" i="40"/>
  <c r="O99" i="33"/>
  <c r="O99" i="34"/>
  <c r="O99" i="32"/>
  <c r="B99" i="35"/>
  <c r="O99" i="35"/>
  <c r="B99" i="34"/>
  <c r="O99" i="37"/>
  <c r="V96" i="40"/>
  <c r="W96" i="40" s="1"/>
  <c r="AB94" i="17" s="1"/>
  <c r="U96" i="40"/>
  <c r="U96" i="36"/>
  <c r="V96" i="36"/>
  <c r="W96" i="36" s="1"/>
  <c r="Z94" i="17" s="1"/>
  <c r="I96" i="40"/>
  <c r="J96" i="40"/>
  <c r="K96" i="40" s="1"/>
  <c r="K94" i="17" s="1"/>
  <c r="I99" i="36"/>
  <c r="J99" i="36"/>
  <c r="K99" i="36" s="1"/>
  <c r="I97" i="17" s="1"/>
  <c r="J97" i="40" l="1"/>
  <c r="K97" i="40" s="1"/>
  <c r="K95" i="17" s="1"/>
  <c r="I97" i="40"/>
  <c r="U97" i="40"/>
  <c r="V97" i="40"/>
  <c r="W97" i="40" s="1"/>
  <c r="AB95" i="17" s="1"/>
  <c r="U97" i="36"/>
  <c r="V97" i="36"/>
  <c r="W97" i="36" s="1"/>
  <c r="Z95" i="17" s="1"/>
  <c r="V98" i="40" l="1"/>
  <c r="W98" i="40" s="1"/>
  <c r="AB96" i="17" s="1"/>
  <c r="U98" i="40"/>
  <c r="U98" i="36"/>
  <c r="V98" i="36"/>
  <c r="W98" i="36" s="1"/>
  <c r="Z96" i="17" s="1"/>
  <c r="J98" i="40"/>
  <c r="K98" i="40" s="1"/>
  <c r="K96" i="17" s="1"/>
  <c r="I98" i="40"/>
  <c r="J99" i="40" l="1"/>
  <c r="K99" i="40" s="1"/>
  <c r="K97" i="17" s="1"/>
  <c r="I99" i="40"/>
  <c r="U99" i="40"/>
  <c r="V99" i="40"/>
  <c r="W99" i="40" s="1"/>
  <c r="AB97" i="17" s="1"/>
  <c r="U99" i="36"/>
  <c r="V99" i="36"/>
  <c r="W99" i="36" s="1"/>
  <c r="Z97" i="17" s="1"/>
  <c r="F30" i="7" l="1"/>
  <c r="L30" i="7"/>
  <c r="G30" i="7"/>
  <c r="I30" i="7"/>
  <c r="E30" i="7"/>
  <c r="O30" i="7"/>
  <c r="D30" i="7"/>
  <c r="C30" i="7"/>
  <c r="J30" i="7"/>
  <c r="H30" i="7"/>
  <c r="K30" i="7"/>
  <c r="M30" i="7"/>
  <c r="G28" i="7"/>
  <c r="K28" i="7"/>
  <c r="E28" i="7"/>
  <c r="O28" i="7"/>
  <c r="F28" i="7"/>
  <c r="D28" i="7"/>
  <c r="I28" i="7"/>
  <c r="L28" i="7"/>
  <c r="H28" i="7"/>
  <c r="C28" i="7"/>
  <c r="J28" i="7"/>
  <c r="M28" i="7"/>
  <c r="E26" i="7"/>
  <c r="L26" i="7"/>
  <c r="G26" i="7"/>
  <c r="F26" i="7"/>
  <c r="H26" i="7"/>
  <c r="D26" i="7"/>
  <c r="O26" i="7"/>
  <c r="I26" i="7"/>
  <c r="C26" i="7"/>
  <c r="J26" i="7"/>
  <c r="K26" i="7"/>
  <c r="M26" i="7"/>
  <c r="I25" i="7"/>
  <c r="F25" i="7"/>
  <c r="M25" i="7"/>
  <c r="G25" i="7"/>
  <c r="H25" i="7"/>
  <c r="O25" i="7"/>
  <c r="J25" i="7"/>
  <c r="L25" i="7"/>
  <c r="C25" i="7"/>
  <c r="E25" i="7"/>
  <c r="K25" i="7"/>
  <c r="D25" i="7"/>
  <c r="C31" i="7"/>
  <c r="F31" i="7"/>
  <c r="E31" i="7"/>
  <c r="G31" i="7"/>
  <c r="K31" i="7"/>
  <c r="J31" i="7"/>
  <c r="H31" i="7"/>
  <c r="D31" i="7"/>
  <c r="O31" i="7"/>
  <c r="I31" i="7"/>
  <c r="L31" i="7"/>
  <c r="M31" i="7"/>
  <c r="D32" i="7"/>
  <c r="L32" i="7"/>
  <c r="E32" i="7"/>
  <c r="I32" i="7"/>
  <c r="G32" i="7"/>
  <c r="H32" i="7"/>
  <c r="J32" i="7"/>
  <c r="C32" i="7"/>
  <c r="F32" i="7"/>
  <c r="O32" i="7"/>
  <c r="K32" i="7"/>
  <c r="M32" i="7"/>
  <c r="F27" i="7"/>
  <c r="I27" i="7"/>
  <c r="L27" i="7"/>
  <c r="G27" i="7"/>
  <c r="J27" i="7"/>
  <c r="D27" i="7"/>
  <c r="H27" i="7"/>
  <c r="C27" i="7"/>
  <c r="K27" i="7"/>
  <c r="O27" i="7"/>
  <c r="E27" i="7"/>
  <c r="M27" i="7"/>
  <c r="P37" i="18" l="1"/>
  <c r="R37" i="18" s="1"/>
  <c r="C37" i="18"/>
  <c r="F37" i="18" s="1"/>
  <c r="P30" i="35"/>
  <c r="R30" i="35" s="1"/>
  <c r="C31" i="31"/>
  <c r="F31" i="31" s="1"/>
  <c r="P31" i="31"/>
  <c r="R31" i="31" s="1"/>
  <c r="C31" i="35"/>
  <c r="F31" i="35" s="1"/>
  <c r="D24" i="38"/>
  <c r="C33" i="18"/>
  <c r="F33" i="18" s="1"/>
  <c r="P33" i="18"/>
  <c r="R33" i="18" s="1"/>
  <c r="P35" i="37"/>
  <c r="R35" i="37" s="1"/>
  <c r="C35" i="37"/>
  <c r="F35" i="37" s="1"/>
  <c r="P32" i="35"/>
  <c r="R32" i="35" s="1"/>
  <c r="C30" i="18"/>
  <c r="F30" i="18" s="1"/>
  <c r="P30" i="18"/>
  <c r="R30" i="18" s="1"/>
  <c r="C33" i="33"/>
  <c r="F33" i="33" s="1"/>
  <c r="P33" i="33"/>
  <c r="R33" i="33" s="1"/>
  <c r="P33" i="34"/>
  <c r="R33" i="34" s="1"/>
  <c r="E26" i="38"/>
  <c r="P35" i="35"/>
  <c r="R35" i="35" s="1"/>
  <c r="C32" i="37"/>
  <c r="F32" i="37" s="1"/>
  <c r="P32" i="37"/>
  <c r="R32" i="37" s="1"/>
  <c r="P37" i="33"/>
  <c r="R37" i="33" s="1"/>
  <c r="C37" i="33"/>
  <c r="F37" i="33" s="1"/>
  <c r="P36" i="34"/>
  <c r="R36" i="34" s="1"/>
  <c r="E29" i="38"/>
  <c r="C31" i="32"/>
  <c r="F31" i="32" s="1"/>
  <c r="C31" i="34"/>
  <c r="F31" i="34" s="1"/>
  <c r="P31" i="32"/>
  <c r="R31" i="32" s="1"/>
  <c r="C24" i="38"/>
  <c r="L33" i="7"/>
  <c r="C33" i="7"/>
  <c r="F33" i="7"/>
  <c r="G33" i="7"/>
  <c r="I33" i="7"/>
  <c r="J33" i="7"/>
  <c r="D33" i="7"/>
  <c r="H33" i="7"/>
  <c r="E33" i="7"/>
  <c r="K33" i="7"/>
  <c r="O33" i="7"/>
  <c r="M33" i="7"/>
  <c r="C30" i="34"/>
  <c r="F30" i="34" s="1"/>
  <c r="P30" i="32"/>
  <c r="R30" i="32" s="1"/>
  <c r="C30" i="32"/>
  <c r="F30" i="32" s="1"/>
  <c r="C23" i="38"/>
  <c r="P31" i="33"/>
  <c r="R31" i="33" s="1"/>
  <c r="C31" i="33"/>
  <c r="F31" i="33" s="1"/>
  <c r="C32" i="32"/>
  <c r="F32" i="32" s="1"/>
  <c r="C32" i="34"/>
  <c r="F32" i="34" s="1"/>
  <c r="P32" i="32"/>
  <c r="R32" i="32" s="1"/>
  <c r="C25" i="38"/>
  <c r="P37" i="34"/>
  <c r="R37" i="34" s="1"/>
  <c r="E30" i="38"/>
  <c r="P36" i="35"/>
  <c r="R36" i="35" s="1"/>
  <c r="P31" i="34"/>
  <c r="R31" i="34" s="1"/>
  <c r="E24" i="38"/>
  <c r="P35" i="34"/>
  <c r="R35" i="34" s="1"/>
  <c r="E28" i="38"/>
  <c r="P32" i="18"/>
  <c r="R32" i="18" s="1"/>
  <c r="C32" i="18"/>
  <c r="F32" i="18" s="1"/>
  <c r="C30" i="37"/>
  <c r="F30" i="37" s="1"/>
  <c r="P30" i="37"/>
  <c r="R30" i="37" s="1"/>
  <c r="C33" i="35"/>
  <c r="F33" i="35" s="1"/>
  <c r="P33" i="31"/>
  <c r="R33" i="31" s="1"/>
  <c r="C33" i="31"/>
  <c r="F33" i="31" s="1"/>
  <c r="D26" i="38"/>
  <c r="P31" i="18"/>
  <c r="R31" i="18" s="1"/>
  <c r="C31" i="18"/>
  <c r="F31" i="18" s="1"/>
  <c r="P32" i="31"/>
  <c r="R32" i="31" s="1"/>
  <c r="C32" i="35"/>
  <c r="F32" i="35" s="1"/>
  <c r="C32" i="31"/>
  <c r="F32" i="31" s="1"/>
  <c r="D25" i="38"/>
  <c r="C37" i="37"/>
  <c r="F37" i="37" s="1"/>
  <c r="P37" i="37"/>
  <c r="R37" i="37" s="1"/>
  <c r="P36" i="31"/>
  <c r="R36" i="31" s="1"/>
  <c r="C36" i="35"/>
  <c r="F36" i="35" s="1"/>
  <c r="C36" i="31"/>
  <c r="F36" i="31" s="1"/>
  <c r="D29" i="38"/>
  <c r="C30" i="35"/>
  <c r="F30" i="35" s="1"/>
  <c r="C30" i="31"/>
  <c r="F30" i="31" s="1"/>
  <c r="P30" i="31"/>
  <c r="R30" i="31" s="1"/>
  <c r="D23" i="38"/>
  <c r="P30" i="34"/>
  <c r="R30" i="34" s="1"/>
  <c r="E23" i="38"/>
  <c r="P33" i="37"/>
  <c r="R33" i="37" s="1"/>
  <c r="C33" i="37"/>
  <c r="F33" i="37" s="1"/>
  <c r="P35" i="18"/>
  <c r="R35" i="18" s="1"/>
  <c r="C35" i="18"/>
  <c r="F35" i="18" s="1"/>
  <c r="F29" i="7"/>
  <c r="C29" i="7"/>
  <c r="I29" i="7"/>
  <c r="J29" i="7"/>
  <c r="K29" i="7"/>
  <c r="H29" i="7"/>
  <c r="L29" i="7"/>
  <c r="G29" i="7"/>
  <c r="E29" i="7"/>
  <c r="O29" i="7"/>
  <c r="D29" i="7"/>
  <c r="M29" i="7"/>
  <c r="P32" i="34"/>
  <c r="R32" i="34" s="1"/>
  <c r="E25" i="38"/>
  <c r="P36" i="32"/>
  <c r="R36" i="32" s="1"/>
  <c r="C36" i="34"/>
  <c r="F36" i="34" s="1"/>
  <c r="C36" i="32"/>
  <c r="F36" i="32" s="1"/>
  <c r="C29" i="38"/>
  <c r="P35" i="33"/>
  <c r="R35" i="33" s="1"/>
  <c r="C35" i="33"/>
  <c r="F35" i="33" s="1"/>
  <c r="C32" i="33"/>
  <c r="F32" i="33" s="1"/>
  <c r="P32" i="33"/>
  <c r="R32" i="33" s="1"/>
  <c r="P37" i="35"/>
  <c r="R37" i="35" s="1"/>
  <c r="P36" i="37"/>
  <c r="R36" i="37" s="1"/>
  <c r="C36" i="37"/>
  <c r="F36" i="37" s="1"/>
  <c r="P36" i="18"/>
  <c r="R36" i="18" s="1"/>
  <c r="C36" i="18"/>
  <c r="F36" i="18" s="1"/>
  <c r="P30" i="33"/>
  <c r="R30" i="33" s="1"/>
  <c r="C30" i="33"/>
  <c r="F30" i="33" s="1"/>
  <c r="P31" i="35"/>
  <c r="R31" i="35" s="1"/>
  <c r="P33" i="32"/>
  <c r="R33" i="32" s="1"/>
  <c r="C33" i="32"/>
  <c r="F33" i="32" s="1"/>
  <c r="C33" i="34"/>
  <c r="F33" i="34" s="1"/>
  <c r="C26" i="38"/>
  <c r="P35" i="32"/>
  <c r="R35" i="32" s="1"/>
  <c r="C35" i="32"/>
  <c r="F35" i="32" s="1"/>
  <c r="C35" i="34"/>
  <c r="F35" i="34" s="1"/>
  <c r="C28" i="38"/>
  <c r="P37" i="32"/>
  <c r="R37" i="32" s="1"/>
  <c r="C37" i="34"/>
  <c r="F37" i="34" s="1"/>
  <c r="C37" i="32"/>
  <c r="F37" i="32" s="1"/>
  <c r="C30" i="38"/>
  <c r="C37" i="35"/>
  <c r="F37" i="35" s="1"/>
  <c r="C37" i="31"/>
  <c r="F37" i="31" s="1"/>
  <c r="P37" i="31"/>
  <c r="R37" i="31" s="1"/>
  <c r="D30" i="38"/>
  <c r="C36" i="33"/>
  <c r="F36" i="33" s="1"/>
  <c r="P36" i="33"/>
  <c r="R36" i="33" s="1"/>
  <c r="C31" i="37"/>
  <c r="F31" i="37" s="1"/>
  <c r="P31" i="37"/>
  <c r="R31" i="37" s="1"/>
  <c r="P33" i="35"/>
  <c r="R33" i="35" s="1"/>
  <c r="P35" i="31"/>
  <c r="R35" i="31" s="1"/>
  <c r="C35" i="31"/>
  <c r="F35" i="31" s="1"/>
  <c r="C35" i="35"/>
  <c r="F35" i="35" s="1"/>
  <c r="D28" i="38"/>
  <c r="H36" i="33" l="1"/>
  <c r="G36" i="33"/>
  <c r="S36" i="18"/>
  <c r="T36" i="18"/>
  <c r="C34" i="33"/>
  <c r="F34" i="33" s="1"/>
  <c r="P34" i="33"/>
  <c r="R34" i="33" s="1"/>
  <c r="H30" i="31"/>
  <c r="G30" i="31"/>
  <c r="G32" i="18"/>
  <c r="H32" i="18"/>
  <c r="T31" i="33"/>
  <c r="S31" i="33"/>
  <c r="P38" i="35"/>
  <c r="R38" i="35" s="1"/>
  <c r="S33" i="34"/>
  <c r="T33" i="34"/>
  <c r="G31" i="35"/>
  <c r="H31" i="35"/>
  <c r="S32" i="34"/>
  <c r="T32" i="34"/>
  <c r="G30" i="35"/>
  <c r="H30" i="35"/>
  <c r="T32" i="18"/>
  <c r="S32" i="18"/>
  <c r="P38" i="33"/>
  <c r="R38" i="33" s="1"/>
  <c r="C38" i="33"/>
  <c r="F38" i="33" s="1"/>
  <c r="H35" i="37"/>
  <c r="G35" i="37"/>
  <c r="S33" i="35"/>
  <c r="T33" i="35"/>
  <c r="T37" i="31"/>
  <c r="S37" i="31"/>
  <c r="H35" i="34"/>
  <c r="G35" i="34"/>
  <c r="T31" i="35"/>
  <c r="S31" i="35"/>
  <c r="G36" i="37"/>
  <c r="H36" i="37"/>
  <c r="G33" i="37"/>
  <c r="H33" i="37"/>
  <c r="G32" i="31"/>
  <c r="H32" i="31"/>
  <c r="S33" i="31"/>
  <c r="T33" i="31"/>
  <c r="G30" i="32"/>
  <c r="H30" i="32"/>
  <c r="C38" i="35"/>
  <c r="F38" i="35" s="1"/>
  <c r="P38" i="31"/>
  <c r="R38" i="31" s="1"/>
  <c r="C38" i="31"/>
  <c r="F38" i="31" s="1"/>
  <c r="D31" i="38"/>
  <c r="S31" i="32"/>
  <c r="T31" i="32"/>
  <c r="T33" i="33"/>
  <c r="S33" i="33"/>
  <c r="T35" i="37"/>
  <c r="S35" i="37"/>
  <c r="H31" i="31"/>
  <c r="G31" i="31"/>
  <c r="S35" i="31"/>
  <c r="T35" i="31"/>
  <c r="T37" i="32"/>
  <c r="S37" i="32"/>
  <c r="T33" i="32"/>
  <c r="S33" i="32"/>
  <c r="G32" i="33"/>
  <c r="H32" i="33"/>
  <c r="S35" i="18"/>
  <c r="T35" i="18"/>
  <c r="H37" i="37"/>
  <c r="G37" i="37"/>
  <c r="G37" i="33"/>
  <c r="H37" i="33"/>
  <c r="S32" i="35"/>
  <c r="T32" i="35"/>
  <c r="H35" i="33"/>
  <c r="G35" i="33"/>
  <c r="G33" i="31"/>
  <c r="H33" i="31"/>
  <c r="S37" i="34"/>
  <c r="T37" i="34"/>
  <c r="S37" i="33"/>
  <c r="T37" i="33"/>
  <c r="T31" i="31"/>
  <c r="S31" i="31"/>
  <c r="F14" i="7"/>
  <c r="O14" i="7"/>
  <c r="E14" i="7"/>
  <c r="G14" i="7"/>
  <c r="C14" i="7"/>
  <c r="L14" i="7"/>
  <c r="J14" i="7"/>
  <c r="D14" i="7"/>
  <c r="K14" i="7"/>
  <c r="I14" i="7"/>
  <c r="H14" i="7"/>
  <c r="M14" i="7"/>
  <c r="G37" i="31"/>
  <c r="H37" i="31"/>
  <c r="G35" i="32"/>
  <c r="H35" i="32"/>
  <c r="T36" i="37"/>
  <c r="S36" i="37"/>
  <c r="S35" i="33"/>
  <c r="T35" i="33"/>
  <c r="C34" i="35"/>
  <c r="F34" i="35" s="1"/>
  <c r="P34" i="31"/>
  <c r="R34" i="31" s="1"/>
  <c r="C34" i="31"/>
  <c r="F34" i="31" s="1"/>
  <c r="D27" i="38"/>
  <c r="T33" i="37"/>
  <c r="S33" i="37"/>
  <c r="G36" i="31"/>
  <c r="H36" i="31"/>
  <c r="H32" i="35"/>
  <c r="G32" i="35"/>
  <c r="H33" i="35"/>
  <c r="G33" i="35"/>
  <c r="S35" i="34"/>
  <c r="T35" i="34"/>
  <c r="T32" i="32"/>
  <c r="S32" i="32"/>
  <c r="S30" i="32"/>
  <c r="T30" i="32"/>
  <c r="H31" i="34"/>
  <c r="G31" i="34"/>
  <c r="T32" i="37"/>
  <c r="S32" i="37"/>
  <c r="G33" i="33"/>
  <c r="H33" i="33"/>
  <c r="S31" i="37"/>
  <c r="T31" i="37"/>
  <c r="S35" i="32"/>
  <c r="T35" i="32"/>
  <c r="T32" i="31"/>
  <c r="S32" i="31"/>
  <c r="H32" i="34"/>
  <c r="G32" i="34"/>
  <c r="G32" i="37"/>
  <c r="H32" i="37"/>
  <c r="S37" i="35"/>
  <c r="T37" i="35"/>
  <c r="P34" i="35"/>
  <c r="R34" i="35" s="1"/>
  <c r="S30" i="34"/>
  <c r="T30" i="34"/>
  <c r="S36" i="31"/>
  <c r="T36" i="31"/>
  <c r="T30" i="37"/>
  <c r="S30" i="37"/>
  <c r="H32" i="32"/>
  <c r="G32" i="32"/>
  <c r="P38" i="34"/>
  <c r="R38" i="34" s="1"/>
  <c r="E31" i="38"/>
  <c r="G35" i="35"/>
  <c r="H35" i="35"/>
  <c r="G37" i="32"/>
  <c r="H37" i="32"/>
  <c r="G33" i="34"/>
  <c r="H33" i="34"/>
  <c r="T32" i="33"/>
  <c r="S32" i="33"/>
  <c r="G36" i="34"/>
  <c r="H36" i="34"/>
  <c r="P34" i="34"/>
  <c r="R34" i="34" s="1"/>
  <c r="E27" i="38"/>
  <c r="G31" i="18"/>
  <c r="H31" i="18"/>
  <c r="H30" i="37"/>
  <c r="G30" i="37"/>
  <c r="P38" i="37"/>
  <c r="R38" i="37" s="1"/>
  <c r="C38" i="37"/>
  <c r="F38" i="37" s="1"/>
  <c r="C38" i="34"/>
  <c r="F38" i="34" s="1"/>
  <c r="P38" i="32"/>
  <c r="R38" i="32" s="1"/>
  <c r="C38" i="32"/>
  <c r="F38" i="32" s="1"/>
  <c r="C31" i="38"/>
  <c r="T36" i="34"/>
  <c r="S36" i="34"/>
  <c r="S35" i="35"/>
  <c r="T35" i="35"/>
  <c r="G30" i="18"/>
  <c r="H30" i="18"/>
  <c r="G33" i="18"/>
  <c r="H33" i="18"/>
  <c r="H37" i="18"/>
  <c r="G37" i="18"/>
  <c r="G37" i="35"/>
  <c r="H37" i="35"/>
  <c r="H30" i="33"/>
  <c r="G30" i="33"/>
  <c r="P34" i="37"/>
  <c r="R34" i="37" s="1"/>
  <c r="C34" i="37"/>
  <c r="F34" i="37" s="1"/>
  <c r="C34" i="18"/>
  <c r="F34" i="18" s="1"/>
  <c r="P34" i="18"/>
  <c r="R34" i="18" s="1"/>
  <c r="H36" i="35"/>
  <c r="G36" i="35"/>
  <c r="G30" i="34"/>
  <c r="H30" i="34"/>
  <c r="H31" i="32"/>
  <c r="G31" i="32"/>
  <c r="S30" i="35"/>
  <c r="T30" i="35"/>
  <c r="G31" i="37"/>
  <c r="H31" i="37"/>
  <c r="S30" i="33"/>
  <c r="T30" i="33"/>
  <c r="G36" i="32"/>
  <c r="H36" i="32"/>
  <c r="P34" i="32"/>
  <c r="R34" i="32" s="1"/>
  <c r="C34" i="34"/>
  <c r="F34" i="34" s="1"/>
  <c r="C34" i="32"/>
  <c r="F34" i="32" s="1"/>
  <c r="C27" i="38"/>
  <c r="S31" i="34"/>
  <c r="T31" i="34"/>
  <c r="T30" i="18"/>
  <c r="S30" i="18"/>
  <c r="T33" i="18"/>
  <c r="S33" i="18"/>
  <c r="G35" i="31"/>
  <c r="H35" i="31"/>
  <c r="S36" i="33"/>
  <c r="T36" i="33"/>
  <c r="H37" i="34"/>
  <c r="G37" i="34"/>
  <c r="G33" i="32"/>
  <c r="H33" i="32"/>
  <c r="G36" i="18"/>
  <c r="H36" i="18"/>
  <c r="T36" i="32"/>
  <c r="S36" i="32"/>
  <c r="H35" i="18"/>
  <c r="G35" i="18"/>
  <c r="T30" i="31"/>
  <c r="S30" i="31"/>
  <c r="T37" i="37"/>
  <c r="S37" i="37"/>
  <c r="S31" i="18"/>
  <c r="T31" i="18"/>
  <c r="T36" i="35"/>
  <c r="S36" i="35"/>
  <c r="G31" i="33"/>
  <c r="H31" i="33"/>
  <c r="P38" i="18"/>
  <c r="R38" i="18" s="1"/>
  <c r="C38" i="18"/>
  <c r="F38" i="18" s="1"/>
  <c r="T37" i="18"/>
  <c r="S37" i="18"/>
  <c r="H34" i="32" l="1"/>
  <c r="G34" i="32"/>
  <c r="S34" i="18"/>
  <c r="T34" i="18"/>
  <c r="G38" i="37"/>
  <c r="H38" i="37"/>
  <c r="T34" i="34"/>
  <c r="S34" i="34"/>
  <c r="S34" i="35"/>
  <c r="T34" i="35"/>
  <c r="P19" i="37"/>
  <c r="R19" i="37" s="1"/>
  <c r="C19" i="37"/>
  <c r="F19" i="37" s="1"/>
  <c r="L18" i="7"/>
  <c r="O18" i="7"/>
  <c r="H18" i="7"/>
  <c r="J18" i="7"/>
  <c r="K18" i="7"/>
  <c r="I18" i="7"/>
  <c r="F18" i="7"/>
  <c r="G18" i="7"/>
  <c r="E18" i="7"/>
  <c r="C18" i="7"/>
  <c r="D18" i="7"/>
  <c r="M18" i="7"/>
  <c r="G34" i="18"/>
  <c r="H34" i="18"/>
  <c r="T38" i="37"/>
  <c r="S38" i="37"/>
  <c r="C19" i="34"/>
  <c r="F19" i="34" s="1"/>
  <c r="P19" i="32"/>
  <c r="R19" i="32" s="1"/>
  <c r="C19" i="32"/>
  <c r="F19" i="32" s="1"/>
  <c r="C12" i="38"/>
  <c r="F12" i="38" s="1"/>
  <c r="H38" i="18"/>
  <c r="G38" i="18"/>
  <c r="P19" i="31"/>
  <c r="R19" i="31" s="1"/>
  <c r="C19" i="35"/>
  <c r="F19" i="35" s="1"/>
  <c r="C19" i="31"/>
  <c r="F19" i="31" s="1"/>
  <c r="D12" i="38"/>
  <c r="G12" i="38" s="1"/>
  <c r="T38" i="35"/>
  <c r="S38" i="35"/>
  <c r="S34" i="33"/>
  <c r="T34" i="33"/>
  <c r="H34" i="33"/>
  <c r="G34" i="33"/>
  <c r="J17" i="7"/>
  <c r="H17" i="7"/>
  <c r="K17" i="7"/>
  <c r="D17" i="7"/>
  <c r="C17" i="7"/>
  <c r="L17" i="7"/>
  <c r="F17" i="7"/>
  <c r="E17" i="7"/>
  <c r="I17" i="7"/>
  <c r="O17" i="7"/>
  <c r="G17" i="7"/>
  <c r="M17" i="7"/>
  <c r="J15" i="7"/>
  <c r="I15" i="7"/>
  <c r="L15" i="7"/>
  <c r="E15" i="7"/>
  <c r="H15" i="7"/>
  <c r="O15" i="7"/>
  <c r="G15" i="7"/>
  <c r="K15" i="7"/>
  <c r="C15" i="7"/>
  <c r="D15" i="7"/>
  <c r="F15" i="7"/>
  <c r="M15" i="7"/>
  <c r="S38" i="18"/>
  <c r="T38" i="18"/>
  <c r="H34" i="37"/>
  <c r="G34" i="37"/>
  <c r="H34" i="31"/>
  <c r="G34" i="31"/>
  <c r="T34" i="37"/>
  <c r="S34" i="37"/>
  <c r="G38" i="32"/>
  <c r="H38" i="32"/>
  <c r="T34" i="31"/>
  <c r="S34" i="31"/>
  <c r="H38" i="33"/>
  <c r="G38" i="33"/>
  <c r="T38" i="32"/>
  <c r="S38" i="32"/>
  <c r="H34" i="35"/>
  <c r="G34" i="35"/>
  <c r="C19" i="18"/>
  <c r="F19" i="18" s="1"/>
  <c r="G19" i="18" s="1"/>
  <c r="P19" i="18"/>
  <c r="R19" i="18" s="1"/>
  <c r="H38" i="31"/>
  <c r="G38" i="31"/>
  <c r="S38" i="33"/>
  <c r="T38" i="33"/>
  <c r="H34" i="34"/>
  <c r="G34" i="34"/>
  <c r="G38" i="34"/>
  <c r="H38" i="34"/>
  <c r="T38" i="34"/>
  <c r="S38" i="34"/>
  <c r="P19" i="34"/>
  <c r="R19" i="34" s="1"/>
  <c r="E12" i="38"/>
  <c r="H12" i="38" s="1"/>
  <c r="T38" i="31"/>
  <c r="S38" i="31"/>
  <c r="S34" i="32"/>
  <c r="T34" i="32"/>
  <c r="C19" i="33"/>
  <c r="F19" i="33" s="1"/>
  <c r="P19" i="33"/>
  <c r="R19" i="33" s="1"/>
  <c r="P19" i="35"/>
  <c r="R19" i="35" s="1"/>
  <c r="H38" i="35"/>
  <c r="G38" i="35"/>
  <c r="O18" i="39" l="1"/>
  <c r="H19" i="33"/>
  <c r="J19" i="33" s="1"/>
  <c r="K19" i="33" s="1"/>
  <c r="H17" i="17" s="1"/>
  <c r="G19" i="33"/>
  <c r="I19" i="33" s="1"/>
  <c r="P20" i="37"/>
  <c r="R20" i="37" s="1"/>
  <c r="C20" i="37"/>
  <c r="F20" i="37" s="1"/>
  <c r="P22" i="33"/>
  <c r="R22" i="33" s="1"/>
  <c r="C22" i="33"/>
  <c r="F22" i="33" s="1"/>
  <c r="C20" i="33"/>
  <c r="F20" i="33" s="1"/>
  <c r="P20" i="33"/>
  <c r="R20" i="33" s="1"/>
  <c r="G19" i="35"/>
  <c r="I19" i="35" s="1"/>
  <c r="H19" i="35"/>
  <c r="J19" i="35" s="1"/>
  <c r="K19" i="35" s="1"/>
  <c r="E17" i="17" s="1"/>
  <c r="L20" i="7"/>
  <c r="E20" i="7"/>
  <c r="J20" i="7"/>
  <c r="D20" i="7"/>
  <c r="I20" i="7"/>
  <c r="C20" i="7"/>
  <c r="F20" i="7"/>
  <c r="H20" i="7"/>
  <c r="G20" i="7"/>
  <c r="K20" i="7"/>
  <c r="O20" i="7"/>
  <c r="M20" i="7"/>
  <c r="S19" i="35"/>
  <c r="U19" i="35" s="1"/>
  <c r="T19" i="35"/>
  <c r="V19" i="35" s="1"/>
  <c r="W19" i="35" s="1"/>
  <c r="V17" i="17" s="1"/>
  <c r="P20" i="35"/>
  <c r="R20" i="35" s="1"/>
  <c r="P22" i="35"/>
  <c r="R22" i="35" s="1"/>
  <c r="T19" i="31"/>
  <c r="V19" i="31" s="1"/>
  <c r="W19" i="31" s="1"/>
  <c r="U17" i="17" s="1"/>
  <c r="S19" i="31"/>
  <c r="U19" i="31" s="1"/>
  <c r="D19" i="7"/>
  <c r="C19" i="7"/>
  <c r="K19" i="7"/>
  <c r="E19" i="7"/>
  <c r="L19" i="7"/>
  <c r="I19" i="7"/>
  <c r="O19" i="7"/>
  <c r="H19" i="7"/>
  <c r="J19" i="7"/>
  <c r="F19" i="7"/>
  <c r="G19" i="7"/>
  <c r="M19" i="7"/>
  <c r="C22" i="37"/>
  <c r="F22" i="37" s="1"/>
  <c r="P22" i="37"/>
  <c r="R22" i="37" s="1"/>
  <c r="G19" i="31"/>
  <c r="I19" i="31" s="1"/>
  <c r="H19" i="31"/>
  <c r="J19" i="31" s="1"/>
  <c r="C23" i="32"/>
  <c r="F23" i="32" s="1"/>
  <c r="P23" i="32"/>
  <c r="R23" i="32" s="1"/>
  <c r="C23" i="34"/>
  <c r="F23" i="34" s="1"/>
  <c r="C16" i="38"/>
  <c r="O21" i="7"/>
  <c r="G21" i="7"/>
  <c r="L21" i="7"/>
  <c r="I21" i="7"/>
  <c r="K21" i="7"/>
  <c r="E21" i="7"/>
  <c r="J21" i="7"/>
  <c r="H21" i="7"/>
  <c r="C21" i="7"/>
  <c r="D21" i="7"/>
  <c r="F21" i="7"/>
  <c r="M21" i="7"/>
  <c r="D24" i="7"/>
  <c r="L24" i="7"/>
  <c r="F24" i="7"/>
  <c r="K24" i="7"/>
  <c r="E24" i="7"/>
  <c r="G24" i="7"/>
  <c r="C24" i="7"/>
  <c r="O24" i="7"/>
  <c r="J24" i="7"/>
  <c r="I24" i="7"/>
  <c r="H24" i="7"/>
  <c r="M24" i="7"/>
  <c r="C20" i="34"/>
  <c r="F20" i="34" s="1"/>
  <c r="C20" i="32"/>
  <c r="F20" i="32" s="1"/>
  <c r="P20" i="32"/>
  <c r="R20" i="32" s="1"/>
  <c r="C13" i="38"/>
  <c r="F13" i="38" s="1"/>
  <c r="P22" i="32"/>
  <c r="R22" i="32" s="1"/>
  <c r="C22" i="32"/>
  <c r="F22" i="32" s="1"/>
  <c r="C22" i="34"/>
  <c r="F22" i="34" s="1"/>
  <c r="C15" i="38"/>
  <c r="G19" i="32"/>
  <c r="I19" i="32" s="1"/>
  <c r="H19" i="32"/>
  <c r="J19" i="32" s="1"/>
  <c r="T19" i="33"/>
  <c r="V19" i="33" s="1"/>
  <c r="W19" i="33" s="1"/>
  <c r="Y17" i="17" s="1"/>
  <c r="S19" i="33"/>
  <c r="U19" i="33" s="1"/>
  <c r="P20" i="31"/>
  <c r="R20" i="31" s="1"/>
  <c r="C20" i="31"/>
  <c r="F20" i="31" s="1"/>
  <c r="D13" i="38"/>
  <c r="G13" i="38" s="1"/>
  <c r="C20" i="35"/>
  <c r="F20" i="35" s="1"/>
  <c r="S19" i="32"/>
  <c r="U19" i="32" s="1"/>
  <c r="T19" i="32"/>
  <c r="V19" i="32" s="1"/>
  <c r="W19" i="32" s="1"/>
  <c r="W17" i="17" s="1"/>
  <c r="C23" i="31"/>
  <c r="F23" i="31" s="1"/>
  <c r="C23" i="35"/>
  <c r="F23" i="35" s="1"/>
  <c r="P23" i="31"/>
  <c r="R23" i="31" s="1"/>
  <c r="D16" i="38"/>
  <c r="P23" i="33"/>
  <c r="R23" i="33" s="1"/>
  <c r="C23" i="33"/>
  <c r="F23" i="33" s="1"/>
  <c r="H19" i="37"/>
  <c r="J19" i="37" s="1"/>
  <c r="K19" i="37" s="1"/>
  <c r="J17" i="17" s="1"/>
  <c r="G19" i="37"/>
  <c r="I19" i="37" s="1"/>
  <c r="G16" i="7"/>
  <c r="L16" i="7"/>
  <c r="J16" i="7"/>
  <c r="H16" i="7"/>
  <c r="D16" i="7"/>
  <c r="K16" i="7"/>
  <c r="E16" i="7"/>
  <c r="C16" i="7"/>
  <c r="O16" i="7"/>
  <c r="I16" i="7"/>
  <c r="F16" i="7"/>
  <c r="M16" i="7"/>
  <c r="S19" i="34"/>
  <c r="U19" i="34" s="1"/>
  <c r="T19" i="34"/>
  <c r="V19" i="34" s="1"/>
  <c r="W19" i="34" s="1"/>
  <c r="X17" i="17" s="1"/>
  <c r="C20" i="18"/>
  <c r="F20" i="18" s="1"/>
  <c r="P20" i="18"/>
  <c r="R20" i="18" s="1"/>
  <c r="C22" i="18"/>
  <c r="F22" i="18" s="1"/>
  <c r="P22" i="18"/>
  <c r="R22" i="18" s="1"/>
  <c r="H19" i="34"/>
  <c r="J19" i="34" s="1"/>
  <c r="G19" i="34"/>
  <c r="I19" i="34" s="1"/>
  <c r="P23" i="18"/>
  <c r="R23" i="18" s="1"/>
  <c r="C23" i="18"/>
  <c r="F23" i="18" s="1"/>
  <c r="C23" i="37"/>
  <c r="F23" i="37" s="1"/>
  <c r="P23" i="37"/>
  <c r="R23" i="37" s="1"/>
  <c r="T19" i="37"/>
  <c r="V19" i="37" s="1"/>
  <c r="W19" i="37" s="1"/>
  <c r="AA17" i="17" s="1"/>
  <c r="S19" i="37"/>
  <c r="U19" i="37" s="1"/>
  <c r="O23" i="7"/>
  <c r="D23" i="7"/>
  <c r="L23" i="7"/>
  <c r="H23" i="7"/>
  <c r="J23" i="7"/>
  <c r="K23" i="7"/>
  <c r="C23" i="7"/>
  <c r="I23" i="7"/>
  <c r="G23" i="7"/>
  <c r="F23" i="7"/>
  <c r="E23" i="7"/>
  <c r="M23" i="7"/>
  <c r="T19" i="18"/>
  <c r="V19" i="18" s="1"/>
  <c r="W19" i="18" s="1"/>
  <c r="T17" i="17" s="1"/>
  <c r="S19" i="18"/>
  <c r="U19" i="18" s="1"/>
  <c r="C22" i="31"/>
  <c r="F22" i="31" s="1"/>
  <c r="P22" i="31"/>
  <c r="R22" i="31" s="1"/>
  <c r="C22" i="35"/>
  <c r="F22" i="35" s="1"/>
  <c r="D15" i="38"/>
  <c r="P23" i="35"/>
  <c r="R23" i="35" s="1"/>
  <c r="G22" i="7"/>
  <c r="K22" i="7"/>
  <c r="D22" i="7"/>
  <c r="L22" i="7"/>
  <c r="J22" i="7"/>
  <c r="C22" i="7"/>
  <c r="I22" i="7"/>
  <c r="F22" i="7"/>
  <c r="O22" i="7"/>
  <c r="H22" i="7"/>
  <c r="M22" i="7"/>
  <c r="E22" i="7"/>
  <c r="H19" i="18"/>
  <c r="I19" i="18"/>
  <c r="P20" i="34"/>
  <c r="R20" i="34" s="1"/>
  <c r="E13" i="38"/>
  <c r="H13" i="38" s="1"/>
  <c r="P22" i="34"/>
  <c r="R22" i="34" s="1"/>
  <c r="E15" i="38"/>
  <c r="P23" i="34"/>
  <c r="R23" i="34" s="1"/>
  <c r="E16" i="38"/>
  <c r="J19" i="18" l="1"/>
  <c r="K19" i="18" s="1"/>
  <c r="C17" i="17" s="1"/>
  <c r="P28" i="35"/>
  <c r="R28" i="35" s="1"/>
  <c r="G22" i="18"/>
  <c r="H22" i="18"/>
  <c r="P29" i="33"/>
  <c r="R29" i="33" s="1"/>
  <c r="C29" i="33"/>
  <c r="F29" i="33" s="1"/>
  <c r="H23" i="34"/>
  <c r="G23" i="34"/>
  <c r="P24" i="37"/>
  <c r="R24" i="37" s="1"/>
  <c r="C24" i="37"/>
  <c r="F24" i="37" s="1"/>
  <c r="C25" i="18"/>
  <c r="F25" i="18" s="1"/>
  <c r="P25" i="18"/>
  <c r="R25" i="18" s="1"/>
  <c r="S20" i="34"/>
  <c r="U20" i="34" s="1"/>
  <c r="T20" i="34"/>
  <c r="V20" i="34" s="1"/>
  <c r="W20" i="34" s="1"/>
  <c r="X18" i="17" s="1"/>
  <c r="P27" i="34"/>
  <c r="R27" i="34" s="1"/>
  <c r="E20" i="38"/>
  <c r="P28" i="31"/>
  <c r="R28" i="31" s="1"/>
  <c r="C28" i="31"/>
  <c r="F28" i="31" s="1"/>
  <c r="C28" i="35"/>
  <c r="F28" i="35" s="1"/>
  <c r="D21" i="38"/>
  <c r="O19" i="39"/>
  <c r="G20" i="31"/>
  <c r="I20" i="31" s="1"/>
  <c r="H20" i="31"/>
  <c r="J20" i="31" s="1"/>
  <c r="K19" i="32"/>
  <c r="F17" i="17" s="1"/>
  <c r="J12" i="38"/>
  <c r="P26" i="35"/>
  <c r="R26" i="35" s="1"/>
  <c r="S23" i="32"/>
  <c r="T23" i="32"/>
  <c r="T22" i="33"/>
  <c r="S22" i="33"/>
  <c r="C27" i="34"/>
  <c r="F27" i="34" s="1"/>
  <c r="C27" i="32"/>
  <c r="F27" i="32" s="1"/>
  <c r="P27" i="32"/>
  <c r="R27" i="32" s="1"/>
  <c r="C20" i="38"/>
  <c r="P28" i="34"/>
  <c r="R28" i="34" s="1"/>
  <c r="E21" i="38"/>
  <c r="P28" i="37"/>
  <c r="R28" i="37" s="1"/>
  <c r="C28" i="37"/>
  <c r="F28" i="37" s="1"/>
  <c r="H23" i="18"/>
  <c r="G23" i="18"/>
  <c r="S20" i="18"/>
  <c r="U20" i="18" s="1"/>
  <c r="T20" i="18"/>
  <c r="V20" i="18" s="1"/>
  <c r="W20" i="18" s="1"/>
  <c r="T18" i="17" s="1"/>
  <c r="C21" i="37"/>
  <c r="F21" i="37" s="1"/>
  <c r="P21" i="37"/>
  <c r="R21" i="37" s="1"/>
  <c r="P21" i="34"/>
  <c r="R21" i="34" s="1"/>
  <c r="E14" i="38"/>
  <c r="H14" i="38" s="1"/>
  <c r="H15" i="38" s="1"/>
  <c r="H16" i="38" s="1"/>
  <c r="T23" i="31"/>
  <c r="S23" i="31"/>
  <c r="T20" i="31"/>
  <c r="V20" i="31" s="1"/>
  <c r="W20" i="31" s="1"/>
  <c r="U18" i="17" s="1"/>
  <c r="S20" i="31"/>
  <c r="U20" i="31" s="1"/>
  <c r="T20" i="32"/>
  <c r="V20" i="32" s="1"/>
  <c r="W20" i="32" s="1"/>
  <c r="W18" i="17" s="1"/>
  <c r="S20" i="32"/>
  <c r="U20" i="32" s="1"/>
  <c r="P29" i="31"/>
  <c r="R29" i="31" s="1"/>
  <c r="C29" i="31"/>
  <c r="F29" i="31" s="1"/>
  <c r="C29" i="35"/>
  <c r="F29" i="35" s="1"/>
  <c r="D22" i="38"/>
  <c r="G23" i="32"/>
  <c r="H23" i="32"/>
  <c r="C25" i="35"/>
  <c r="F25" i="35" s="1"/>
  <c r="C25" i="31"/>
  <c r="F25" i="31" s="1"/>
  <c r="P25" i="31"/>
  <c r="R25" i="31" s="1"/>
  <c r="D18" i="38"/>
  <c r="S20" i="33"/>
  <c r="U20" i="33" s="1"/>
  <c r="T20" i="33"/>
  <c r="V20" i="33" s="1"/>
  <c r="W20" i="33" s="1"/>
  <c r="Y18" i="17" s="1"/>
  <c r="K19" i="34"/>
  <c r="G17" i="17" s="1"/>
  <c r="L12" i="38"/>
  <c r="C27" i="33"/>
  <c r="F27" i="33" s="1"/>
  <c r="P27" i="33"/>
  <c r="R27" i="33" s="1"/>
  <c r="G22" i="31"/>
  <c r="H22" i="31"/>
  <c r="H23" i="37"/>
  <c r="G23" i="37"/>
  <c r="C21" i="32"/>
  <c r="F21" i="32" s="1"/>
  <c r="C21" i="34"/>
  <c r="F21" i="34" s="1"/>
  <c r="P21" i="32"/>
  <c r="R21" i="32" s="1"/>
  <c r="C14" i="38"/>
  <c r="F14" i="38" s="1"/>
  <c r="F15" i="38" s="1"/>
  <c r="F16" i="38" s="1"/>
  <c r="S23" i="33"/>
  <c r="T23" i="33"/>
  <c r="S22" i="32"/>
  <c r="T22" i="32"/>
  <c r="P29" i="32"/>
  <c r="R29" i="32" s="1"/>
  <c r="C29" i="32"/>
  <c r="F29" i="32" s="1"/>
  <c r="C29" i="34"/>
  <c r="F29" i="34" s="1"/>
  <c r="C22" i="38"/>
  <c r="H22" i="33"/>
  <c r="G22" i="33"/>
  <c r="P27" i="37"/>
  <c r="R27" i="37" s="1"/>
  <c r="C27" i="37"/>
  <c r="F27" i="37" s="1"/>
  <c r="C28" i="34"/>
  <c r="F28" i="34" s="1"/>
  <c r="P28" i="32"/>
  <c r="R28" i="32" s="1"/>
  <c r="C28" i="32"/>
  <c r="F28" i="32" s="1"/>
  <c r="C21" i="38"/>
  <c r="T23" i="34"/>
  <c r="S23" i="34"/>
  <c r="S23" i="35"/>
  <c r="T23" i="35"/>
  <c r="AC17" i="17"/>
  <c r="AF17" i="17" s="1"/>
  <c r="T23" i="18"/>
  <c r="S23" i="18"/>
  <c r="H20" i="18"/>
  <c r="J20" i="18" s="1"/>
  <c r="K20" i="18" s="1"/>
  <c r="G20" i="18"/>
  <c r="I20" i="18" s="1"/>
  <c r="C21" i="18"/>
  <c r="F21" i="18" s="1"/>
  <c r="P21" i="18"/>
  <c r="R21" i="18" s="1"/>
  <c r="H23" i="35"/>
  <c r="G23" i="35"/>
  <c r="G20" i="32"/>
  <c r="I20" i="32" s="1"/>
  <c r="H20" i="32"/>
  <c r="J20" i="32" s="1"/>
  <c r="P29" i="37"/>
  <c r="R29" i="37" s="1"/>
  <c r="C29" i="37"/>
  <c r="F29" i="37" s="1"/>
  <c r="K12" i="38"/>
  <c r="K19" i="31"/>
  <c r="D17" i="17" s="1"/>
  <c r="P24" i="35"/>
  <c r="R24" i="35" s="1"/>
  <c r="C25" i="37"/>
  <c r="F25" i="37" s="1"/>
  <c r="P25" i="37"/>
  <c r="R25" i="37" s="1"/>
  <c r="G20" i="33"/>
  <c r="I20" i="33" s="1"/>
  <c r="H20" i="33"/>
  <c r="J20" i="33" s="1"/>
  <c r="K20" i="33" s="1"/>
  <c r="H18" i="17" s="1"/>
  <c r="H20" i="37"/>
  <c r="J20" i="37" s="1"/>
  <c r="K20" i="37" s="1"/>
  <c r="J18" i="17" s="1"/>
  <c r="G20" i="37"/>
  <c r="I20" i="37" s="1"/>
  <c r="P27" i="18"/>
  <c r="R27" i="18" s="1"/>
  <c r="C27" i="18"/>
  <c r="F27" i="18" s="1"/>
  <c r="C28" i="18"/>
  <c r="F28" i="18" s="1"/>
  <c r="P28" i="18"/>
  <c r="R28" i="18" s="1"/>
  <c r="P21" i="35"/>
  <c r="R21" i="35" s="1"/>
  <c r="G23" i="31"/>
  <c r="H23" i="31"/>
  <c r="H20" i="34"/>
  <c r="J20" i="34" s="1"/>
  <c r="G20" i="34"/>
  <c r="I20" i="34" s="1"/>
  <c r="P29" i="18"/>
  <c r="R29" i="18" s="1"/>
  <c r="C29" i="18"/>
  <c r="F29" i="18" s="1"/>
  <c r="C26" i="34"/>
  <c r="F26" i="34" s="1"/>
  <c r="P26" i="32"/>
  <c r="R26" i="32" s="1"/>
  <c r="C26" i="32"/>
  <c r="F26" i="32" s="1"/>
  <c r="C19" i="38"/>
  <c r="P24" i="34"/>
  <c r="R24" i="34" s="1"/>
  <c r="E17" i="38"/>
  <c r="S22" i="35"/>
  <c r="T22" i="35"/>
  <c r="P25" i="35"/>
  <c r="R25" i="35" s="1"/>
  <c r="T20" i="37"/>
  <c r="V20" i="37" s="1"/>
  <c r="W20" i="37" s="1"/>
  <c r="AA18" i="17" s="1"/>
  <c r="S20" i="37"/>
  <c r="U20" i="37" s="1"/>
  <c r="P29" i="34"/>
  <c r="R29" i="34" s="1"/>
  <c r="E22" i="38"/>
  <c r="C26" i="35"/>
  <c r="F26" i="35" s="1"/>
  <c r="P26" i="31"/>
  <c r="R26" i="31" s="1"/>
  <c r="C26" i="31"/>
  <c r="F26" i="31" s="1"/>
  <c r="D19" i="38"/>
  <c r="P26" i="34"/>
  <c r="R26" i="34" s="1"/>
  <c r="E19" i="38"/>
  <c r="P24" i="32"/>
  <c r="R24" i="32" s="1"/>
  <c r="C24" i="32"/>
  <c r="F24" i="32" s="1"/>
  <c r="C24" i="34"/>
  <c r="F24" i="34" s="1"/>
  <c r="C17" i="38"/>
  <c r="C24" i="18"/>
  <c r="F24" i="18" s="1"/>
  <c r="P24" i="18"/>
  <c r="R24" i="18" s="1"/>
  <c r="P25" i="34"/>
  <c r="R25" i="34" s="1"/>
  <c r="E18" i="38"/>
  <c r="P27" i="35"/>
  <c r="R27" i="35" s="1"/>
  <c r="H22" i="35"/>
  <c r="G22" i="35"/>
  <c r="C21" i="35"/>
  <c r="F21" i="35" s="1"/>
  <c r="C21" i="31"/>
  <c r="F21" i="31" s="1"/>
  <c r="P21" i="31"/>
  <c r="R21" i="31" s="1"/>
  <c r="D14" i="38"/>
  <c r="G14" i="38" s="1"/>
  <c r="G15" i="38" s="1"/>
  <c r="G16" i="38" s="1"/>
  <c r="G22" i="34"/>
  <c r="H22" i="34"/>
  <c r="P29" i="35"/>
  <c r="R29" i="35" s="1"/>
  <c r="P26" i="18"/>
  <c r="R26" i="18" s="1"/>
  <c r="C26" i="18"/>
  <c r="F26" i="18" s="1"/>
  <c r="C26" i="37"/>
  <c r="F26" i="37" s="1"/>
  <c r="P26" i="37"/>
  <c r="R26" i="37" s="1"/>
  <c r="S22" i="37"/>
  <c r="T22" i="37"/>
  <c r="C24" i="35"/>
  <c r="F24" i="35" s="1"/>
  <c r="P24" i="31"/>
  <c r="R24" i="31" s="1"/>
  <c r="C24" i="31"/>
  <c r="F24" i="31" s="1"/>
  <c r="D17" i="38"/>
  <c r="S20" i="35"/>
  <c r="U20" i="35" s="1"/>
  <c r="T20" i="35"/>
  <c r="V20" i="35" s="1"/>
  <c r="W20" i="35" s="1"/>
  <c r="V18" i="17" s="1"/>
  <c r="P25" i="33"/>
  <c r="R25" i="33" s="1"/>
  <c r="C25" i="33"/>
  <c r="F25" i="33" s="1"/>
  <c r="T22" i="34"/>
  <c r="S22" i="34"/>
  <c r="P27" i="31"/>
  <c r="R27" i="31" s="1"/>
  <c r="C27" i="35"/>
  <c r="F27" i="35" s="1"/>
  <c r="C27" i="31"/>
  <c r="F27" i="31" s="1"/>
  <c r="D20" i="38"/>
  <c r="T22" i="31"/>
  <c r="S22" i="31"/>
  <c r="P28" i="33"/>
  <c r="R28" i="33" s="1"/>
  <c r="C28" i="33"/>
  <c r="F28" i="33" s="1"/>
  <c r="S23" i="37"/>
  <c r="T23" i="37"/>
  <c r="S22" i="18"/>
  <c r="T22" i="18"/>
  <c r="P21" i="33"/>
  <c r="R21" i="33" s="1"/>
  <c r="C21" i="33"/>
  <c r="F21" i="33" s="1"/>
  <c r="H23" i="33"/>
  <c r="G23" i="33"/>
  <c r="G20" i="35"/>
  <c r="I20" i="35" s="1"/>
  <c r="H20" i="35"/>
  <c r="J20" i="35" s="1"/>
  <c r="K20" i="35" s="1"/>
  <c r="E18" i="17" s="1"/>
  <c r="G22" i="32"/>
  <c r="H22" i="32"/>
  <c r="C26" i="33"/>
  <c r="F26" i="33" s="1"/>
  <c r="P26" i="33"/>
  <c r="R26" i="33" s="1"/>
  <c r="G22" i="37"/>
  <c r="H22" i="37"/>
  <c r="P24" i="33"/>
  <c r="R24" i="33" s="1"/>
  <c r="C24" i="33"/>
  <c r="F24" i="33" s="1"/>
  <c r="C25" i="32"/>
  <c r="F25" i="32" s="1"/>
  <c r="P25" i="32"/>
  <c r="R25" i="32" s="1"/>
  <c r="C25" i="34"/>
  <c r="F25" i="34" s="1"/>
  <c r="C18" i="38"/>
  <c r="C18" i="17" l="1"/>
  <c r="G17" i="38"/>
  <c r="G18" i="38" s="1"/>
  <c r="G19" i="38" s="1"/>
  <c r="G20" i="38" s="1"/>
  <c r="G21" i="38" s="1"/>
  <c r="G22" i="38" s="1"/>
  <c r="G23" i="38" s="1"/>
  <c r="G24" i="38" s="1"/>
  <c r="G25" i="38" s="1"/>
  <c r="G26" i="38" s="1"/>
  <c r="G27" i="38" s="1"/>
  <c r="G28" i="38" s="1"/>
  <c r="G29" i="38" s="1"/>
  <c r="G30" i="38" s="1"/>
  <c r="G31" i="38" s="1"/>
  <c r="G32" i="38" s="1"/>
  <c r="G33" i="38" s="1"/>
  <c r="G34" i="38" s="1"/>
  <c r="G35" i="38" s="1"/>
  <c r="G36" i="38" s="1"/>
  <c r="G37" i="38" s="1"/>
  <c r="G38" i="38" s="1"/>
  <c r="G39" i="38" s="1"/>
  <c r="G40" i="38" s="1"/>
  <c r="G41" i="38" s="1"/>
  <c r="G42" i="38" s="1"/>
  <c r="G43" i="38" s="1"/>
  <c r="G44" i="38" s="1"/>
  <c r="G45" i="38" s="1"/>
  <c r="G46" i="38" s="1"/>
  <c r="G47" i="38" s="1"/>
  <c r="G48" i="38" s="1"/>
  <c r="G49" i="38" s="1"/>
  <c r="G50" i="38" s="1"/>
  <c r="G51" i="38" s="1"/>
  <c r="G52" i="38" s="1"/>
  <c r="G53" i="38" s="1"/>
  <c r="G54" i="38" s="1"/>
  <c r="G55" i="38" s="1"/>
  <c r="G56" i="38" s="1"/>
  <c r="G57" i="38" s="1"/>
  <c r="G58" i="38" s="1"/>
  <c r="G59" i="38" s="1"/>
  <c r="G60" i="38" s="1"/>
  <c r="G61" i="38" s="1"/>
  <c r="G62" i="38" s="1"/>
  <c r="G63" i="38" s="1"/>
  <c r="G64" i="38" s="1"/>
  <c r="G65" i="38" s="1"/>
  <c r="G66" i="38" s="1"/>
  <c r="G67" i="38" s="1"/>
  <c r="G68" i="38" s="1"/>
  <c r="G69" i="38" s="1"/>
  <c r="G70" i="38" s="1"/>
  <c r="G71" i="38" s="1"/>
  <c r="G72" i="38" s="1"/>
  <c r="G73" i="38" s="1"/>
  <c r="G74" i="38" s="1"/>
  <c r="G75" i="38" s="1"/>
  <c r="G76" i="38" s="1"/>
  <c r="G77" i="38" s="1"/>
  <c r="G78" i="38" s="1"/>
  <c r="G79" i="38" s="1"/>
  <c r="G80" i="38" s="1"/>
  <c r="G81" i="38" s="1"/>
  <c r="G82" i="38" s="1"/>
  <c r="G83" i="38" s="1"/>
  <c r="G84" i="38" s="1"/>
  <c r="G85" i="38" s="1"/>
  <c r="G86" i="38" s="1"/>
  <c r="G87" i="38" s="1"/>
  <c r="G88" i="38" s="1"/>
  <c r="G89" i="38" s="1"/>
  <c r="G90" i="38" s="1"/>
  <c r="G91" i="38" s="1"/>
  <c r="G92" i="38" s="1"/>
  <c r="L17" i="17"/>
  <c r="O17" i="17" s="1"/>
  <c r="J13" i="38"/>
  <c r="K20" i="32"/>
  <c r="F18" i="17" s="1"/>
  <c r="AC18" i="17"/>
  <c r="AF18" i="17" s="1"/>
  <c r="L13" i="38"/>
  <c r="K20" i="34"/>
  <c r="G18" i="17" s="1"/>
  <c r="H29" i="32"/>
  <c r="G29" i="32"/>
  <c r="S27" i="32"/>
  <c r="T27" i="32"/>
  <c r="G26" i="33"/>
  <c r="H26" i="33"/>
  <c r="G24" i="31"/>
  <c r="H24" i="31"/>
  <c r="T27" i="35"/>
  <c r="S27" i="35"/>
  <c r="G26" i="34"/>
  <c r="H26" i="34"/>
  <c r="S27" i="37"/>
  <c r="T27" i="37"/>
  <c r="T28" i="31"/>
  <c r="S28" i="31"/>
  <c r="G26" i="18"/>
  <c r="H26" i="18"/>
  <c r="S25" i="37"/>
  <c r="T25" i="37"/>
  <c r="G24" i="33"/>
  <c r="H24" i="33"/>
  <c r="H24" i="35"/>
  <c r="G24" i="35"/>
  <c r="S26" i="18"/>
  <c r="T26" i="18"/>
  <c r="G21" i="31"/>
  <c r="I21" i="31" s="1"/>
  <c r="J22" i="31" s="1"/>
  <c r="H21" i="31"/>
  <c r="J21" i="31" s="1"/>
  <c r="T25" i="34"/>
  <c r="S25" i="34"/>
  <c r="S24" i="34"/>
  <c r="T24" i="34"/>
  <c r="G29" i="18"/>
  <c r="H29" i="18"/>
  <c r="T21" i="35"/>
  <c r="V21" i="35" s="1"/>
  <c r="W21" i="35" s="1"/>
  <c r="V19" i="17" s="1"/>
  <c r="S21" i="35"/>
  <c r="U21" i="35" s="1"/>
  <c r="V22" i="35" s="1"/>
  <c r="W22" i="35" s="1"/>
  <c r="V20" i="17" s="1"/>
  <c r="S27" i="18"/>
  <c r="T27" i="18"/>
  <c r="H25" i="37"/>
  <c r="G25" i="37"/>
  <c r="G29" i="35"/>
  <c r="H29" i="35"/>
  <c r="T27" i="34"/>
  <c r="S27" i="34"/>
  <c r="H24" i="37"/>
  <c r="G24" i="37"/>
  <c r="G21" i="34"/>
  <c r="I21" i="34" s="1"/>
  <c r="H21" i="34"/>
  <c r="J21" i="34" s="1"/>
  <c r="H25" i="31"/>
  <c r="G25" i="31"/>
  <c r="H21" i="33"/>
  <c r="J21" i="33" s="1"/>
  <c r="K21" i="33" s="1"/>
  <c r="H19" i="17" s="1"/>
  <c r="G21" i="33"/>
  <c r="I21" i="33" s="1"/>
  <c r="G29" i="37"/>
  <c r="H29" i="37"/>
  <c r="S29" i="33"/>
  <c r="T29" i="33"/>
  <c r="S21" i="33"/>
  <c r="U21" i="33" s="1"/>
  <c r="V22" i="33" s="1"/>
  <c r="W22" i="33" s="1"/>
  <c r="Y20" i="17" s="1"/>
  <c r="T21" i="33"/>
  <c r="V21" i="33" s="1"/>
  <c r="W21" i="33" s="1"/>
  <c r="Y19" i="17" s="1"/>
  <c r="T24" i="32"/>
  <c r="S24" i="32"/>
  <c r="T29" i="34"/>
  <c r="S29" i="34"/>
  <c r="T29" i="37"/>
  <c r="S29" i="37"/>
  <c r="T24" i="33"/>
  <c r="S24" i="33"/>
  <c r="G21" i="35"/>
  <c r="I21" i="35" s="1"/>
  <c r="J22" i="35" s="1"/>
  <c r="K22" i="35" s="1"/>
  <c r="E20" i="17" s="1"/>
  <c r="H21" i="35"/>
  <c r="J21" i="35" s="1"/>
  <c r="K21" i="35" s="1"/>
  <c r="E19" i="17" s="1"/>
  <c r="S26" i="34"/>
  <c r="T26" i="34"/>
  <c r="K13" i="38"/>
  <c r="K20" i="31"/>
  <c r="D18" i="17" s="1"/>
  <c r="S29" i="18"/>
  <c r="T29" i="18"/>
  <c r="H28" i="32"/>
  <c r="G28" i="32"/>
  <c r="H29" i="31"/>
  <c r="G29" i="31"/>
  <c r="S24" i="37"/>
  <c r="T24" i="37"/>
  <c r="G27" i="35"/>
  <c r="H27" i="35"/>
  <c r="H26" i="31"/>
  <c r="G26" i="31"/>
  <c r="H27" i="33"/>
  <c r="G27" i="33"/>
  <c r="H25" i="34"/>
  <c r="G25" i="34"/>
  <c r="H25" i="32"/>
  <c r="G25" i="32"/>
  <c r="S28" i="33"/>
  <c r="T28" i="33"/>
  <c r="G24" i="32"/>
  <c r="H24" i="32"/>
  <c r="H21" i="18"/>
  <c r="G21" i="18"/>
  <c r="I21" i="18" s="1"/>
  <c r="J22" i="18" s="1"/>
  <c r="K22" i="18" s="1"/>
  <c r="C20" i="17" s="1"/>
  <c r="G21" i="37"/>
  <c r="I21" i="37" s="1"/>
  <c r="H21" i="37"/>
  <c r="J21" i="37" s="1"/>
  <c r="K21" i="37" s="1"/>
  <c r="J19" i="17" s="1"/>
  <c r="F17" i="38"/>
  <c r="F18" i="38" s="1"/>
  <c r="F19" i="38" s="1"/>
  <c r="F20" i="38" s="1"/>
  <c r="F21" i="38" s="1"/>
  <c r="F22" i="38" s="1"/>
  <c r="F23" i="38" s="1"/>
  <c r="F24" i="38" s="1"/>
  <c r="F25" i="38" s="1"/>
  <c r="F26" i="38" s="1"/>
  <c r="F27" i="38" s="1"/>
  <c r="F28" i="38" s="1"/>
  <c r="F29" i="38" s="1"/>
  <c r="F30" i="38" s="1"/>
  <c r="F31" i="38" s="1"/>
  <c r="F32" i="38" s="1"/>
  <c r="F33" i="38" s="1"/>
  <c r="F34" i="38" s="1"/>
  <c r="F35" i="38" s="1"/>
  <c r="F36" i="38" s="1"/>
  <c r="F37" i="38" s="1"/>
  <c r="F38" i="38" s="1"/>
  <c r="F39" i="38" s="1"/>
  <c r="F40" i="38" s="1"/>
  <c r="F41" i="38" s="1"/>
  <c r="F42" i="38" s="1"/>
  <c r="F43" i="38" s="1"/>
  <c r="F44" i="38" s="1"/>
  <c r="F45" i="38" s="1"/>
  <c r="F46" i="38" s="1"/>
  <c r="F47" i="38" s="1"/>
  <c r="F48" i="38" s="1"/>
  <c r="F49" i="38" s="1"/>
  <c r="F50" i="38" s="1"/>
  <c r="F51" i="38" s="1"/>
  <c r="F52" i="38" s="1"/>
  <c r="F53" i="38" s="1"/>
  <c r="F54" i="38" s="1"/>
  <c r="F55" i="38" s="1"/>
  <c r="F56" i="38" s="1"/>
  <c r="F57" i="38" s="1"/>
  <c r="F58" i="38" s="1"/>
  <c r="F59" i="38" s="1"/>
  <c r="F60" i="38" s="1"/>
  <c r="F61" i="38" s="1"/>
  <c r="F62" i="38" s="1"/>
  <c r="F63" i="38" s="1"/>
  <c r="F64" i="38" s="1"/>
  <c r="F65" i="38" s="1"/>
  <c r="F66" i="38" s="1"/>
  <c r="F67" i="38" s="1"/>
  <c r="F68" i="38" s="1"/>
  <c r="F69" i="38" s="1"/>
  <c r="F70" i="38" s="1"/>
  <c r="F71" i="38" s="1"/>
  <c r="F72" i="38" s="1"/>
  <c r="F73" i="38" s="1"/>
  <c r="F74" i="38" s="1"/>
  <c r="F75" i="38" s="1"/>
  <c r="F76" i="38" s="1"/>
  <c r="F77" i="38" s="1"/>
  <c r="F78" i="38" s="1"/>
  <c r="F79" i="38" s="1"/>
  <c r="F80" i="38" s="1"/>
  <c r="F81" i="38" s="1"/>
  <c r="F82" i="38" s="1"/>
  <c r="F83" i="38" s="1"/>
  <c r="F84" i="38" s="1"/>
  <c r="F85" i="38" s="1"/>
  <c r="F86" i="38" s="1"/>
  <c r="F87" i="38" s="1"/>
  <c r="F88" i="38" s="1"/>
  <c r="F89" i="38" s="1"/>
  <c r="F90" i="38" s="1"/>
  <c r="F91" i="38" s="1"/>
  <c r="F92" i="38" s="1"/>
  <c r="S24" i="31"/>
  <c r="T24" i="31"/>
  <c r="T21" i="31"/>
  <c r="V21" i="31" s="1"/>
  <c r="W21" i="31" s="1"/>
  <c r="U19" i="17" s="1"/>
  <c r="S21" i="31"/>
  <c r="U21" i="31" s="1"/>
  <c r="G27" i="18"/>
  <c r="H27" i="18"/>
  <c r="S28" i="34"/>
  <c r="T28" i="34"/>
  <c r="H25" i="33"/>
  <c r="G25" i="33"/>
  <c r="G27" i="31"/>
  <c r="H27" i="31"/>
  <c r="T25" i="33"/>
  <c r="S25" i="33"/>
  <c r="S29" i="35"/>
  <c r="T29" i="35"/>
  <c r="S24" i="18"/>
  <c r="T24" i="18"/>
  <c r="S24" i="35"/>
  <c r="T24" i="35"/>
  <c r="T28" i="32"/>
  <c r="S28" i="32"/>
  <c r="G29" i="34"/>
  <c r="H29" i="34"/>
  <c r="S21" i="32"/>
  <c r="U21" i="32" s="1"/>
  <c r="V22" i="32" s="1"/>
  <c r="W22" i="32" s="1"/>
  <c r="W20" i="17" s="1"/>
  <c r="T21" i="32"/>
  <c r="V21" i="32" s="1"/>
  <c r="W21" i="32" s="1"/>
  <c r="W19" i="17" s="1"/>
  <c r="S27" i="33"/>
  <c r="T27" i="33"/>
  <c r="S25" i="31"/>
  <c r="T25" i="31"/>
  <c r="T29" i="31"/>
  <c r="S29" i="31"/>
  <c r="S28" i="35"/>
  <c r="T28" i="35"/>
  <c r="H24" i="18"/>
  <c r="G24" i="18"/>
  <c r="H28" i="34"/>
  <c r="G28" i="34"/>
  <c r="S21" i="34"/>
  <c r="U21" i="34" s="1"/>
  <c r="V22" i="34" s="1"/>
  <c r="W22" i="34" s="1"/>
  <c r="X20" i="17" s="1"/>
  <c r="T21" i="34"/>
  <c r="V21" i="34" s="1"/>
  <c r="W21" i="34" s="1"/>
  <c r="X19" i="17" s="1"/>
  <c r="S27" i="31"/>
  <c r="T27" i="31"/>
  <c r="T26" i="37"/>
  <c r="S26" i="37"/>
  <c r="T26" i="31"/>
  <c r="S26" i="31"/>
  <c r="S25" i="35"/>
  <c r="T25" i="35"/>
  <c r="G26" i="32"/>
  <c r="H26" i="32"/>
  <c r="T28" i="18"/>
  <c r="S28" i="18"/>
  <c r="O20" i="39"/>
  <c r="O21" i="39" s="1"/>
  <c r="O22" i="39" s="1"/>
  <c r="T29" i="32"/>
  <c r="S29" i="32"/>
  <c r="G21" i="32"/>
  <c r="I21" i="32" s="1"/>
  <c r="J22" i="32" s="1"/>
  <c r="H21" i="32"/>
  <c r="J21" i="32" s="1"/>
  <c r="H25" i="35"/>
  <c r="G25" i="35"/>
  <c r="G28" i="37"/>
  <c r="H28" i="37"/>
  <c r="H27" i="32"/>
  <c r="G27" i="32"/>
  <c r="G28" i="35"/>
  <c r="H28" i="35"/>
  <c r="S25" i="18"/>
  <c r="T25" i="18"/>
  <c r="H17" i="38"/>
  <c r="H18" i="38" s="1"/>
  <c r="H19" i="38" s="1"/>
  <c r="H20" i="38" s="1"/>
  <c r="H21" i="38" s="1"/>
  <c r="H22" i="38" s="1"/>
  <c r="H23" i="38" s="1"/>
  <c r="H24" i="38" s="1"/>
  <c r="H25" i="38" s="1"/>
  <c r="H26" i="38" s="1"/>
  <c r="H27" i="38" s="1"/>
  <c r="H28" i="38" s="1"/>
  <c r="H29" i="38" s="1"/>
  <c r="H30" i="38" s="1"/>
  <c r="H31" i="38" s="1"/>
  <c r="H32" i="38" s="1"/>
  <c r="H33" i="38" s="1"/>
  <c r="H34" i="38" s="1"/>
  <c r="H35" i="38" s="1"/>
  <c r="H36" i="38" s="1"/>
  <c r="H37" i="38" s="1"/>
  <c r="H38" i="38" s="1"/>
  <c r="H39" i="38" s="1"/>
  <c r="H40" i="38" s="1"/>
  <c r="H41" i="38" s="1"/>
  <c r="H42" i="38" s="1"/>
  <c r="H43" i="38" s="1"/>
  <c r="H44" i="38" s="1"/>
  <c r="H45" i="38" s="1"/>
  <c r="H46" i="38" s="1"/>
  <c r="H47" i="38" s="1"/>
  <c r="H48" i="38" s="1"/>
  <c r="H49" i="38" s="1"/>
  <c r="H50" i="38" s="1"/>
  <c r="H51" i="38" s="1"/>
  <c r="H52" i="38" s="1"/>
  <c r="H53" i="38" s="1"/>
  <c r="H54" i="38" s="1"/>
  <c r="H55" i="38" s="1"/>
  <c r="H56" i="38" s="1"/>
  <c r="H57" i="38" s="1"/>
  <c r="H58" i="38" s="1"/>
  <c r="H59" i="38" s="1"/>
  <c r="H60" i="38" s="1"/>
  <c r="H61" i="38" s="1"/>
  <c r="H62" i="38" s="1"/>
  <c r="H63" i="38" s="1"/>
  <c r="H64" i="38" s="1"/>
  <c r="H65" i="38" s="1"/>
  <c r="H66" i="38" s="1"/>
  <c r="H67" i="38" s="1"/>
  <c r="H68" i="38" s="1"/>
  <c r="H69" i="38" s="1"/>
  <c r="H70" i="38" s="1"/>
  <c r="H71" i="38" s="1"/>
  <c r="H72" i="38" s="1"/>
  <c r="H73" i="38" s="1"/>
  <c r="H74" i="38" s="1"/>
  <c r="H75" i="38" s="1"/>
  <c r="H76" i="38" s="1"/>
  <c r="H77" i="38" s="1"/>
  <c r="H78" i="38" s="1"/>
  <c r="H79" i="38" s="1"/>
  <c r="H80" i="38" s="1"/>
  <c r="H81" i="38" s="1"/>
  <c r="H82" i="38" s="1"/>
  <c r="H83" i="38" s="1"/>
  <c r="H84" i="38" s="1"/>
  <c r="H85" i="38" s="1"/>
  <c r="H86" i="38" s="1"/>
  <c r="H87" i="38" s="1"/>
  <c r="H88" i="38" s="1"/>
  <c r="H89" i="38" s="1"/>
  <c r="H90" i="38" s="1"/>
  <c r="H91" i="38" s="1"/>
  <c r="H92" i="38" s="1"/>
  <c r="T25" i="32"/>
  <c r="S25" i="32"/>
  <c r="T26" i="33"/>
  <c r="S26" i="33"/>
  <c r="H28" i="33"/>
  <c r="G28" i="33"/>
  <c r="G26" i="37"/>
  <c r="H26" i="37"/>
  <c r="H24" i="34"/>
  <c r="G24" i="34"/>
  <c r="H26" i="35"/>
  <c r="G26" i="35"/>
  <c r="S26" i="32"/>
  <c r="T26" i="32"/>
  <c r="H28" i="18"/>
  <c r="G28" i="18"/>
  <c r="T21" i="18"/>
  <c r="V21" i="18" s="1"/>
  <c r="W21" i="18" s="1"/>
  <c r="T19" i="17" s="1"/>
  <c r="S21" i="18"/>
  <c r="U21" i="18" s="1"/>
  <c r="H27" i="37"/>
  <c r="G27" i="37"/>
  <c r="S21" i="37"/>
  <c r="U21" i="37" s="1"/>
  <c r="T21" i="37"/>
  <c r="V21" i="37" s="1"/>
  <c r="W21" i="37" s="1"/>
  <c r="AA19" i="17" s="1"/>
  <c r="S28" i="37"/>
  <c r="T28" i="37"/>
  <c r="H27" i="34"/>
  <c r="G27" i="34"/>
  <c r="S26" i="35"/>
  <c r="T26" i="35"/>
  <c r="H28" i="31"/>
  <c r="G28" i="31"/>
  <c r="H25" i="18"/>
  <c r="G25" i="18"/>
  <c r="H29" i="33"/>
  <c r="G29" i="33"/>
  <c r="L18" i="17" l="1"/>
  <c r="J21" i="18"/>
  <c r="K21" i="18" s="1"/>
  <c r="C19" i="17" s="1"/>
  <c r="I22" i="32"/>
  <c r="J23" i="32" s="1"/>
  <c r="K23" i="32" s="1"/>
  <c r="F21" i="17" s="1"/>
  <c r="U22" i="35"/>
  <c r="V23" i="35" s="1"/>
  <c r="W23" i="35" s="1"/>
  <c r="V21" i="17" s="1"/>
  <c r="U22" i="34"/>
  <c r="V23" i="34" s="1"/>
  <c r="W23" i="34" s="1"/>
  <c r="X21" i="17" s="1"/>
  <c r="I22" i="18"/>
  <c r="V22" i="37"/>
  <c r="W22" i="37" s="1"/>
  <c r="AA20" i="17" s="1"/>
  <c r="U22" i="37"/>
  <c r="E12" i="28"/>
  <c r="O12" i="38" s="1"/>
  <c r="U22" i="32"/>
  <c r="V23" i="32" s="1"/>
  <c r="W23" i="32" s="1"/>
  <c r="W21" i="17" s="1"/>
  <c r="O23" i="39"/>
  <c r="O24" i="39" s="1"/>
  <c r="O25" i="39" s="1"/>
  <c r="O26" i="39" s="1"/>
  <c r="O27" i="39" s="1"/>
  <c r="O28" i="39" s="1"/>
  <c r="O29" i="39" s="1"/>
  <c r="O30" i="39" s="1"/>
  <c r="O31" i="39" s="1"/>
  <c r="O32" i="39" s="1"/>
  <c r="O33" i="39" s="1"/>
  <c r="O34" i="39" s="1"/>
  <c r="O35" i="39" s="1"/>
  <c r="O36" i="39" s="1"/>
  <c r="O37" i="39" s="1"/>
  <c r="O38" i="39" s="1"/>
  <c r="O39" i="39" s="1"/>
  <c r="O40" i="39" s="1"/>
  <c r="O41" i="39" s="1"/>
  <c r="O42" i="39" s="1"/>
  <c r="O43" i="39" s="1"/>
  <c r="O44" i="39" s="1"/>
  <c r="O45" i="39" s="1"/>
  <c r="O46" i="39" s="1"/>
  <c r="O47" i="39" s="1"/>
  <c r="O48" i="39" s="1"/>
  <c r="O49" i="39" s="1"/>
  <c r="O50" i="39" s="1"/>
  <c r="O51" i="39" s="1"/>
  <c r="O52" i="39" s="1"/>
  <c r="O53" i="39" s="1"/>
  <c r="O54" i="39" s="1"/>
  <c r="O55" i="39" s="1"/>
  <c r="O56" i="39" s="1"/>
  <c r="O57" i="39" s="1"/>
  <c r="O58" i="39" s="1"/>
  <c r="O59" i="39" s="1"/>
  <c r="O60" i="39" s="1"/>
  <c r="O61" i="39" s="1"/>
  <c r="O62" i="39" s="1"/>
  <c r="O63" i="39" s="1"/>
  <c r="O64" i="39" s="1"/>
  <c r="O65" i="39" s="1"/>
  <c r="O66" i="39" s="1"/>
  <c r="O67" i="39" s="1"/>
  <c r="O68" i="39" s="1"/>
  <c r="O69" i="39" s="1"/>
  <c r="O70" i="39" s="1"/>
  <c r="O71" i="39" s="1"/>
  <c r="O72" i="39" s="1"/>
  <c r="O73" i="39" s="1"/>
  <c r="O74" i="39" s="1"/>
  <c r="O75" i="39" s="1"/>
  <c r="O76" i="39" s="1"/>
  <c r="O77" i="39" s="1"/>
  <c r="O78" i="39" s="1"/>
  <c r="O79" i="39" s="1"/>
  <c r="O80" i="39" s="1"/>
  <c r="O81" i="39" s="1"/>
  <c r="O82" i="39" s="1"/>
  <c r="O83" i="39" s="1"/>
  <c r="O84" i="39" s="1"/>
  <c r="O85" i="39" s="1"/>
  <c r="O86" i="39" s="1"/>
  <c r="O87" i="39" s="1"/>
  <c r="O88" i="39" s="1"/>
  <c r="O89" i="39" s="1"/>
  <c r="O90" i="39" s="1"/>
  <c r="O91" i="39" s="1"/>
  <c r="O92" i="39" s="1"/>
  <c r="O93" i="39" s="1"/>
  <c r="O94" i="39" s="1"/>
  <c r="O95" i="39" s="1"/>
  <c r="O96" i="39" s="1"/>
  <c r="O97" i="39" s="1"/>
  <c r="O98" i="39" s="1"/>
  <c r="V22" i="31"/>
  <c r="W22" i="31" s="1"/>
  <c r="U20" i="17" s="1"/>
  <c r="U22" i="31"/>
  <c r="J22" i="34"/>
  <c r="I22" i="34"/>
  <c r="J22" i="33"/>
  <c r="K22" i="33" s="1"/>
  <c r="H20" i="17" s="1"/>
  <c r="I22" i="33"/>
  <c r="AC19" i="17"/>
  <c r="AF19" i="17" s="1"/>
  <c r="K21" i="32"/>
  <c r="F19" i="17" s="1"/>
  <c r="J14" i="38"/>
  <c r="L14" i="38"/>
  <c r="K21" i="34"/>
  <c r="G19" i="17" s="1"/>
  <c r="K15" i="38"/>
  <c r="K22" i="31"/>
  <c r="D20" i="17" s="1"/>
  <c r="I22" i="31"/>
  <c r="U23" i="32"/>
  <c r="V24" i="32" s="1"/>
  <c r="W24" i="32" s="1"/>
  <c r="W22" i="17" s="1"/>
  <c r="J16" i="38"/>
  <c r="U22" i="18"/>
  <c r="V22" i="18"/>
  <c r="W22" i="18" s="1"/>
  <c r="T20" i="17" s="1"/>
  <c r="I22" i="37"/>
  <c r="J22" i="37"/>
  <c r="K22" i="37" s="1"/>
  <c r="J20" i="17" s="1"/>
  <c r="K22" i="32"/>
  <c r="F20" i="17" s="1"/>
  <c r="J15" i="38"/>
  <c r="U22" i="33"/>
  <c r="I23" i="32"/>
  <c r="J24" i="32" s="1"/>
  <c r="I22" i="35"/>
  <c r="K14" i="38"/>
  <c r="K21" i="31"/>
  <c r="D19" i="17" s="1"/>
  <c r="U23" i="34" l="1"/>
  <c r="V24" i="34" s="1"/>
  <c r="W24" i="34" s="1"/>
  <c r="X22" i="17" s="1"/>
  <c r="U23" i="35"/>
  <c r="U24" i="35" s="1"/>
  <c r="V25" i="35" s="1"/>
  <c r="W25" i="35" s="1"/>
  <c r="V23" i="17" s="1"/>
  <c r="L19" i="17"/>
  <c r="E14" i="28" s="1"/>
  <c r="M14" i="38" s="1"/>
  <c r="J23" i="18"/>
  <c r="K23" i="18" s="1"/>
  <c r="C21" i="17" s="1"/>
  <c r="I23" i="18"/>
  <c r="AC20" i="17"/>
  <c r="AF20" i="17" s="1"/>
  <c r="M12" i="38"/>
  <c r="N12" i="38"/>
  <c r="V23" i="37"/>
  <c r="W23" i="37" s="1"/>
  <c r="AA21" i="17" s="1"/>
  <c r="U23" i="37"/>
  <c r="I24" i="32"/>
  <c r="K24" i="32"/>
  <c r="F22" i="17" s="1"/>
  <c r="J17" i="38"/>
  <c r="J23" i="33"/>
  <c r="K23" i="33" s="1"/>
  <c r="H21" i="17" s="1"/>
  <c r="I23" i="33"/>
  <c r="V23" i="18"/>
  <c r="W23" i="18" s="1"/>
  <c r="T21" i="17" s="1"/>
  <c r="U23" i="18"/>
  <c r="U24" i="32"/>
  <c r="J23" i="35"/>
  <c r="K23" i="35" s="1"/>
  <c r="E21" i="17" s="1"/>
  <c r="I23" i="35"/>
  <c r="V23" i="33"/>
  <c r="W23" i="33" s="1"/>
  <c r="Y21" i="17" s="1"/>
  <c r="U23" i="33"/>
  <c r="J23" i="37"/>
  <c r="K23" i="37" s="1"/>
  <c r="J21" i="17" s="1"/>
  <c r="I23" i="37"/>
  <c r="J23" i="34"/>
  <c r="I23" i="34"/>
  <c r="L15" i="38"/>
  <c r="K22" i="34"/>
  <c r="G20" i="17" s="1"/>
  <c r="L20" i="17" s="1"/>
  <c r="V23" i="31"/>
  <c r="W23" i="31" s="1"/>
  <c r="U21" i="17" s="1"/>
  <c r="U23" i="31"/>
  <c r="E13" i="28"/>
  <c r="O18" i="17"/>
  <c r="J23" i="31"/>
  <c r="I23" i="31"/>
  <c r="U24" i="34" l="1"/>
  <c r="V25" i="34" s="1"/>
  <c r="W25" i="34" s="1"/>
  <c r="X23" i="17" s="1"/>
  <c r="U25" i="35"/>
  <c r="V26" i="35" s="1"/>
  <c r="W26" i="35" s="1"/>
  <c r="V24" i="17" s="1"/>
  <c r="V24" i="35"/>
  <c r="W24" i="35" s="1"/>
  <c r="V22" i="17" s="1"/>
  <c r="O19" i="17"/>
  <c r="J24" i="18"/>
  <c r="K24" i="18" s="1"/>
  <c r="C22" i="17" s="1"/>
  <c r="I24" i="18"/>
  <c r="AC21" i="17"/>
  <c r="AF21" i="17" s="1"/>
  <c r="O14" i="38"/>
  <c r="V24" i="37"/>
  <c r="W24" i="37" s="1"/>
  <c r="AA22" i="17" s="1"/>
  <c r="U24" i="37"/>
  <c r="J25" i="32"/>
  <c r="I25" i="32"/>
  <c r="V24" i="33"/>
  <c r="W24" i="33" s="1"/>
  <c r="Y22" i="17" s="1"/>
  <c r="U24" i="33"/>
  <c r="K16" i="38"/>
  <c r="K23" i="31"/>
  <c r="D21" i="17" s="1"/>
  <c r="V25" i="32"/>
  <c r="W25" i="32" s="1"/>
  <c r="W23" i="17" s="1"/>
  <c r="U25" i="32"/>
  <c r="V24" i="31"/>
  <c r="W24" i="31" s="1"/>
  <c r="U22" i="17" s="1"/>
  <c r="U24" i="31"/>
  <c r="E15" i="28"/>
  <c r="O15" i="38" s="1"/>
  <c r="O20" i="17"/>
  <c r="L16" i="38"/>
  <c r="K23" i="34"/>
  <c r="G21" i="17" s="1"/>
  <c r="J24" i="37"/>
  <c r="K24" i="37" s="1"/>
  <c r="J22" i="17" s="1"/>
  <c r="I24" i="37"/>
  <c r="I24" i="33"/>
  <c r="J24" i="33"/>
  <c r="K24" i="33" s="1"/>
  <c r="H22" i="17" s="1"/>
  <c r="M13" i="38"/>
  <c r="O13" i="38"/>
  <c r="N13" i="38"/>
  <c r="N14" i="38"/>
  <c r="J24" i="31"/>
  <c r="I24" i="31"/>
  <c r="J24" i="34"/>
  <c r="I24" i="34"/>
  <c r="J24" i="35"/>
  <c r="K24" i="35" s="1"/>
  <c r="E22" i="17" s="1"/>
  <c r="I24" i="35"/>
  <c r="V24" i="18"/>
  <c r="W24" i="18" s="1"/>
  <c r="T22" i="17" s="1"/>
  <c r="U24" i="18"/>
  <c r="U26" i="35" l="1"/>
  <c r="V27" i="35" s="1"/>
  <c r="W27" i="35" s="1"/>
  <c r="V25" i="17" s="1"/>
  <c r="U25" i="34"/>
  <c r="V26" i="34" s="1"/>
  <c r="W26" i="34" s="1"/>
  <c r="X24" i="17" s="1"/>
  <c r="J25" i="18"/>
  <c r="K25" i="18" s="1"/>
  <c r="C23" i="17" s="1"/>
  <c r="I25" i="18"/>
  <c r="J26" i="32"/>
  <c r="I26" i="32"/>
  <c r="K25" i="32"/>
  <c r="F23" i="17" s="1"/>
  <c r="J18" i="38"/>
  <c r="AC22" i="17"/>
  <c r="AF22" i="17" s="1"/>
  <c r="V25" i="37"/>
  <c r="W25" i="37" s="1"/>
  <c r="AA23" i="17" s="1"/>
  <c r="U25" i="37"/>
  <c r="L21" i="17"/>
  <c r="O21" i="17" s="1"/>
  <c r="J25" i="31"/>
  <c r="I25" i="31"/>
  <c r="J25" i="37"/>
  <c r="K25" i="37" s="1"/>
  <c r="J23" i="17" s="1"/>
  <c r="I25" i="37"/>
  <c r="K17" i="38"/>
  <c r="K24" i="31"/>
  <c r="D22" i="17" s="1"/>
  <c r="L17" i="38"/>
  <c r="K24" i="34"/>
  <c r="G22" i="17" s="1"/>
  <c r="M15" i="38"/>
  <c r="N15" i="38"/>
  <c r="V25" i="31"/>
  <c r="W25" i="31" s="1"/>
  <c r="U23" i="17" s="1"/>
  <c r="U25" i="31"/>
  <c r="V25" i="18"/>
  <c r="W25" i="18" s="1"/>
  <c r="T23" i="17" s="1"/>
  <c r="U25" i="18"/>
  <c r="J25" i="34"/>
  <c r="I25" i="34"/>
  <c r="J25" i="33"/>
  <c r="K25" i="33" s="1"/>
  <c r="H23" i="17" s="1"/>
  <c r="I25" i="33"/>
  <c r="V25" i="33"/>
  <c r="W25" i="33" s="1"/>
  <c r="Y23" i="17" s="1"/>
  <c r="U25" i="33"/>
  <c r="J25" i="35"/>
  <c r="K25" i="35" s="1"/>
  <c r="E23" i="17" s="1"/>
  <c r="I25" i="35"/>
  <c r="V26" i="32"/>
  <c r="W26" i="32" s="1"/>
  <c r="W24" i="17" s="1"/>
  <c r="U26" i="32"/>
  <c r="U27" i="35" l="1"/>
  <c r="V28" i="35" s="1"/>
  <c r="W28" i="35" s="1"/>
  <c r="V26" i="17" s="1"/>
  <c r="U26" i="34"/>
  <c r="U27" i="34" s="1"/>
  <c r="V28" i="34" s="1"/>
  <c r="W28" i="34" s="1"/>
  <c r="X26" i="17" s="1"/>
  <c r="L22" i="17"/>
  <c r="O22" i="17" s="1"/>
  <c r="E16" i="28"/>
  <c r="M16" i="38" s="1"/>
  <c r="J26" i="18"/>
  <c r="K26" i="18" s="1"/>
  <c r="C24" i="17" s="1"/>
  <c r="I26" i="18"/>
  <c r="U26" i="37"/>
  <c r="V26" i="37"/>
  <c r="W26" i="37" s="1"/>
  <c r="AA24" i="17" s="1"/>
  <c r="J27" i="32"/>
  <c r="I27" i="32"/>
  <c r="K26" i="32"/>
  <c r="F24" i="17" s="1"/>
  <c r="J19" i="38"/>
  <c r="K25" i="34"/>
  <c r="G23" i="17" s="1"/>
  <c r="L18" i="38"/>
  <c r="V27" i="32"/>
  <c r="W27" i="32" s="1"/>
  <c r="W25" i="17" s="1"/>
  <c r="U27" i="32"/>
  <c r="V26" i="18"/>
  <c r="W26" i="18" s="1"/>
  <c r="T24" i="17" s="1"/>
  <c r="U26" i="18"/>
  <c r="AC23" i="17"/>
  <c r="AF23" i="17" s="1"/>
  <c r="J26" i="33"/>
  <c r="K26" i="33" s="1"/>
  <c r="H24" i="17" s="1"/>
  <c r="I26" i="33"/>
  <c r="J26" i="35"/>
  <c r="K26" i="35" s="1"/>
  <c r="E24" i="17" s="1"/>
  <c r="I26" i="35"/>
  <c r="V26" i="31"/>
  <c r="W26" i="31" s="1"/>
  <c r="U24" i="17" s="1"/>
  <c r="U26" i="31"/>
  <c r="V26" i="33"/>
  <c r="W26" i="33" s="1"/>
  <c r="Y24" i="17" s="1"/>
  <c r="U26" i="33"/>
  <c r="I26" i="34"/>
  <c r="J26" i="34"/>
  <c r="J26" i="37"/>
  <c r="K26" i="37" s="1"/>
  <c r="J24" i="17" s="1"/>
  <c r="I26" i="37"/>
  <c r="J26" i="31"/>
  <c r="I26" i="31"/>
  <c r="K18" i="38"/>
  <c r="K25" i="31"/>
  <c r="D23" i="17" s="1"/>
  <c r="U28" i="35" l="1"/>
  <c r="V29" i="35" s="1"/>
  <c r="W29" i="35" s="1"/>
  <c r="V27" i="17" s="1"/>
  <c r="U28" i="34"/>
  <c r="U29" i="34" s="1"/>
  <c r="V27" i="34"/>
  <c r="W27" i="34" s="1"/>
  <c r="X25" i="17" s="1"/>
  <c r="N16" i="38"/>
  <c r="O16" i="38"/>
  <c r="E17" i="28"/>
  <c r="M17" i="38" s="1"/>
  <c r="L23" i="17"/>
  <c r="O23" i="17" s="1"/>
  <c r="I27" i="18"/>
  <c r="J27" i="18"/>
  <c r="K27" i="18" s="1"/>
  <c r="C25" i="17" s="1"/>
  <c r="J28" i="32"/>
  <c r="I28" i="32"/>
  <c r="J20" i="38"/>
  <c r="K27" i="32"/>
  <c r="F25" i="17" s="1"/>
  <c r="V27" i="37"/>
  <c r="W27" i="37" s="1"/>
  <c r="AA25" i="17" s="1"/>
  <c r="U27" i="37"/>
  <c r="J27" i="31"/>
  <c r="I27" i="31"/>
  <c r="AC24" i="17"/>
  <c r="AF24" i="17" s="1"/>
  <c r="V28" i="32"/>
  <c r="W28" i="32" s="1"/>
  <c r="W26" i="17" s="1"/>
  <c r="U28" i="32"/>
  <c r="V27" i="18"/>
  <c r="W27" i="18" s="1"/>
  <c r="T25" i="17" s="1"/>
  <c r="U27" i="18"/>
  <c r="K19" i="38"/>
  <c r="K26" i="31"/>
  <c r="D24" i="17" s="1"/>
  <c r="J27" i="35"/>
  <c r="K27" i="35" s="1"/>
  <c r="E25" i="17" s="1"/>
  <c r="I27" i="35"/>
  <c r="K26" i="34"/>
  <c r="G24" i="17" s="1"/>
  <c r="L19" i="38"/>
  <c r="J27" i="33"/>
  <c r="K27" i="33" s="1"/>
  <c r="H25" i="17" s="1"/>
  <c r="I27" i="33"/>
  <c r="J27" i="37"/>
  <c r="K27" i="37" s="1"/>
  <c r="J25" i="17" s="1"/>
  <c r="I27" i="37"/>
  <c r="J27" i="34"/>
  <c r="I27" i="34"/>
  <c r="V27" i="33"/>
  <c r="W27" i="33" s="1"/>
  <c r="Y25" i="17" s="1"/>
  <c r="U27" i="33"/>
  <c r="V27" i="31"/>
  <c r="W27" i="31" s="1"/>
  <c r="U25" i="17" s="1"/>
  <c r="U27" i="31"/>
  <c r="U29" i="35" l="1"/>
  <c r="V30" i="35" s="1"/>
  <c r="W30" i="35" s="1"/>
  <c r="V28" i="17" s="1"/>
  <c r="V29" i="34"/>
  <c r="W29" i="34" s="1"/>
  <c r="X27" i="17" s="1"/>
  <c r="N17" i="38"/>
  <c r="E18" i="28"/>
  <c r="M18" i="38" s="1"/>
  <c r="O17" i="38"/>
  <c r="L24" i="17"/>
  <c r="O24" i="17" s="1"/>
  <c r="J28" i="18"/>
  <c r="K28" i="18" s="1"/>
  <c r="C26" i="17" s="1"/>
  <c r="I28" i="18"/>
  <c r="V28" i="37"/>
  <c r="W28" i="37" s="1"/>
  <c r="AA26" i="17" s="1"/>
  <c r="U28" i="37"/>
  <c r="J29" i="32"/>
  <c r="I29" i="32"/>
  <c r="J21" i="38"/>
  <c r="K28" i="32"/>
  <c r="F26" i="17" s="1"/>
  <c r="V30" i="34"/>
  <c r="W30" i="34" s="1"/>
  <c r="X28" i="17" s="1"/>
  <c r="U30" i="34"/>
  <c r="V28" i="31"/>
  <c r="W28" i="31" s="1"/>
  <c r="U26" i="17" s="1"/>
  <c r="U28" i="31"/>
  <c r="K27" i="34"/>
  <c r="G25" i="17" s="1"/>
  <c r="L20" i="38"/>
  <c r="J28" i="33"/>
  <c r="K28" i="33" s="1"/>
  <c r="H26" i="17" s="1"/>
  <c r="I28" i="33"/>
  <c r="V29" i="32"/>
  <c r="W29" i="32" s="1"/>
  <c r="W27" i="17" s="1"/>
  <c r="U29" i="32"/>
  <c r="AC25" i="17"/>
  <c r="AF25" i="17" s="1"/>
  <c r="J28" i="31"/>
  <c r="I28" i="31"/>
  <c r="O18" i="38"/>
  <c r="J28" i="34"/>
  <c r="I28" i="34"/>
  <c r="V28" i="18"/>
  <c r="W28" i="18" s="1"/>
  <c r="T26" i="17" s="1"/>
  <c r="U28" i="18"/>
  <c r="V28" i="33"/>
  <c r="W28" i="33" s="1"/>
  <c r="Y26" i="17" s="1"/>
  <c r="U28" i="33"/>
  <c r="J28" i="37"/>
  <c r="K28" i="37" s="1"/>
  <c r="J26" i="17" s="1"/>
  <c r="I28" i="37"/>
  <c r="J28" i="35"/>
  <c r="K28" i="35" s="1"/>
  <c r="E26" i="17" s="1"/>
  <c r="I28" i="35"/>
  <c r="K20" i="38"/>
  <c r="K27" i="31"/>
  <c r="D25" i="17" s="1"/>
  <c r="U30" i="35" l="1"/>
  <c r="V31" i="35" s="1"/>
  <c r="W31" i="35" s="1"/>
  <c r="V29" i="17" s="1"/>
  <c r="N18" i="38"/>
  <c r="E19" i="28"/>
  <c r="M19" i="38" s="1"/>
  <c r="J29" i="18"/>
  <c r="K29" i="18" s="1"/>
  <c r="C27" i="17" s="1"/>
  <c r="I29" i="18"/>
  <c r="I30" i="32"/>
  <c r="J30" i="32"/>
  <c r="J22" i="38"/>
  <c r="K29" i="32"/>
  <c r="F27" i="17" s="1"/>
  <c r="U29" i="37"/>
  <c r="V29" i="37"/>
  <c r="W29" i="37" s="1"/>
  <c r="AA27" i="17" s="1"/>
  <c r="V29" i="33"/>
  <c r="W29" i="33" s="1"/>
  <c r="Y27" i="17" s="1"/>
  <c r="U29" i="33"/>
  <c r="K28" i="34"/>
  <c r="G26" i="17" s="1"/>
  <c r="L21" i="38"/>
  <c r="J29" i="37"/>
  <c r="K29" i="37" s="1"/>
  <c r="J27" i="17" s="1"/>
  <c r="I29" i="37"/>
  <c r="V29" i="18"/>
  <c r="W29" i="18" s="1"/>
  <c r="T27" i="17" s="1"/>
  <c r="U29" i="18"/>
  <c r="V29" i="31"/>
  <c r="W29" i="31" s="1"/>
  <c r="U27" i="17" s="1"/>
  <c r="U29" i="31"/>
  <c r="J29" i="35"/>
  <c r="K29" i="35" s="1"/>
  <c r="E27" i="17" s="1"/>
  <c r="I29" i="35"/>
  <c r="J29" i="34"/>
  <c r="I29" i="34"/>
  <c r="AC26" i="17"/>
  <c r="AF26" i="17" s="1"/>
  <c r="V30" i="32"/>
  <c r="W30" i="32" s="1"/>
  <c r="W28" i="17" s="1"/>
  <c r="U30" i="32"/>
  <c r="J29" i="33"/>
  <c r="K29" i="33" s="1"/>
  <c r="H27" i="17" s="1"/>
  <c r="I29" i="33"/>
  <c r="J29" i="31"/>
  <c r="I29" i="31"/>
  <c r="V31" i="34"/>
  <c r="W31" i="34" s="1"/>
  <c r="X29" i="17" s="1"/>
  <c r="U31" i="34"/>
  <c r="L25" i="17"/>
  <c r="K28" i="31"/>
  <c r="D26" i="17" s="1"/>
  <c r="K21" i="38"/>
  <c r="L26" i="17" l="1"/>
  <c r="E21" i="28" s="1"/>
  <c r="M21" i="38" s="1"/>
  <c r="U31" i="35"/>
  <c r="V32" i="35" s="1"/>
  <c r="W32" i="35" s="1"/>
  <c r="V30" i="17" s="1"/>
  <c r="N19" i="38"/>
  <c r="O19" i="38"/>
  <c r="J30" i="18"/>
  <c r="K30" i="18" s="1"/>
  <c r="C28" i="17" s="1"/>
  <c r="I30" i="18"/>
  <c r="AC27" i="17"/>
  <c r="AF27" i="17" s="1"/>
  <c r="U30" i="37"/>
  <c r="V30" i="37"/>
  <c r="W30" i="37" s="1"/>
  <c r="AA28" i="17" s="1"/>
  <c r="K30" i="32"/>
  <c r="F28" i="17" s="1"/>
  <c r="J23" i="38"/>
  <c r="J31" i="32"/>
  <c r="I31" i="32"/>
  <c r="K29" i="31"/>
  <c r="D27" i="17" s="1"/>
  <c r="K22" i="38"/>
  <c r="J30" i="34"/>
  <c r="I30" i="34"/>
  <c r="J30" i="35"/>
  <c r="K30" i="35" s="1"/>
  <c r="E28" i="17" s="1"/>
  <c r="I30" i="35"/>
  <c r="J30" i="31"/>
  <c r="I30" i="31"/>
  <c r="K29" i="34"/>
  <c r="G27" i="17" s="1"/>
  <c r="L22" i="38"/>
  <c r="V31" i="32"/>
  <c r="W31" i="32" s="1"/>
  <c r="W29" i="17" s="1"/>
  <c r="U31" i="32"/>
  <c r="J30" i="37"/>
  <c r="K30" i="37" s="1"/>
  <c r="J28" i="17" s="1"/>
  <c r="I30" i="37"/>
  <c r="J30" i="33"/>
  <c r="K30" i="33" s="1"/>
  <c r="H28" i="17" s="1"/>
  <c r="I30" i="33"/>
  <c r="V30" i="33"/>
  <c r="W30" i="33" s="1"/>
  <c r="Y28" i="17" s="1"/>
  <c r="U30" i="33"/>
  <c r="V32" i="34"/>
  <c r="W32" i="34" s="1"/>
  <c r="X30" i="17" s="1"/>
  <c r="U32" i="34"/>
  <c r="V30" i="31"/>
  <c r="W30" i="31" s="1"/>
  <c r="U28" i="17" s="1"/>
  <c r="U30" i="31"/>
  <c r="O25" i="17"/>
  <c r="E20" i="28"/>
  <c r="V30" i="18"/>
  <c r="W30" i="18" s="1"/>
  <c r="T28" i="17" s="1"/>
  <c r="U30" i="18"/>
  <c r="U32" i="35" l="1"/>
  <c r="V33" i="35" s="1"/>
  <c r="W33" i="35" s="1"/>
  <c r="V31" i="17" s="1"/>
  <c r="O26" i="17"/>
  <c r="J31" i="18"/>
  <c r="K31" i="18" s="1"/>
  <c r="C29" i="17" s="1"/>
  <c r="I31" i="18"/>
  <c r="J24" i="38"/>
  <c r="K31" i="32"/>
  <c r="F29" i="17" s="1"/>
  <c r="AC28" i="17"/>
  <c r="AF28" i="17" s="1"/>
  <c r="J32" i="32"/>
  <c r="I32" i="32"/>
  <c r="L27" i="17"/>
  <c r="E22" i="28" s="1"/>
  <c r="V31" i="37"/>
  <c r="W31" i="37" s="1"/>
  <c r="AA29" i="17" s="1"/>
  <c r="U31" i="37"/>
  <c r="J31" i="31"/>
  <c r="I31" i="31"/>
  <c r="J31" i="34"/>
  <c r="I31" i="34"/>
  <c r="J31" i="35"/>
  <c r="K31" i="35" s="1"/>
  <c r="E29" i="17" s="1"/>
  <c r="I31" i="35"/>
  <c r="V33" i="34"/>
  <c r="W33" i="34" s="1"/>
  <c r="X31" i="17" s="1"/>
  <c r="U33" i="34"/>
  <c r="V31" i="33"/>
  <c r="W31" i="33" s="1"/>
  <c r="Y29" i="17" s="1"/>
  <c r="U31" i="33"/>
  <c r="V32" i="32"/>
  <c r="W32" i="32" s="1"/>
  <c r="W30" i="17" s="1"/>
  <c r="U32" i="32"/>
  <c r="K30" i="34"/>
  <c r="G28" i="17" s="1"/>
  <c r="L23" i="38"/>
  <c r="J31" i="37"/>
  <c r="K31" i="37" s="1"/>
  <c r="J29" i="17" s="1"/>
  <c r="I31" i="37"/>
  <c r="N21" i="38"/>
  <c r="M20" i="38"/>
  <c r="N20" i="38"/>
  <c r="O20" i="38"/>
  <c r="K23" i="38"/>
  <c r="K30" i="31"/>
  <c r="D28" i="17" s="1"/>
  <c r="V31" i="31"/>
  <c r="W31" i="31" s="1"/>
  <c r="U29" i="17" s="1"/>
  <c r="U31" i="31"/>
  <c r="J31" i="33"/>
  <c r="K31" i="33" s="1"/>
  <c r="H29" i="17" s="1"/>
  <c r="I31" i="33"/>
  <c r="V31" i="18"/>
  <c r="W31" i="18" s="1"/>
  <c r="T29" i="17" s="1"/>
  <c r="U31" i="18"/>
  <c r="O21" i="38"/>
  <c r="U33" i="35" l="1"/>
  <c r="V34" i="35" s="1"/>
  <c r="W34" i="35" s="1"/>
  <c r="V32" i="17" s="1"/>
  <c r="L28" i="17"/>
  <c r="O27" i="17"/>
  <c r="J32" i="18"/>
  <c r="K32" i="18" s="1"/>
  <c r="C30" i="17" s="1"/>
  <c r="I32" i="18"/>
  <c r="M22" i="38"/>
  <c r="O22" i="38"/>
  <c r="N22" i="38"/>
  <c r="J33" i="32"/>
  <c r="I33" i="32"/>
  <c r="J25" i="38"/>
  <c r="K32" i="32"/>
  <c r="F30" i="17" s="1"/>
  <c r="U32" i="37"/>
  <c r="V32" i="37"/>
  <c r="W32" i="37" s="1"/>
  <c r="AA30" i="17" s="1"/>
  <c r="V32" i="33"/>
  <c r="W32" i="33" s="1"/>
  <c r="Y30" i="17" s="1"/>
  <c r="U32" i="33"/>
  <c r="V32" i="31"/>
  <c r="W32" i="31" s="1"/>
  <c r="U30" i="17" s="1"/>
  <c r="U32" i="31"/>
  <c r="J32" i="35"/>
  <c r="K32" i="35" s="1"/>
  <c r="E30" i="17" s="1"/>
  <c r="I32" i="35"/>
  <c r="AC29" i="17"/>
  <c r="AF29" i="17" s="1"/>
  <c r="V33" i="32"/>
  <c r="W33" i="32" s="1"/>
  <c r="W31" i="17" s="1"/>
  <c r="U33" i="32"/>
  <c r="L24" i="38"/>
  <c r="K31" i="34"/>
  <c r="G29" i="17" s="1"/>
  <c r="V32" i="18"/>
  <c r="W32" i="18" s="1"/>
  <c r="T30" i="17" s="1"/>
  <c r="U32" i="18"/>
  <c r="J32" i="37"/>
  <c r="K32" i="37" s="1"/>
  <c r="J30" i="17" s="1"/>
  <c r="I32" i="37"/>
  <c r="J32" i="34"/>
  <c r="I32" i="34"/>
  <c r="J32" i="33"/>
  <c r="K32" i="33" s="1"/>
  <c r="H30" i="17" s="1"/>
  <c r="I32" i="33"/>
  <c r="J32" i="31"/>
  <c r="I32" i="31"/>
  <c r="V34" i="34"/>
  <c r="W34" i="34" s="1"/>
  <c r="X32" i="17" s="1"/>
  <c r="U34" i="34"/>
  <c r="K24" i="38"/>
  <c r="K31" i="31"/>
  <c r="D29" i="17" s="1"/>
  <c r="U34" i="35" l="1"/>
  <c r="V35" i="35" s="1"/>
  <c r="W35" i="35" s="1"/>
  <c r="V33" i="17" s="1"/>
  <c r="E23" i="28"/>
  <c r="M23" i="38" s="1"/>
  <c r="O28" i="17"/>
  <c r="I33" i="18"/>
  <c r="J33" i="18"/>
  <c r="K33" i="18" s="1"/>
  <c r="C31" i="17" s="1"/>
  <c r="L29" i="17"/>
  <c r="E24" i="28" s="1"/>
  <c r="M24" i="38" s="1"/>
  <c r="J34" i="32"/>
  <c r="I34" i="32"/>
  <c r="K33" i="32"/>
  <c r="F31" i="17" s="1"/>
  <c r="J26" i="38"/>
  <c r="V33" i="37"/>
  <c r="W33" i="37" s="1"/>
  <c r="AA31" i="17" s="1"/>
  <c r="U33" i="37"/>
  <c r="V35" i="34"/>
  <c r="W35" i="34" s="1"/>
  <c r="X33" i="17" s="1"/>
  <c r="U35" i="34"/>
  <c r="V33" i="31"/>
  <c r="W33" i="31" s="1"/>
  <c r="U31" i="17" s="1"/>
  <c r="U33" i="31"/>
  <c r="V33" i="18"/>
  <c r="W33" i="18" s="1"/>
  <c r="T31" i="17" s="1"/>
  <c r="U33" i="18"/>
  <c r="J33" i="33"/>
  <c r="K33" i="33" s="1"/>
  <c r="H31" i="17" s="1"/>
  <c r="I33" i="33"/>
  <c r="AC30" i="17"/>
  <c r="AF30" i="17" s="1"/>
  <c r="V33" i="33"/>
  <c r="W33" i="33" s="1"/>
  <c r="Y31" i="17" s="1"/>
  <c r="U33" i="33"/>
  <c r="J33" i="34"/>
  <c r="I33" i="34"/>
  <c r="J33" i="35"/>
  <c r="K33" i="35" s="1"/>
  <c r="E31" i="17" s="1"/>
  <c r="I33" i="35"/>
  <c r="J33" i="31"/>
  <c r="I33" i="31"/>
  <c r="L25" i="38"/>
  <c r="K32" i="34"/>
  <c r="G30" i="17" s="1"/>
  <c r="K25" i="38"/>
  <c r="K32" i="31"/>
  <c r="D30" i="17" s="1"/>
  <c r="J33" i="37"/>
  <c r="K33" i="37" s="1"/>
  <c r="J31" i="17" s="1"/>
  <c r="I33" i="37"/>
  <c r="V34" i="32"/>
  <c r="W34" i="32" s="1"/>
  <c r="W32" i="17" s="1"/>
  <c r="U34" i="32"/>
  <c r="U35" i="35" l="1"/>
  <c r="O23" i="38"/>
  <c r="N23" i="38"/>
  <c r="I34" i="18"/>
  <c r="J34" i="18"/>
  <c r="K34" i="18" s="1"/>
  <c r="C32" i="17" s="1"/>
  <c r="O29" i="17"/>
  <c r="U34" i="37"/>
  <c r="V34" i="37"/>
  <c r="W34" i="37" s="1"/>
  <c r="AA32" i="17" s="1"/>
  <c r="J35" i="32"/>
  <c r="I35" i="32"/>
  <c r="K34" i="32"/>
  <c r="F32" i="17" s="1"/>
  <c r="J27" i="38"/>
  <c r="V34" i="33"/>
  <c r="W34" i="33" s="1"/>
  <c r="Y32" i="17" s="1"/>
  <c r="U34" i="33"/>
  <c r="V34" i="31"/>
  <c r="W34" i="31" s="1"/>
  <c r="U32" i="17" s="1"/>
  <c r="U34" i="31"/>
  <c r="J34" i="34"/>
  <c r="I34" i="34"/>
  <c r="V35" i="32"/>
  <c r="W35" i="32" s="1"/>
  <c r="W33" i="17" s="1"/>
  <c r="U35" i="32"/>
  <c r="J34" i="33"/>
  <c r="K34" i="33" s="1"/>
  <c r="H32" i="17" s="1"/>
  <c r="I34" i="33"/>
  <c r="J34" i="37"/>
  <c r="K34" i="37" s="1"/>
  <c r="J32" i="17" s="1"/>
  <c r="I34" i="37"/>
  <c r="L30" i="17"/>
  <c r="K26" i="38"/>
  <c r="K33" i="31"/>
  <c r="D31" i="17" s="1"/>
  <c r="V36" i="35"/>
  <c r="W36" i="35" s="1"/>
  <c r="V34" i="17" s="1"/>
  <c r="U36" i="35"/>
  <c r="V34" i="18"/>
  <c r="W34" i="18" s="1"/>
  <c r="T32" i="17" s="1"/>
  <c r="U34" i="18"/>
  <c r="J34" i="35"/>
  <c r="K34" i="35" s="1"/>
  <c r="E32" i="17" s="1"/>
  <c r="I34" i="35"/>
  <c r="AC31" i="17"/>
  <c r="AF31" i="17" s="1"/>
  <c r="V36" i="34"/>
  <c r="W36" i="34" s="1"/>
  <c r="X34" i="17" s="1"/>
  <c r="U36" i="34"/>
  <c r="O24" i="38"/>
  <c r="L26" i="38"/>
  <c r="K33" i="34"/>
  <c r="G31" i="17" s="1"/>
  <c r="N24" i="38"/>
  <c r="J34" i="31"/>
  <c r="I34" i="31"/>
  <c r="I35" i="18" l="1"/>
  <c r="J35" i="18"/>
  <c r="K35" i="18" s="1"/>
  <c r="C33" i="17" s="1"/>
  <c r="J36" i="32"/>
  <c r="I36" i="32"/>
  <c r="K35" i="32"/>
  <c r="F33" i="17" s="1"/>
  <c r="J28" i="38"/>
  <c r="AC32" i="17"/>
  <c r="AF32" i="17" s="1"/>
  <c r="V35" i="37"/>
  <c r="W35" i="37" s="1"/>
  <c r="AA33" i="17" s="1"/>
  <c r="U35" i="37"/>
  <c r="J35" i="34"/>
  <c r="I35" i="34"/>
  <c r="J35" i="37"/>
  <c r="K35" i="37" s="1"/>
  <c r="J33" i="17" s="1"/>
  <c r="I35" i="37"/>
  <c r="V35" i="31"/>
  <c r="W35" i="31" s="1"/>
  <c r="U33" i="17" s="1"/>
  <c r="U35" i="31"/>
  <c r="V37" i="35"/>
  <c r="W37" i="35" s="1"/>
  <c r="V35" i="17" s="1"/>
  <c r="U37" i="35"/>
  <c r="V36" i="32"/>
  <c r="W36" i="32" s="1"/>
  <c r="W34" i="17" s="1"/>
  <c r="U36" i="32"/>
  <c r="V35" i="18"/>
  <c r="W35" i="18" s="1"/>
  <c r="T33" i="17" s="1"/>
  <c r="U35" i="18"/>
  <c r="V37" i="34"/>
  <c r="W37" i="34" s="1"/>
  <c r="X35" i="17" s="1"/>
  <c r="U37" i="34"/>
  <c r="K34" i="34"/>
  <c r="G32" i="17" s="1"/>
  <c r="L27" i="38"/>
  <c r="J35" i="35"/>
  <c r="K35" i="35" s="1"/>
  <c r="E33" i="17" s="1"/>
  <c r="I35" i="35"/>
  <c r="J35" i="33"/>
  <c r="K35" i="33" s="1"/>
  <c r="H33" i="17" s="1"/>
  <c r="I35" i="33"/>
  <c r="V35" i="33"/>
  <c r="W35" i="33" s="1"/>
  <c r="Y33" i="17" s="1"/>
  <c r="U35" i="33"/>
  <c r="J35" i="31"/>
  <c r="I35" i="31"/>
  <c r="K27" i="38"/>
  <c r="K34" i="31"/>
  <c r="D32" i="17" s="1"/>
  <c r="L31" i="17"/>
  <c r="O30" i="17"/>
  <c r="E25" i="28"/>
  <c r="I36" i="18" l="1"/>
  <c r="J36" i="18"/>
  <c r="K36" i="18" s="1"/>
  <c r="C34" i="17" s="1"/>
  <c r="AC33" i="17"/>
  <c r="AF33" i="17" s="1"/>
  <c r="V36" i="37"/>
  <c r="W36" i="37" s="1"/>
  <c r="AA34" i="17" s="1"/>
  <c r="U36" i="37"/>
  <c r="J37" i="32"/>
  <c r="I37" i="32"/>
  <c r="L32" i="17"/>
  <c r="E27" i="28" s="1"/>
  <c r="K36" i="32"/>
  <c r="F34" i="17" s="1"/>
  <c r="J29" i="38"/>
  <c r="V37" i="32"/>
  <c r="W37" i="32" s="1"/>
  <c r="W35" i="17" s="1"/>
  <c r="U37" i="32"/>
  <c r="J36" i="37"/>
  <c r="K36" i="37" s="1"/>
  <c r="J34" i="17" s="1"/>
  <c r="I36" i="37"/>
  <c r="V36" i="33"/>
  <c r="W36" i="33" s="1"/>
  <c r="Y34" i="17" s="1"/>
  <c r="U36" i="33"/>
  <c r="J36" i="33"/>
  <c r="K36" i="33" s="1"/>
  <c r="H34" i="17" s="1"/>
  <c r="I36" i="33"/>
  <c r="J36" i="31"/>
  <c r="I36" i="31"/>
  <c r="V38" i="34"/>
  <c r="W38" i="34" s="1"/>
  <c r="X36" i="17" s="1"/>
  <c r="U38" i="34"/>
  <c r="J36" i="34"/>
  <c r="I36" i="34"/>
  <c r="V36" i="31"/>
  <c r="W36" i="31" s="1"/>
  <c r="U34" i="17" s="1"/>
  <c r="U36" i="31"/>
  <c r="K35" i="34"/>
  <c r="G33" i="17" s="1"/>
  <c r="L28" i="38"/>
  <c r="J36" i="35"/>
  <c r="K36" i="35" s="1"/>
  <c r="E34" i="17" s="1"/>
  <c r="I36" i="35"/>
  <c r="E26" i="28"/>
  <c r="O31" i="17"/>
  <c r="K28" i="38"/>
  <c r="K35" i="31"/>
  <c r="D33" i="17" s="1"/>
  <c r="M25" i="38"/>
  <c r="N25" i="38"/>
  <c r="O25" i="38"/>
  <c r="V36" i="18"/>
  <c r="W36" i="18" s="1"/>
  <c r="T34" i="17" s="1"/>
  <c r="U36" i="18"/>
  <c r="V38" i="35"/>
  <c r="W38" i="35" s="1"/>
  <c r="V36" i="17" s="1"/>
  <c r="U38" i="35"/>
  <c r="I37" i="18" l="1"/>
  <c r="J37" i="18"/>
  <c r="K37" i="18" s="1"/>
  <c r="C35" i="17" s="1"/>
  <c r="O32" i="17"/>
  <c r="M27" i="38"/>
  <c r="N27" i="38"/>
  <c r="O27" i="38"/>
  <c r="I38" i="32"/>
  <c r="J38" i="32"/>
  <c r="J30" i="38"/>
  <c r="K37" i="32"/>
  <c r="F35" i="17" s="1"/>
  <c r="V37" i="37"/>
  <c r="W37" i="37" s="1"/>
  <c r="AA35" i="17" s="1"/>
  <c r="U37" i="37"/>
  <c r="J37" i="37"/>
  <c r="K37" i="37" s="1"/>
  <c r="J35" i="17" s="1"/>
  <c r="I37" i="37"/>
  <c r="K36" i="31"/>
  <c r="D34" i="17" s="1"/>
  <c r="K29" i="38"/>
  <c r="J37" i="35"/>
  <c r="K37" i="35" s="1"/>
  <c r="E35" i="17" s="1"/>
  <c r="I37" i="35"/>
  <c r="J37" i="34"/>
  <c r="I37" i="34"/>
  <c r="J37" i="33"/>
  <c r="K37" i="33" s="1"/>
  <c r="H35" i="17" s="1"/>
  <c r="I37" i="33"/>
  <c r="V38" i="32"/>
  <c r="W38" i="32" s="1"/>
  <c r="W36" i="17" s="1"/>
  <c r="U38" i="32"/>
  <c r="U39" i="35"/>
  <c r="V39" i="35"/>
  <c r="W39" i="35" s="1"/>
  <c r="V37" i="17" s="1"/>
  <c r="K36" i="34"/>
  <c r="G34" i="17" s="1"/>
  <c r="L29" i="38"/>
  <c r="V37" i="18"/>
  <c r="W37" i="18" s="1"/>
  <c r="T35" i="17" s="1"/>
  <c r="U37" i="18"/>
  <c r="V37" i="33"/>
  <c r="W37" i="33" s="1"/>
  <c r="Y35" i="17" s="1"/>
  <c r="U37" i="33"/>
  <c r="L33" i="17"/>
  <c r="V37" i="31"/>
  <c r="W37" i="31" s="1"/>
  <c r="U35" i="17" s="1"/>
  <c r="U37" i="31"/>
  <c r="J37" i="31"/>
  <c r="I37" i="31"/>
  <c r="M26" i="38"/>
  <c r="N26" i="38"/>
  <c r="O26" i="38"/>
  <c r="AC34" i="17"/>
  <c r="AF34" i="17" s="1"/>
  <c r="V39" i="34"/>
  <c r="W39" i="34" s="1"/>
  <c r="X37" i="17" s="1"/>
  <c r="U39" i="34"/>
  <c r="J38" i="18" l="1"/>
  <c r="K38" i="18" s="1"/>
  <c r="C36" i="17" s="1"/>
  <c r="I38" i="18"/>
  <c r="J31" i="38"/>
  <c r="K38" i="32"/>
  <c r="F36" i="17" s="1"/>
  <c r="J39" i="32"/>
  <c r="I39" i="32"/>
  <c r="V38" i="37"/>
  <c r="W38" i="37" s="1"/>
  <c r="AA36" i="17" s="1"/>
  <c r="U38" i="37"/>
  <c r="J38" i="35"/>
  <c r="K38" i="35" s="1"/>
  <c r="E36" i="17" s="1"/>
  <c r="I38" i="35"/>
  <c r="J38" i="34"/>
  <c r="I38" i="34"/>
  <c r="V40" i="34"/>
  <c r="W40" i="34" s="1"/>
  <c r="X38" i="17" s="1"/>
  <c r="U40" i="34"/>
  <c r="V38" i="33"/>
  <c r="W38" i="33" s="1"/>
  <c r="Y36" i="17" s="1"/>
  <c r="U38" i="33"/>
  <c r="J38" i="31"/>
  <c r="I38" i="31"/>
  <c r="V40" i="35"/>
  <c r="W40" i="35" s="1"/>
  <c r="V38" i="17" s="1"/>
  <c r="U40" i="35"/>
  <c r="L30" i="38"/>
  <c r="K37" i="34"/>
  <c r="G35" i="17" s="1"/>
  <c r="V39" i="32"/>
  <c r="W39" i="32" s="1"/>
  <c r="W37" i="17" s="1"/>
  <c r="U39" i="32"/>
  <c r="L34" i="17"/>
  <c r="O34" i="17" s="1"/>
  <c r="V38" i="18"/>
  <c r="W38" i="18" s="1"/>
  <c r="T36" i="17" s="1"/>
  <c r="U38" i="18"/>
  <c r="J38" i="33"/>
  <c r="K38" i="33" s="1"/>
  <c r="H36" i="17" s="1"/>
  <c r="I38" i="33"/>
  <c r="J38" i="37"/>
  <c r="K38" i="37" s="1"/>
  <c r="J36" i="17" s="1"/>
  <c r="I38" i="37"/>
  <c r="K37" i="31"/>
  <c r="D35" i="17" s="1"/>
  <c r="K30" i="38"/>
  <c r="V38" i="31"/>
  <c r="W38" i="31" s="1"/>
  <c r="U36" i="17" s="1"/>
  <c r="U38" i="31"/>
  <c r="E28" i="28"/>
  <c r="O33" i="17"/>
  <c r="AC35" i="17"/>
  <c r="AF35" i="17" s="1"/>
  <c r="I39" i="18" l="1"/>
  <c r="J39" i="18"/>
  <c r="K39" i="18" s="1"/>
  <c r="C37" i="17" s="1"/>
  <c r="V39" i="37"/>
  <c r="W39" i="37" s="1"/>
  <c r="AA37" i="17" s="1"/>
  <c r="U39" i="37"/>
  <c r="L35" i="17"/>
  <c r="O35" i="17" s="1"/>
  <c r="I40" i="32"/>
  <c r="J40" i="32"/>
  <c r="J32" i="38"/>
  <c r="K39" i="32"/>
  <c r="F37" i="17" s="1"/>
  <c r="E29" i="28"/>
  <c r="J39" i="37"/>
  <c r="K39" i="37" s="1"/>
  <c r="J37" i="17" s="1"/>
  <c r="I39" i="37"/>
  <c r="V41" i="35"/>
  <c r="W41" i="35" s="1"/>
  <c r="V39" i="17" s="1"/>
  <c r="U41" i="35"/>
  <c r="V41" i="34"/>
  <c r="W41" i="34" s="1"/>
  <c r="X39" i="17" s="1"/>
  <c r="U41" i="34"/>
  <c r="M28" i="38"/>
  <c r="N28" i="38"/>
  <c r="O28" i="38"/>
  <c r="I39" i="31"/>
  <c r="J39" i="31"/>
  <c r="I39" i="34"/>
  <c r="J39" i="34"/>
  <c r="K38" i="31"/>
  <c r="D36" i="17" s="1"/>
  <c r="K31" i="38"/>
  <c r="K38" i="34"/>
  <c r="G36" i="17" s="1"/>
  <c r="L31" i="38"/>
  <c r="U40" i="32"/>
  <c r="V40" i="32"/>
  <c r="W40" i="32" s="1"/>
  <c r="W38" i="17" s="1"/>
  <c r="V39" i="33"/>
  <c r="W39" i="33" s="1"/>
  <c r="Y37" i="17" s="1"/>
  <c r="U39" i="33"/>
  <c r="I39" i="35"/>
  <c r="J39" i="35"/>
  <c r="K39" i="35" s="1"/>
  <c r="E37" i="17" s="1"/>
  <c r="V39" i="31"/>
  <c r="W39" i="31" s="1"/>
  <c r="U37" i="17" s="1"/>
  <c r="U39" i="31"/>
  <c r="J39" i="33"/>
  <c r="K39" i="33" s="1"/>
  <c r="H37" i="17" s="1"/>
  <c r="I39" i="33"/>
  <c r="U39" i="18"/>
  <c r="V39" i="18"/>
  <c r="W39" i="18" s="1"/>
  <c r="T37" i="17" s="1"/>
  <c r="AC36" i="17"/>
  <c r="AF36" i="17" s="1"/>
  <c r="L36" i="17" l="1"/>
  <c r="O36" i="17" s="1"/>
  <c r="I40" i="18"/>
  <c r="J40" i="18"/>
  <c r="K40" i="18" s="1"/>
  <c r="C38" i="17" s="1"/>
  <c r="E30" i="28"/>
  <c r="K40" i="32"/>
  <c r="F38" i="17" s="1"/>
  <c r="J33" i="38"/>
  <c r="J41" i="32"/>
  <c r="I41" i="32"/>
  <c r="V40" i="37"/>
  <c r="W40" i="37" s="1"/>
  <c r="AA38" i="17" s="1"/>
  <c r="U40" i="37"/>
  <c r="AC37" i="17"/>
  <c r="AF37" i="17" s="1"/>
  <c r="V41" i="32"/>
  <c r="W41" i="32" s="1"/>
  <c r="W39" i="17" s="1"/>
  <c r="U41" i="32"/>
  <c r="I40" i="34"/>
  <c r="J40" i="34"/>
  <c r="I40" i="37"/>
  <c r="J40" i="37"/>
  <c r="K40" i="37" s="1"/>
  <c r="J38" i="17" s="1"/>
  <c r="K39" i="31"/>
  <c r="D37" i="17" s="1"/>
  <c r="K32" i="38"/>
  <c r="U40" i="31"/>
  <c r="V40" i="31"/>
  <c r="W40" i="31" s="1"/>
  <c r="U38" i="17" s="1"/>
  <c r="J40" i="35"/>
  <c r="K40" i="35" s="1"/>
  <c r="E38" i="17" s="1"/>
  <c r="I40" i="35"/>
  <c r="I40" i="31"/>
  <c r="J40" i="31"/>
  <c r="V40" i="33"/>
  <c r="W40" i="33" s="1"/>
  <c r="Y38" i="17" s="1"/>
  <c r="U40" i="33"/>
  <c r="K39" i="34"/>
  <c r="G37" i="17" s="1"/>
  <c r="L32" i="38"/>
  <c r="U42" i="34"/>
  <c r="V42" i="34"/>
  <c r="W42" i="34" s="1"/>
  <c r="X40" i="17" s="1"/>
  <c r="V42" i="35"/>
  <c r="W42" i="35" s="1"/>
  <c r="V40" i="17" s="1"/>
  <c r="U42" i="35"/>
  <c r="V40" i="18"/>
  <c r="W40" i="18" s="1"/>
  <c r="T38" i="17" s="1"/>
  <c r="U40" i="18"/>
  <c r="J40" i="33"/>
  <c r="K40" i="33" s="1"/>
  <c r="H38" i="17" s="1"/>
  <c r="I40" i="33"/>
  <c r="M29" i="38"/>
  <c r="N29" i="38"/>
  <c r="O29" i="38"/>
  <c r="E31" i="28" l="1"/>
  <c r="M31" i="38" s="1"/>
  <c r="L37" i="17"/>
  <c r="E32" i="28" s="1"/>
  <c r="M32" i="38" s="1"/>
  <c r="I41" i="18"/>
  <c r="J41" i="18"/>
  <c r="K41" i="18" s="1"/>
  <c r="C39" i="17" s="1"/>
  <c r="V41" i="37"/>
  <c r="W41" i="37" s="1"/>
  <c r="AA39" i="17" s="1"/>
  <c r="U41" i="37"/>
  <c r="J42" i="32"/>
  <c r="I42" i="32"/>
  <c r="J34" i="38"/>
  <c r="K41" i="32"/>
  <c r="F39" i="17" s="1"/>
  <c r="M30" i="38"/>
  <c r="N30" i="38"/>
  <c r="O30" i="38"/>
  <c r="V41" i="31"/>
  <c r="W41" i="31" s="1"/>
  <c r="U39" i="17" s="1"/>
  <c r="U41" i="31"/>
  <c r="K40" i="34"/>
  <c r="G38" i="17" s="1"/>
  <c r="L33" i="38"/>
  <c r="I41" i="33"/>
  <c r="J41" i="33"/>
  <c r="K41" i="33" s="1"/>
  <c r="H39" i="17" s="1"/>
  <c r="U43" i="34"/>
  <c r="V43" i="34"/>
  <c r="W43" i="34" s="1"/>
  <c r="X41" i="17" s="1"/>
  <c r="I41" i="34"/>
  <c r="J41" i="34"/>
  <c r="K33" i="38"/>
  <c r="K40" i="31"/>
  <c r="D38" i="17" s="1"/>
  <c r="V41" i="33"/>
  <c r="W41" i="33" s="1"/>
  <c r="Y39" i="17" s="1"/>
  <c r="U41" i="33"/>
  <c r="U41" i="18"/>
  <c r="V41" i="18"/>
  <c r="W41" i="18" s="1"/>
  <c r="T39" i="17" s="1"/>
  <c r="I41" i="31"/>
  <c r="J41" i="31"/>
  <c r="U42" i="32"/>
  <c r="V42" i="32"/>
  <c r="W42" i="32" s="1"/>
  <c r="W40" i="17" s="1"/>
  <c r="U43" i="35"/>
  <c r="V43" i="35"/>
  <c r="W43" i="35" s="1"/>
  <c r="V41" i="17" s="1"/>
  <c r="J41" i="37"/>
  <c r="K41" i="37" s="1"/>
  <c r="J39" i="17" s="1"/>
  <c r="I41" i="37"/>
  <c r="AC38" i="17"/>
  <c r="AF38" i="17" s="1"/>
  <c r="J41" i="35"/>
  <c r="K41" i="35" s="1"/>
  <c r="E39" i="17" s="1"/>
  <c r="I41" i="35"/>
  <c r="O37" i="17" l="1"/>
  <c r="O31" i="38"/>
  <c r="N31" i="38"/>
  <c r="L38" i="17"/>
  <c r="E33" i="28" s="1"/>
  <c r="M33" i="38" s="1"/>
  <c r="J42" i="18"/>
  <c r="K42" i="18" s="1"/>
  <c r="C40" i="17" s="1"/>
  <c r="I42" i="18"/>
  <c r="I43" i="32"/>
  <c r="J43" i="32"/>
  <c r="J35" i="38"/>
  <c r="K42" i="32"/>
  <c r="F40" i="17" s="1"/>
  <c r="V42" i="37"/>
  <c r="W42" i="37" s="1"/>
  <c r="AA40" i="17" s="1"/>
  <c r="U42" i="37"/>
  <c r="AC39" i="17"/>
  <c r="AF39" i="17" s="1"/>
  <c r="V44" i="34"/>
  <c r="W44" i="34" s="1"/>
  <c r="X42" i="17" s="1"/>
  <c r="U44" i="34"/>
  <c r="V42" i="33"/>
  <c r="W42" i="33" s="1"/>
  <c r="Y40" i="17" s="1"/>
  <c r="U42" i="33"/>
  <c r="O32" i="38"/>
  <c r="U43" i="32"/>
  <c r="V43" i="32"/>
  <c r="W43" i="32" s="1"/>
  <c r="W41" i="17" s="1"/>
  <c r="K41" i="34"/>
  <c r="G39" i="17" s="1"/>
  <c r="L34" i="38"/>
  <c r="J42" i="33"/>
  <c r="K42" i="33" s="1"/>
  <c r="H40" i="17" s="1"/>
  <c r="I42" i="33"/>
  <c r="V44" i="35"/>
  <c r="W44" i="35" s="1"/>
  <c r="V42" i="17" s="1"/>
  <c r="U44" i="35"/>
  <c r="I42" i="34"/>
  <c r="J42" i="34"/>
  <c r="J42" i="31"/>
  <c r="I42" i="31"/>
  <c r="N32" i="38"/>
  <c r="K34" i="38"/>
  <c r="K41" i="31"/>
  <c r="D39" i="17" s="1"/>
  <c r="J42" i="37"/>
  <c r="K42" i="37" s="1"/>
  <c r="J40" i="17" s="1"/>
  <c r="I42" i="37"/>
  <c r="U42" i="31"/>
  <c r="V42" i="31"/>
  <c r="W42" i="31" s="1"/>
  <c r="U40" i="17" s="1"/>
  <c r="J42" i="35"/>
  <c r="K42" i="35" s="1"/>
  <c r="E40" i="17" s="1"/>
  <c r="I42" i="35"/>
  <c r="U42" i="18"/>
  <c r="V42" i="18"/>
  <c r="W42" i="18" s="1"/>
  <c r="T40" i="17" s="1"/>
  <c r="O38" i="17" l="1"/>
  <c r="I43" i="18"/>
  <c r="J43" i="18"/>
  <c r="K43" i="18" s="1"/>
  <c r="C41" i="17" s="1"/>
  <c r="AC40" i="17"/>
  <c r="AF40" i="17" s="1"/>
  <c r="V43" i="37"/>
  <c r="W43" i="37" s="1"/>
  <c r="AA41" i="17" s="1"/>
  <c r="U43" i="37"/>
  <c r="O33" i="38"/>
  <c r="N33" i="38"/>
  <c r="K43" i="32"/>
  <c r="F41" i="17" s="1"/>
  <c r="J36" i="38"/>
  <c r="J44" i="32"/>
  <c r="I44" i="32"/>
  <c r="K42" i="31"/>
  <c r="D40" i="17" s="1"/>
  <c r="K35" i="38"/>
  <c r="V45" i="35"/>
  <c r="W45" i="35" s="1"/>
  <c r="V43" i="17" s="1"/>
  <c r="U45" i="35"/>
  <c r="V44" i="32"/>
  <c r="W44" i="32" s="1"/>
  <c r="W42" i="17" s="1"/>
  <c r="U44" i="32"/>
  <c r="I43" i="37"/>
  <c r="J43" i="37"/>
  <c r="K43" i="37" s="1"/>
  <c r="J41" i="17" s="1"/>
  <c r="I43" i="31"/>
  <c r="J43" i="31"/>
  <c r="L39" i="17"/>
  <c r="U43" i="18"/>
  <c r="V43" i="18"/>
  <c r="W43" i="18" s="1"/>
  <c r="T41" i="17" s="1"/>
  <c r="V43" i="33"/>
  <c r="W43" i="33" s="1"/>
  <c r="Y41" i="17" s="1"/>
  <c r="U43" i="33"/>
  <c r="I43" i="34"/>
  <c r="J43" i="34"/>
  <c r="I43" i="33"/>
  <c r="J43" i="33"/>
  <c r="K43" i="33" s="1"/>
  <c r="H41" i="17" s="1"/>
  <c r="V43" i="31"/>
  <c r="W43" i="31" s="1"/>
  <c r="U41" i="17" s="1"/>
  <c r="U43" i="31"/>
  <c r="U45" i="34"/>
  <c r="V45" i="34"/>
  <c r="W45" i="34" s="1"/>
  <c r="X43" i="17" s="1"/>
  <c r="J43" i="35"/>
  <c r="K43" i="35" s="1"/>
  <c r="E41" i="17" s="1"/>
  <c r="I43" i="35"/>
  <c r="L35" i="38"/>
  <c r="K42" i="34"/>
  <c r="G40" i="17" s="1"/>
  <c r="J44" i="18" l="1"/>
  <c r="K44" i="18" s="1"/>
  <c r="C42" i="17" s="1"/>
  <c r="I44" i="18"/>
  <c r="K44" i="32"/>
  <c r="F42" i="17" s="1"/>
  <c r="J37" i="38"/>
  <c r="I45" i="32"/>
  <c r="J45" i="32"/>
  <c r="V44" i="37"/>
  <c r="W44" i="37" s="1"/>
  <c r="AA42" i="17" s="1"/>
  <c r="U44" i="37"/>
  <c r="AC41" i="17"/>
  <c r="AF41" i="17" s="1"/>
  <c r="J44" i="37"/>
  <c r="K44" i="37" s="1"/>
  <c r="J42" i="17" s="1"/>
  <c r="I44" i="37"/>
  <c r="U44" i="18"/>
  <c r="V44" i="18"/>
  <c r="W44" i="18" s="1"/>
  <c r="T42" i="17" s="1"/>
  <c r="U45" i="32"/>
  <c r="V45" i="32"/>
  <c r="W45" i="32" s="1"/>
  <c r="W43" i="17" s="1"/>
  <c r="J44" i="33"/>
  <c r="K44" i="33" s="1"/>
  <c r="H42" i="17" s="1"/>
  <c r="I44" i="33"/>
  <c r="V46" i="34"/>
  <c r="W46" i="34" s="1"/>
  <c r="X44" i="17" s="1"/>
  <c r="U46" i="34"/>
  <c r="L36" i="38"/>
  <c r="K43" i="34"/>
  <c r="G41" i="17" s="1"/>
  <c r="V46" i="35"/>
  <c r="W46" i="35" s="1"/>
  <c r="V44" i="17" s="1"/>
  <c r="U46" i="35"/>
  <c r="I44" i="34"/>
  <c r="J44" i="34"/>
  <c r="O39" i="17"/>
  <c r="E34" i="28"/>
  <c r="J44" i="35"/>
  <c r="K44" i="35" s="1"/>
  <c r="E42" i="17" s="1"/>
  <c r="I44" i="35"/>
  <c r="U44" i="33"/>
  <c r="V44" i="33"/>
  <c r="W44" i="33" s="1"/>
  <c r="Y42" i="17" s="1"/>
  <c r="K36" i="38"/>
  <c r="K43" i="31"/>
  <c r="D41" i="17" s="1"/>
  <c r="U44" i="31"/>
  <c r="V44" i="31"/>
  <c r="W44" i="31" s="1"/>
  <c r="U42" i="17" s="1"/>
  <c r="I44" i="31"/>
  <c r="J44" i="31"/>
  <c r="L40" i="17"/>
  <c r="I45" i="18" l="1"/>
  <c r="J45" i="18"/>
  <c r="K45" i="18" s="1"/>
  <c r="C43" i="17" s="1"/>
  <c r="U45" i="37"/>
  <c r="V45" i="37"/>
  <c r="W45" i="37" s="1"/>
  <c r="AA43" i="17" s="1"/>
  <c r="J38" i="38"/>
  <c r="K45" i="32"/>
  <c r="F43" i="17" s="1"/>
  <c r="I46" i="32"/>
  <c r="J46" i="32"/>
  <c r="U45" i="33"/>
  <c r="V45" i="33"/>
  <c r="W45" i="33" s="1"/>
  <c r="Y43" i="17" s="1"/>
  <c r="V45" i="31"/>
  <c r="W45" i="31" s="1"/>
  <c r="U43" i="17" s="1"/>
  <c r="U45" i="31"/>
  <c r="U47" i="34"/>
  <c r="V47" i="34"/>
  <c r="W47" i="34" s="1"/>
  <c r="X45" i="17" s="1"/>
  <c r="U45" i="18"/>
  <c r="V45" i="18"/>
  <c r="W45" i="18" s="1"/>
  <c r="T43" i="17" s="1"/>
  <c r="J45" i="31"/>
  <c r="I45" i="31"/>
  <c r="J45" i="35"/>
  <c r="K45" i="35" s="1"/>
  <c r="E43" i="17" s="1"/>
  <c r="I45" i="35"/>
  <c r="L41" i="17"/>
  <c r="J45" i="37"/>
  <c r="K45" i="37" s="1"/>
  <c r="J43" i="17" s="1"/>
  <c r="I45" i="37"/>
  <c r="I45" i="34"/>
  <c r="J45" i="34"/>
  <c r="AC42" i="17"/>
  <c r="AF42" i="17" s="1"/>
  <c r="M34" i="38"/>
  <c r="N34" i="38"/>
  <c r="O34" i="38"/>
  <c r="V47" i="35"/>
  <c r="W47" i="35" s="1"/>
  <c r="V45" i="17" s="1"/>
  <c r="U47" i="35"/>
  <c r="I45" i="33"/>
  <c r="J45" i="33"/>
  <c r="K45" i="33" s="1"/>
  <c r="H43" i="17" s="1"/>
  <c r="L37" i="38"/>
  <c r="K44" i="34"/>
  <c r="G42" i="17" s="1"/>
  <c r="U46" i="32"/>
  <c r="V46" i="32"/>
  <c r="W46" i="32" s="1"/>
  <c r="W44" i="17" s="1"/>
  <c r="E35" i="28"/>
  <c r="O40" i="17"/>
  <c r="K37" i="38"/>
  <c r="K44" i="31"/>
  <c r="D42" i="17" s="1"/>
  <c r="L42" i="17" l="1"/>
  <c r="O42" i="17" s="1"/>
  <c r="J46" i="18"/>
  <c r="K46" i="18" s="1"/>
  <c r="C44" i="17" s="1"/>
  <c r="I46" i="18"/>
  <c r="K46" i="32"/>
  <c r="F44" i="17" s="1"/>
  <c r="J39" i="38"/>
  <c r="J47" i="32"/>
  <c r="I47" i="32"/>
  <c r="AC43" i="17"/>
  <c r="AF43" i="17" s="1"/>
  <c r="V46" i="37"/>
  <c r="W46" i="37" s="1"/>
  <c r="AA44" i="17" s="1"/>
  <c r="U46" i="37"/>
  <c r="I46" i="33"/>
  <c r="J46" i="33"/>
  <c r="K46" i="33" s="1"/>
  <c r="H44" i="17" s="1"/>
  <c r="I46" i="35"/>
  <c r="J46" i="35"/>
  <c r="K46" i="35" s="1"/>
  <c r="E44" i="17" s="1"/>
  <c r="V48" i="35"/>
  <c r="W48" i="35" s="1"/>
  <c r="V46" i="17" s="1"/>
  <c r="U48" i="35"/>
  <c r="V46" i="18"/>
  <c r="W46" i="18" s="1"/>
  <c r="T44" i="17" s="1"/>
  <c r="U46" i="18"/>
  <c r="J46" i="34"/>
  <c r="I46" i="34"/>
  <c r="V47" i="32"/>
  <c r="W47" i="32" s="1"/>
  <c r="W45" i="17" s="1"/>
  <c r="U47" i="32"/>
  <c r="J46" i="37"/>
  <c r="K46" i="37" s="1"/>
  <c r="J44" i="17" s="1"/>
  <c r="I46" i="37"/>
  <c r="V48" i="34"/>
  <c r="W48" i="34" s="1"/>
  <c r="X46" i="17" s="1"/>
  <c r="U48" i="34"/>
  <c r="K45" i="34"/>
  <c r="G43" i="17" s="1"/>
  <c r="L38" i="38"/>
  <c r="J46" i="31"/>
  <c r="I46" i="31"/>
  <c r="U46" i="31"/>
  <c r="V46" i="31"/>
  <c r="W46" i="31" s="1"/>
  <c r="U44" i="17" s="1"/>
  <c r="M35" i="38"/>
  <c r="O35" i="38"/>
  <c r="N35" i="38"/>
  <c r="E36" i="28"/>
  <c r="O41" i="17"/>
  <c r="K45" i="31"/>
  <c r="D43" i="17" s="1"/>
  <c r="K38" i="38"/>
  <c r="V46" i="33"/>
  <c r="W46" i="33" s="1"/>
  <c r="Y44" i="17" s="1"/>
  <c r="U46" i="33"/>
  <c r="E37" i="28" l="1"/>
  <c r="M37" i="38" s="1"/>
  <c r="J47" i="18"/>
  <c r="K47" i="18" s="1"/>
  <c r="C45" i="17" s="1"/>
  <c r="I47" i="18"/>
  <c r="AC44" i="17"/>
  <c r="AF44" i="17" s="1"/>
  <c r="I48" i="32"/>
  <c r="J48" i="32"/>
  <c r="V47" i="37"/>
  <c r="W47" i="37" s="1"/>
  <c r="AA45" i="17" s="1"/>
  <c r="U47" i="37"/>
  <c r="K47" i="32"/>
  <c r="F45" i="17" s="1"/>
  <c r="J40" i="38"/>
  <c r="K39" i="38"/>
  <c r="K46" i="31"/>
  <c r="D44" i="17" s="1"/>
  <c r="J47" i="37"/>
  <c r="K47" i="37" s="1"/>
  <c r="J45" i="17" s="1"/>
  <c r="I47" i="37"/>
  <c r="V49" i="35"/>
  <c r="W49" i="35" s="1"/>
  <c r="V47" i="17" s="1"/>
  <c r="U49" i="35"/>
  <c r="M36" i="38"/>
  <c r="N36" i="38"/>
  <c r="O36" i="38"/>
  <c r="U48" i="32"/>
  <c r="V48" i="32"/>
  <c r="W48" i="32" s="1"/>
  <c r="W46" i="17" s="1"/>
  <c r="V47" i="18"/>
  <c r="W47" i="18" s="1"/>
  <c r="T45" i="17" s="1"/>
  <c r="U47" i="18"/>
  <c r="J47" i="31"/>
  <c r="I47" i="31"/>
  <c r="J47" i="35"/>
  <c r="K47" i="35" s="1"/>
  <c r="E45" i="17" s="1"/>
  <c r="I47" i="35"/>
  <c r="U49" i="34"/>
  <c r="V49" i="34"/>
  <c r="W49" i="34" s="1"/>
  <c r="X47" i="17" s="1"/>
  <c r="I47" i="34"/>
  <c r="J47" i="34"/>
  <c r="U47" i="31"/>
  <c r="V47" i="31"/>
  <c r="W47" i="31" s="1"/>
  <c r="U45" i="17" s="1"/>
  <c r="V47" i="33"/>
  <c r="W47" i="33" s="1"/>
  <c r="Y45" i="17" s="1"/>
  <c r="U47" i="33"/>
  <c r="L43" i="17"/>
  <c r="L39" i="38"/>
  <c r="K46" i="34"/>
  <c r="G44" i="17" s="1"/>
  <c r="J47" i="33"/>
  <c r="K47" i="33" s="1"/>
  <c r="H45" i="17" s="1"/>
  <c r="I47" i="33"/>
  <c r="N37" i="38" l="1"/>
  <c r="O37" i="38"/>
  <c r="I48" i="18"/>
  <c r="J48" i="18"/>
  <c r="K48" i="18" s="1"/>
  <c r="C46" i="17" s="1"/>
  <c r="U48" i="37"/>
  <c r="V48" i="37"/>
  <c r="W48" i="37" s="1"/>
  <c r="AA46" i="17" s="1"/>
  <c r="J41" i="38"/>
  <c r="K48" i="32"/>
  <c r="F46" i="17" s="1"/>
  <c r="J49" i="32"/>
  <c r="I49" i="32"/>
  <c r="J48" i="35"/>
  <c r="K48" i="35" s="1"/>
  <c r="E46" i="17" s="1"/>
  <c r="I48" i="35"/>
  <c r="I48" i="31"/>
  <c r="J48" i="31"/>
  <c r="J48" i="37"/>
  <c r="K48" i="37" s="1"/>
  <c r="J46" i="17" s="1"/>
  <c r="I48" i="37"/>
  <c r="K47" i="34"/>
  <c r="G45" i="17" s="1"/>
  <c r="L40" i="38"/>
  <c r="J48" i="34"/>
  <c r="I48" i="34"/>
  <c r="J48" i="33"/>
  <c r="K48" i="33" s="1"/>
  <c r="H46" i="17" s="1"/>
  <c r="I48" i="33"/>
  <c r="U50" i="34"/>
  <c r="V50" i="34"/>
  <c r="W50" i="34" s="1"/>
  <c r="X48" i="17" s="1"/>
  <c r="K47" i="31"/>
  <c r="D45" i="17" s="1"/>
  <c r="K40" i="38"/>
  <c r="L44" i="17"/>
  <c r="U49" i="32"/>
  <c r="V49" i="32"/>
  <c r="W49" i="32" s="1"/>
  <c r="W47" i="17" s="1"/>
  <c r="O43" i="17"/>
  <c r="E38" i="28"/>
  <c r="V48" i="33"/>
  <c r="W48" i="33" s="1"/>
  <c r="Y46" i="17" s="1"/>
  <c r="U48" i="33"/>
  <c r="U48" i="18"/>
  <c r="V48" i="18"/>
  <c r="W48" i="18" s="1"/>
  <c r="T46" i="17" s="1"/>
  <c r="U48" i="31"/>
  <c r="V48" i="31"/>
  <c r="W48" i="31" s="1"/>
  <c r="U46" i="17" s="1"/>
  <c r="AC45" i="17"/>
  <c r="AF45" i="17" s="1"/>
  <c r="U50" i="35"/>
  <c r="V50" i="35"/>
  <c r="W50" i="35" s="1"/>
  <c r="V48" i="17" s="1"/>
  <c r="L45" i="17" l="1"/>
  <c r="E40" i="28" s="1"/>
  <c r="M40" i="38" s="1"/>
  <c r="J49" i="18"/>
  <c r="K49" i="18" s="1"/>
  <c r="C47" i="17" s="1"/>
  <c r="I49" i="18"/>
  <c r="J50" i="32"/>
  <c r="I50" i="32"/>
  <c r="J42" i="38"/>
  <c r="K49" i="32"/>
  <c r="F47" i="17" s="1"/>
  <c r="AC46" i="17"/>
  <c r="AF46" i="17" s="1"/>
  <c r="U49" i="37"/>
  <c r="V49" i="37"/>
  <c r="W49" i="37" s="1"/>
  <c r="AA47" i="17" s="1"/>
  <c r="V51" i="35"/>
  <c r="W51" i="35" s="1"/>
  <c r="V49" i="17" s="1"/>
  <c r="U51" i="35"/>
  <c r="I49" i="31"/>
  <c r="J49" i="31"/>
  <c r="I49" i="34"/>
  <c r="J49" i="34"/>
  <c r="V49" i="18"/>
  <c r="W49" i="18" s="1"/>
  <c r="T47" i="17" s="1"/>
  <c r="U49" i="18"/>
  <c r="K48" i="31"/>
  <c r="D46" i="17" s="1"/>
  <c r="K41" i="38"/>
  <c r="J49" i="35"/>
  <c r="K49" i="35" s="1"/>
  <c r="E47" i="17" s="1"/>
  <c r="I49" i="35"/>
  <c r="I49" i="33"/>
  <c r="J49" i="33"/>
  <c r="K49" i="33" s="1"/>
  <c r="H47" i="17" s="1"/>
  <c r="O44" i="17"/>
  <c r="E39" i="28"/>
  <c r="U51" i="34"/>
  <c r="V51" i="34"/>
  <c r="W51" i="34" s="1"/>
  <c r="X49" i="17" s="1"/>
  <c r="U50" i="32"/>
  <c r="V50" i="32"/>
  <c r="W50" i="32" s="1"/>
  <c r="W48" i="17" s="1"/>
  <c r="V49" i="33"/>
  <c r="W49" i="33" s="1"/>
  <c r="Y47" i="17" s="1"/>
  <c r="U49" i="33"/>
  <c r="K48" i="34"/>
  <c r="G46" i="17" s="1"/>
  <c r="L41" i="38"/>
  <c r="V49" i="31"/>
  <c r="W49" i="31" s="1"/>
  <c r="U47" i="17" s="1"/>
  <c r="U49" i="31"/>
  <c r="M38" i="38"/>
  <c r="N38" i="38"/>
  <c r="O38" i="38"/>
  <c r="J49" i="37"/>
  <c r="K49" i="37" s="1"/>
  <c r="J47" i="17" s="1"/>
  <c r="I49" i="37"/>
  <c r="O45" i="17" l="1"/>
  <c r="J50" i="18"/>
  <c r="K50" i="18" s="1"/>
  <c r="C48" i="17" s="1"/>
  <c r="I50" i="18"/>
  <c r="U50" i="37"/>
  <c r="V50" i="37"/>
  <c r="W50" i="37" s="1"/>
  <c r="AA48" i="17" s="1"/>
  <c r="N40" i="38"/>
  <c r="I51" i="32"/>
  <c r="J51" i="32"/>
  <c r="K50" i="32"/>
  <c r="F48" i="17" s="1"/>
  <c r="J43" i="38"/>
  <c r="V51" i="32"/>
  <c r="W51" i="32" s="1"/>
  <c r="W49" i="17" s="1"/>
  <c r="U51" i="32"/>
  <c r="L46" i="17"/>
  <c r="V50" i="31"/>
  <c r="W50" i="31" s="1"/>
  <c r="U48" i="17" s="1"/>
  <c r="U50" i="31"/>
  <c r="U50" i="18"/>
  <c r="V50" i="18"/>
  <c r="W50" i="18" s="1"/>
  <c r="T48" i="17" s="1"/>
  <c r="J50" i="33"/>
  <c r="K50" i="33" s="1"/>
  <c r="H48" i="17" s="1"/>
  <c r="I50" i="33"/>
  <c r="I50" i="35"/>
  <c r="J50" i="35"/>
  <c r="K50" i="35" s="1"/>
  <c r="E48" i="17" s="1"/>
  <c r="K49" i="34"/>
  <c r="G47" i="17" s="1"/>
  <c r="L42" i="38"/>
  <c r="J50" i="31"/>
  <c r="I50" i="31"/>
  <c r="AC47" i="17"/>
  <c r="AF47" i="17" s="1"/>
  <c r="J50" i="34"/>
  <c r="I50" i="34"/>
  <c r="V52" i="35"/>
  <c r="W52" i="35" s="1"/>
  <c r="V50" i="17" s="1"/>
  <c r="U52" i="35"/>
  <c r="I50" i="37"/>
  <c r="J50" i="37"/>
  <c r="K50" i="37" s="1"/>
  <c r="J48" i="17" s="1"/>
  <c r="U52" i="34"/>
  <c r="V52" i="34"/>
  <c r="W52" i="34" s="1"/>
  <c r="X50" i="17" s="1"/>
  <c r="U50" i="33"/>
  <c r="V50" i="33"/>
  <c r="W50" i="33" s="1"/>
  <c r="Y48" i="17" s="1"/>
  <c r="M39" i="38"/>
  <c r="O39" i="38"/>
  <c r="N39" i="38"/>
  <c r="O40" i="38"/>
  <c r="K49" i="31"/>
  <c r="D47" i="17" s="1"/>
  <c r="K42" i="38"/>
  <c r="I51" i="18" l="1"/>
  <c r="J51" i="18"/>
  <c r="K51" i="18" s="1"/>
  <c r="C49" i="17" s="1"/>
  <c r="K51" i="32"/>
  <c r="F49" i="17" s="1"/>
  <c r="J44" i="38"/>
  <c r="AC48" i="17"/>
  <c r="AF48" i="17" s="1"/>
  <c r="I52" i="32"/>
  <c r="J52" i="32"/>
  <c r="V51" i="37"/>
  <c r="W51" i="37" s="1"/>
  <c r="AA49" i="17" s="1"/>
  <c r="U51" i="37"/>
  <c r="K50" i="31"/>
  <c r="D48" i="17" s="1"/>
  <c r="K43" i="38"/>
  <c r="O46" i="17"/>
  <c r="E41" i="28"/>
  <c r="U51" i="18"/>
  <c r="V51" i="18"/>
  <c r="W51" i="18" s="1"/>
  <c r="T49" i="17" s="1"/>
  <c r="I51" i="33"/>
  <c r="J51" i="33"/>
  <c r="K51" i="33" s="1"/>
  <c r="H49" i="17" s="1"/>
  <c r="J51" i="37"/>
  <c r="K51" i="37" s="1"/>
  <c r="J49" i="17" s="1"/>
  <c r="I51" i="37"/>
  <c r="I51" i="31"/>
  <c r="J51" i="31"/>
  <c r="U51" i="33"/>
  <c r="V51" i="33"/>
  <c r="W51" i="33" s="1"/>
  <c r="Y49" i="17" s="1"/>
  <c r="U53" i="35"/>
  <c r="V53" i="35"/>
  <c r="W53" i="35" s="1"/>
  <c r="V51" i="17" s="1"/>
  <c r="V52" i="32"/>
  <c r="W52" i="32" s="1"/>
  <c r="W50" i="17" s="1"/>
  <c r="U52" i="32"/>
  <c r="I51" i="35"/>
  <c r="J51" i="35"/>
  <c r="K51" i="35" s="1"/>
  <c r="E49" i="17" s="1"/>
  <c r="U51" i="31"/>
  <c r="V51" i="31"/>
  <c r="W51" i="31" s="1"/>
  <c r="U49" i="17" s="1"/>
  <c r="L47" i="17"/>
  <c r="J51" i="34"/>
  <c r="I51" i="34"/>
  <c r="U53" i="34"/>
  <c r="V53" i="34"/>
  <c r="W53" i="34" s="1"/>
  <c r="X51" i="17" s="1"/>
  <c r="L43" i="38"/>
  <c r="K50" i="34"/>
  <c r="G48" i="17" s="1"/>
  <c r="I52" i="18" l="1"/>
  <c r="J52" i="18"/>
  <c r="K52" i="18" s="1"/>
  <c r="C50" i="17" s="1"/>
  <c r="U52" i="37"/>
  <c r="V52" i="37"/>
  <c r="W52" i="37" s="1"/>
  <c r="AA50" i="17" s="1"/>
  <c r="AC49" i="17"/>
  <c r="AF49" i="17" s="1"/>
  <c r="J45" i="38"/>
  <c r="K52" i="32"/>
  <c r="F50" i="17" s="1"/>
  <c r="J53" i="32"/>
  <c r="I53" i="32"/>
  <c r="J52" i="31"/>
  <c r="I52" i="31"/>
  <c r="M41" i="38"/>
  <c r="N41" i="38"/>
  <c r="O41" i="38"/>
  <c r="J52" i="37"/>
  <c r="K52" i="37" s="1"/>
  <c r="J50" i="17" s="1"/>
  <c r="I52" i="37"/>
  <c r="U54" i="34"/>
  <c r="V54" i="34"/>
  <c r="W54" i="34" s="1"/>
  <c r="X52" i="17" s="1"/>
  <c r="I52" i="34"/>
  <c r="J52" i="34"/>
  <c r="U53" i="32"/>
  <c r="V53" i="32"/>
  <c r="W53" i="32" s="1"/>
  <c r="W51" i="17" s="1"/>
  <c r="K51" i="31"/>
  <c r="D49" i="17" s="1"/>
  <c r="K44" i="38"/>
  <c r="L44" i="38"/>
  <c r="K51" i="34"/>
  <c r="G49" i="17" s="1"/>
  <c r="U52" i="31"/>
  <c r="V52" i="31"/>
  <c r="W52" i="31" s="1"/>
  <c r="U50" i="17" s="1"/>
  <c r="U54" i="35"/>
  <c r="V54" i="35"/>
  <c r="W54" i="35" s="1"/>
  <c r="V52" i="17" s="1"/>
  <c r="I52" i="33"/>
  <c r="J52" i="33"/>
  <c r="K52" i="33" s="1"/>
  <c r="H50" i="17" s="1"/>
  <c r="L48" i="17"/>
  <c r="V52" i="18"/>
  <c r="W52" i="18" s="1"/>
  <c r="T50" i="17" s="1"/>
  <c r="U52" i="18"/>
  <c r="O47" i="17"/>
  <c r="E42" i="28"/>
  <c r="I52" i="35"/>
  <c r="J52" i="35"/>
  <c r="K52" i="35" s="1"/>
  <c r="E50" i="17" s="1"/>
  <c r="V52" i="33"/>
  <c r="W52" i="33" s="1"/>
  <c r="Y50" i="17" s="1"/>
  <c r="U52" i="33"/>
  <c r="J53" i="18" l="1"/>
  <c r="K53" i="18" s="1"/>
  <c r="C51" i="17" s="1"/>
  <c r="I53" i="18"/>
  <c r="K53" i="32"/>
  <c r="F51" i="17" s="1"/>
  <c r="J46" i="38"/>
  <c r="J54" i="32"/>
  <c r="I54" i="32"/>
  <c r="L49" i="17"/>
  <c r="E44" i="28" s="1"/>
  <c r="V53" i="37"/>
  <c r="W53" i="37" s="1"/>
  <c r="AA51" i="17" s="1"/>
  <c r="U53" i="37"/>
  <c r="U53" i="18"/>
  <c r="V53" i="18"/>
  <c r="W53" i="18" s="1"/>
  <c r="T51" i="17" s="1"/>
  <c r="AC50" i="17"/>
  <c r="AF50" i="17" s="1"/>
  <c r="V55" i="35"/>
  <c r="W55" i="35" s="1"/>
  <c r="V53" i="17" s="1"/>
  <c r="U55" i="35"/>
  <c r="I53" i="35"/>
  <c r="J53" i="35"/>
  <c r="K53" i="35" s="1"/>
  <c r="E51" i="17" s="1"/>
  <c r="M42" i="38"/>
  <c r="N42" i="38"/>
  <c r="O42" i="38"/>
  <c r="O48" i="17"/>
  <c r="E43" i="28"/>
  <c r="V54" i="32"/>
  <c r="W54" i="32" s="1"/>
  <c r="W52" i="17" s="1"/>
  <c r="U54" i="32"/>
  <c r="J53" i="37"/>
  <c r="K53" i="37" s="1"/>
  <c r="J51" i="17" s="1"/>
  <c r="I53" i="37"/>
  <c r="V53" i="31"/>
  <c r="W53" i="31" s="1"/>
  <c r="U51" i="17" s="1"/>
  <c r="U53" i="31"/>
  <c r="L45" i="38"/>
  <c r="K52" i="34"/>
  <c r="G50" i="17" s="1"/>
  <c r="I53" i="34"/>
  <c r="J53" i="34"/>
  <c r="I53" i="31"/>
  <c r="J53" i="31"/>
  <c r="K52" i="31"/>
  <c r="D50" i="17" s="1"/>
  <c r="K45" i="38"/>
  <c r="J53" i="33"/>
  <c r="K53" i="33" s="1"/>
  <c r="H51" i="17" s="1"/>
  <c r="I53" i="33"/>
  <c r="V53" i="33"/>
  <c r="W53" i="33" s="1"/>
  <c r="Y51" i="17" s="1"/>
  <c r="U53" i="33"/>
  <c r="U55" i="34"/>
  <c r="V55" i="34"/>
  <c r="W55" i="34" s="1"/>
  <c r="X53" i="17" s="1"/>
  <c r="O49" i="17" l="1"/>
  <c r="J54" i="18"/>
  <c r="K54" i="18" s="1"/>
  <c r="C52" i="17" s="1"/>
  <c r="I54" i="18"/>
  <c r="L50" i="17"/>
  <c r="E45" i="28" s="1"/>
  <c r="M45" i="38" s="1"/>
  <c r="M44" i="38"/>
  <c r="O44" i="38"/>
  <c r="U54" i="37"/>
  <c r="V54" i="37"/>
  <c r="W54" i="37" s="1"/>
  <c r="AA52" i="17" s="1"/>
  <c r="J55" i="32"/>
  <c r="I55" i="32"/>
  <c r="K54" i="32"/>
  <c r="F52" i="17" s="1"/>
  <c r="J47" i="38"/>
  <c r="I54" i="31"/>
  <c r="J54" i="31"/>
  <c r="V56" i="35"/>
  <c r="W56" i="35" s="1"/>
  <c r="V54" i="17" s="1"/>
  <c r="U56" i="35"/>
  <c r="I54" i="33"/>
  <c r="J54" i="33"/>
  <c r="K54" i="33" s="1"/>
  <c r="H52" i="17" s="1"/>
  <c r="K53" i="31"/>
  <c r="D51" i="17" s="1"/>
  <c r="K46" i="38"/>
  <c r="L46" i="38"/>
  <c r="K53" i="34"/>
  <c r="G51" i="17" s="1"/>
  <c r="V54" i="31"/>
  <c r="W54" i="31" s="1"/>
  <c r="U52" i="17" s="1"/>
  <c r="U54" i="31"/>
  <c r="M43" i="38"/>
  <c r="O43" i="38"/>
  <c r="N43" i="38"/>
  <c r="I54" i="35"/>
  <c r="J54" i="35"/>
  <c r="K54" i="35" s="1"/>
  <c r="E52" i="17" s="1"/>
  <c r="V56" i="34"/>
  <c r="W56" i="34" s="1"/>
  <c r="X54" i="17" s="1"/>
  <c r="U56" i="34"/>
  <c r="I54" i="34"/>
  <c r="J54" i="34"/>
  <c r="U55" i="32"/>
  <c r="V55" i="32"/>
  <c r="W55" i="32" s="1"/>
  <c r="W53" i="17" s="1"/>
  <c r="U54" i="33"/>
  <c r="V54" i="33"/>
  <c r="W54" i="33" s="1"/>
  <c r="Y52" i="17" s="1"/>
  <c r="AC51" i="17"/>
  <c r="AF51" i="17" s="1"/>
  <c r="V54" i="18"/>
  <c r="W54" i="18" s="1"/>
  <c r="T52" i="17" s="1"/>
  <c r="U54" i="18"/>
  <c r="J54" i="37"/>
  <c r="K54" i="37" s="1"/>
  <c r="J52" i="17" s="1"/>
  <c r="I54" i="37"/>
  <c r="N44" i="38"/>
  <c r="O50" i="17" l="1"/>
  <c r="J55" i="18"/>
  <c r="K55" i="18" s="1"/>
  <c r="C53" i="17" s="1"/>
  <c r="I55" i="18"/>
  <c r="L51" i="17"/>
  <c r="O51" i="17" s="1"/>
  <c r="J56" i="32"/>
  <c r="I56" i="32"/>
  <c r="K55" i="32"/>
  <c r="F53" i="17" s="1"/>
  <c r="J48" i="38"/>
  <c r="V55" i="37"/>
  <c r="W55" i="37" s="1"/>
  <c r="AA53" i="17" s="1"/>
  <c r="U55" i="37"/>
  <c r="K54" i="34"/>
  <c r="G52" i="17" s="1"/>
  <c r="L47" i="38"/>
  <c r="AC52" i="17"/>
  <c r="AF52" i="17" s="1"/>
  <c r="V57" i="34"/>
  <c r="W57" i="34" s="1"/>
  <c r="X55" i="17" s="1"/>
  <c r="U57" i="34"/>
  <c r="I55" i="33"/>
  <c r="J55" i="33"/>
  <c r="K55" i="33" s="1"/>
  <c r="H53" i="17" s="1"/>
  <c r="U55" i="33"/>
  <c r="V55" i="33"/>
  <c r="W55" i="33" s="1"/>
  <c r="Y53" i="17" s="1"/>
  <c r="V57" i="35"/>
  <c r="W57" i="35" s="1"/>
  <c r="V55" i="17" s="1"/>
  <c r="U57" i="35"/>
  <c r="J55" i="34"/>
  <c r="I55" i="34"/>
  <c r="U55" i="31"/>
  <c r="V55" i="31"/>
  <c r="W55" i="31" s="1"/>
  <c r="U53" i="17" s="1"/>
  <c r="U56" i="32"/>
  <c r="V56" i="32"/>
  <c r="W56" i="32" s="1"/>
  <c r="W54" i="17" s="1"/>
  <c r="J55" i="37"/>
  <c r="K55" i="37" s="1"/>
  <c r="J53" i="17" s="1"/>
  <c r="I55" i="37"/>
  <c r="K54" i="31"/>
  <c r="D52" i="17" s="1"/>
  <c r="K47" i="38"/>
  <c r="U55" i="18"/>
  <c r="V55" i="18"/>
  <c r="W55" i="18" s="1"/>
  <c r="T53" i="17" s="1"/>
  <c r="J55" i="35"/>
  <c r="K55" i="35" s="1"/>
  <c r="E53" i="17" s="1"/>
  <c r="I55" i="35"/>
  <c r="O45" i="38"/>
  <c r="N45" i="38"/>
  <c r="J55" i="31"/>
  <c r="I55" i="31"/>
  <c r="E46" i="28" l="1"/>
  <c r="M46" i="38" s="1"/>
  <c r="I56" i="18"/>
  <c r="J56" i="18"/>
  <c r="K56" i="18" s="1"/>
  <c r="C54" i="17" s="1"/>
  <c r="L52" i="17"/>
  <c r="O52" i="17" s="1"/>
  <c r="U56" i="37"/>
  <c r="V56" i="37"/>
  <c r="W56" i="37" s="1"/>
  <c r="AA54" i="17" s="1"/>
  <c r="AC53" i="17"/>
  <c r="AF53" i="17" s="1"/>
  <c r="J57" i="32"/>
  <c r="I57" i="32"/>
  <c r="J49" i="38"/>
  <c r="K56" i="32"/>
  <c r="F54" i="17" s="1"/>
  <c r="V56" i="33"/>
  <c r="W56" i="33" s="1"/>
  <c r="Y54" i="17" s="1"/>
  <c r="U56" i="33"/>
  <c r="I56" i="33"/>
  <c r="J56" i="33"/>
  <c r="K56" i="33" s="1"/>
  <c r="H54" i="17" s="1"/>
  <c r="I56" i="34"/>
  <c r="J56" i="34"/>
  <c r="V58" i="34"/>
  <c r="W58" i="34" s="1"/>
  <c r="X56" i="17" s="1"/>
  <c r="U58" i="34"/>
  <c r="V57" i="32"/>
  <c r="W57" i="32" s="1"/>
  <c r="W55" i="17" s="1"/>
  <c r="U57" i="32"/>
  <c r="V58" i="35"/>
  <c r="W58" i="35" s="1"/>
  <c r="V56" i="17" s="1"/>
  <c r="U58" i="35"/>
  <c r="J56" i="37"/>
  <c r="K56" i="37" s="1"/>
  <c r="J54" i="17" s="1"/>
  <c r="I56" i="37"/>
  <c r="U56" i="18"/>
  <c r="V56" i="18"/>
  <c r="W56" i="18" s="1"/>
  <c r="T54" i="17" s="1"/>
  <c r="J56" i="31"/>
  <c r="I56" i="31"/>
  <c r="I56" i="35"/>
  <c r="J56" i="35"/>
  <c r="K56" i="35" s="1"/>
  <c r="E54" i="17" s="1"/>
  <c r="L48" i="38"/>
  <c r="K55" i="34"/>
  <c r="G53" i="17" s="1"/>
  <c r="K55" i="31"/>
  <c r="D53" i="17" s="1"/>
  <c r="K48" i="38"/>
  <c r="V56" i="31"/>
  <c r="W56" i="31" s="1"/>
  <c r="U54" i="17" s="1"/>
  <c r="U56" i="31"/>
  <c r="O46" i="38" l="1"/>
  <c r="N46" i="38"/>
  <c r="E47" i="28"/>
  <c r="M47" i="38" s="1"/>
  <c r="L53" i="17"/>
  <c r="E48" i="28" s="1"/>
  <c r="M48" i="38" s="1"/>
  <c r="J57" i="18"/>
  <c r="K57" i="18" s="1"/>
  <c r="C55" i="17" s="1"/>
  <c r="I57" i="18"/>
  <c r="AC54" i="17"/>
  <c r="AF54" i="17" s="1"/>
  <c r="I58" i="32"/>
  <c r="J58" i="32"/>
  <c r="J50" i="38"/>
  <c r="K57" i="32"/>
  <c r="F55" i="17" s="1"/>
  <c r="V57" i="37"/>
  <c r="W57" i="37" s="1"/>
  <c r="AA55" i="17" s="1"/>
  <c r="U57" i="37"/>
  <c r="V57" i="31"/>
  <c r="W57" i="31" s="1"/>
  <c r="U55" i="17" s="1"/>
  <c r="U57" i="31"/>
  <c r="K49" i="38"/>
  <c r="K56" i="31"/>
  <c r="D54" i="17" s="1"/>
  <c r="V58" i="32"/>
  <c r="W58" i="32" s="1"/>
  <c r="W56" i="17" s="1"/>
  <c r="U58" i="32"/>
  <c r="U57" i="18"/>
  <c r="V57" i="18"/>
  <c r="W57" i="18" s="1"/>
  <c r="T55" i="17" s="1"/>
  <c r="J57" i="33"/>
  <c r="K57" i="33" s="1"/>
  <c r="H55" i="17" s="1"/>
  <c r="I57" i="33"/>
  <c r="U57" i="33"/>
  <c r="V57" i="33"/>
  <c r="W57" i="33" s="1"/>
  <c r="Y55" i="17" s="1"/>
  <c r="J57" i="37"/>
  <c r="K57" i="37" s="1"/>
  <c r="J55" i="17" s="1"/>
  <c r="I57" i="37"/>
  <c r="U59" i="34"/>
  <c r="V59" i="34"/>
  <c r="W59" i="34" s="1"/>
  <c r="X57" i="17" s="1"/>
  <c r="I57" i="35"/>
  <c r="J57" i="35"/>
  <c r="K57" i="35" s="1"/>
  <c r="E55" i="17" s="1"/>
  <c r="L49" i="38"/>
  <c r="K56" i="34"/>
  <c r="G54" i="17" s="1"/>
  <c r="J57" i="31"/>
  <c r="I57" i="31"/>
  <c r="V59" i="35"/>
  <c r="W59" i="35" s="1"/>
  <c r="V57" i="17" s="1"/>
  <c r="U59" i="35"/>
  <c r="I57" i="34"/>
  <c r="J57" i="34"/>
  <c r="O53" i="17" l="1"/>
  <c r="O47" i="38"/>
  <c r="N47" i="38"/>
  <c r="I58" i="18"/>
  <c r="J58" i="18"/>
  <c r="K58" i="18" s="1"/>
  <c r="C56" i="17" s="1"/>
  <c r="V58" i="37"/>
  <c r="W58" i="37" s="1"/>
  <c r="AA56" i="17" s="1"/>
  <c r="U58" i="37"/>
  <c r="AC55" i="17"/>
  <c r="AF55" i="17" s="1"/>
  <c r="O48" i="38"/>
  <c r="K58" i="32"/>
  <c r="F56" i="17" s="1"/>
  <c r="J51" i="38"/>
  <c r="I59" i="32"/>
  <c r="J59" i="32"/>
  <c r="U60" i="35"/>
  <c r="V60" i="35"/>
  <c r="W60" i="35" s="1"/>
  <c r="V58" i="17" s="1"/>
  <c r="N48" i="38"/>
  <c r="V59" i="32"/>
  <c r="W59" i="32" s="1"/>
  <c r="W57" i="17" s="1"/>
  <c r="U59" i="32"/>
  <c r="K57" i="31"/>
  <c r="D55" i="17" s="1"/>
  <c r="K50" i="38"/>
  <c r="L54" i="17"/>
  <c r="J58" i="37"/>
  <c r="K58" i="37" s="1"/>
  <c r="J56" i="17" s="1"/>
  <c r="I58" i="37"/>
  <c r="I58" i="33"/>
  <c r="J58" i="33"/>
  <c r="K58" i="33" s="1"/>
  <c r="H56" i="17" s="1"/>
  <c r="J58" i="34"/>
  <c r="I58" i="34"/>
  <c r="U58" i="33"/>
  <c r="V58" i="33"/>
  <c r="W58" i="33" s="1"/>
  <c r="Y56" i="17" s="1"/>
  <c r="U60" i="34"/>
  <c r="V60" i="34"/>
  <c r="W60" i="34" s="1"/>
  <c r="X58" i="17" s="1"/>
  <c r="U58" i="18"/>
  <c r="V58" i="18"/>
  <c r="W58" i="18" s="1"/>
  <c r="T56" i="17" s="1"/>
  <c r="J58" i="31"/>
  <c r="I58" i="31"/>
  <c r="V58" i="31"/>
  <c r="W58" i="31" s="1"/>
  <c r="U56" i="17" s="1"/>
  <c r="U58" i="31"/>
  <c r="L50" i="38"/>
  <c r="K57" i="34"/>
  <c r="G55" i="17" s="1"/>
  <c r="I58" i="35"/>
  <c r="J58" i="35"/>
  <c r="K58" i="35" s="1"/>
  <c r="E56" i="17" s="1"/>
  <c r="J59" i="18" l="1"/>
  <c r="K59" i="18" s="1"/>
  <c r="C57" i="17" s="1"/>
  <c r="I59" i="18"/>
  <c r="J60" i="32"/>
  <c r="I60" i="32"/>
  <c r="J52" i="38"/>
  <c r="K59" i="32"/>
  <c r="F57" i="17" s="1"/>
  <c r="U59" i="37"/>
  <c r="V59" i="37"/>
  <c r="W59" i="37" s="1"/>
  <c r="AA57" i="17" s="1"/>
  <c r="U59" i="33"/>
  <c r="V59" i="33"/>
  <c r="W59" i="33" s="1"/>
  <c r="Y57" i="17" s="1"/>
  <c r="I59" i="34"/>
  <c r="J59" i="34"/>
  <c r="O54" i="17"/>
  <c r="E49" i="28"/>
  <c r="U60" i="32"/>
  <c r="V60" i="32"/>
  <c r="W60" i="32" s="1"/>
  <c r="W58" i="17" s="1"/>
  <c r="I59" i="35"/>
  <c r="J59" i="35"/>
  <c r="K59" i="35" s="1"/>
  <c r="E57" i="17" s="1"/>
  <c r="K51" i="38"/>
  <c r="K58" i="31"/>
  <c r="D56" i="17" s="1"/>
  <c r="L51" i="38"/>
  <c r="K58" i="34"/>
  <c r="G56" i="17" s="1"/>
  <c r="V59" i="18"/>
  <c r="W59" i="18" s="1"/>
  <c r="T57" i="17" s="1"/>
  <c r="U59" i="18"/>
  <c r="J59" i="33"/>
  <c r="K59" i="33" s="1"/>
  <c r="H57" i="17" s="1"/>
  <c r="I59" i="33"/>
  <c r="AC56" i="17"/>
  <c r="AF56" i="17" s="1"/>
  <c r="J59" i="37"/>
  <c r="K59" i="37" s="1"/>
  <c r="J57" i="17" s="1"/>
  <c r="I59" i="37"/>
  <c r="J59" i="31"/>
  <c r="I59" i="31"/>
  <c r="L55" i="17"/>
  <c r="U61" i="34"/>
  <c r="V61" i="34"/>
  <c r="W61" i="34" s="1"/>
  <c r="X59" i="17" s="1"/>
  <c r="V59" i="31"/>
  <c r="W59" i="31" s="1"/>
  <c r="U57" i="17" s="1"/>
  <c r="U59" i="31"/>
  <c r="U61" i="35"/>
  <c r="V61" i="35"/>
  <c r="W61" i="35" s="1"/>
  <c r="V59" i="17" s="1"/>
  <c r="J60" i="18" l="1"/>
  <c r="K60" i="18" s="1"/>
  <c r="C58" i="17" s="1"/>
  <c r="I60" i="18"/>
  <c r="V60" i="37"/>
  <c r="W60" i="37" s="1"/>
  <c r="AA58" i="17" s="1"/>
  <c r="U60" i="37"/>
  <c r="L56" i="17"/>
  <c r="O56" i="17" s="1"/>
  <c r="J61" i="32"/>
  <c r="I61" i="32"/>
  <c r="J53" i="38"/>
  <c r="K60" i="32"/>
  <c r="F58" i="17" s="1"/>
  <c r="V61" i="32"/>
  <c r="W61" i="32" s="1"/>
  <c r="W59" i="17" s="1"/>
  <c r="U61" i="32"/>
  <c r="M49" i="38"/>
  <c r="O49" i="38"/>
  <c r="N49" i="38"/>
  <c r="V62" i="35"/>
  <c r="W62" i="35" s="1"/>
  <c r="V60" i="17" s="1"/>
  <c r="U62" i="35"/>
  <c r="E50" i="28"/>
  <c r="O55" i="17"/>
  <c r="J60" i="33"/>
  <c r="K60" i="33" s="1"/>
  <c r="H58" i="17" s="1"/>
  <c r="I60" i="33"/>
  <c r="J60" i="31"/>
  <c r="I60" i="31"/>
  <c r="K52" i="38"/>
  <c r="K59" i="31"/>
  <c r="D57" i="17" s="1"/>
  <c r="V60" i="31"/>
  <c r="W60" i="31" s="1"/>
  <c r="U58" i="17" s="1"/>
  <c r="U60" i="31"/>
  <c r="I60" i="37"/>
  <c r="J60" i="37"/>
  <c r="K60" i="37" s="1"/>
  <c r="J58" i="17" s="1"/>
  <c r="V60" i="18"/>
  <c r="W60" i="18" s="1"/>
  <c r="T58" i="17" s="1"/>
  <c r="U60" i="18"/>
  <c r="AC57" i="17"/>
  <c r="AF57" i="17" s="1"/>
  <c r="I60" i="34"/>
  <c r="J60" i="34"/>
  <c r="U62" i="34"/>
  <c r="V62" i="34"/>
  <c r="W62" i="34" s="1"/>
  <c r="X60" i="17" s="1"/>
  <c r="K59" i="34"/>
  <c r="G57" i="17" s="1"/>
  <c r="L52" i="38"/>
  <c r="J60" i="35"/>
  <c r="K60" i="35" s="1"/>
  <c r="E58" i="17" s="1"/>
  <c r="I60" i="35"/>
  <c r="V60" i="33"/>
  <c r="W60" i="33" s="1"/>
  <c r="Y58" i="17" s="1"/>
  <c r="U60" i="33"/>
  <c r="E51" i="28" l="1"/>
  <c r="M51" i="38" s="1"/>
  <c r="I61" i="18"/>
  <c r="J61" i="18"/>
  <c r="K61" i="18" s="1"/>
  <c r="C59" i="17" s="1"/>
  <c r="J62" i="32"/>
  <c r="I62" i="32"/>
  <c r="J54" i="38"/>
  <c r="K61" i="32"/>
  <c r="F59" i="17" s="1"/>
  <c r="V61" i="37"/>
  <c r="W61" i="37" s="1"/>
  <c r="AA59" i="17" s="1"/>
  <c r="U61" i="37"/>
  <c r="U61" i="33"/>
  <c r="V61" i="33"/>
  <c r="W61" i="33" s="1"/>
  <c r="Y59" i="17" s="1"/>
  <c r="U61" i="18"/>
  <c r="V61" i="18"/>
  <c r="W61" i="18" s="1"/>
  <c r="T59" i="17" s="1"/>
  <c r="U61" i="31"/>
  <c r="V61" i="31"/>
  <c r="W61" i="31" s="1"/>
  <c r="U59" i="17" s="1"/>
  <c r="AC58" i="17"/>
  <c r="AF58" i="17" s="1"/>
  <c r="L57" i="17"/>
  <c r="I61" i="33"/>
  <c r="J61" i="33"/>
  <c r="K61" i="33" s="1"/>
  <c r="H59" i="17" s="1"/>
  <c r="I61" i="34"/>
  <c r="J61" i="34"/>
  <c r="I61" i="35"/>
  <c r="J61" i="35"/>
  <c r="K61" i="35" s="1"/>
  <c r="E59" i="17" s="1"/>
  <c r="I61" i="31"/>
  <c r="J61" i="31"/>
  <c r="V63" i="34"/>
  <c r="W63" i="34" s="1"/>
  <c r="X61" i="17" s="1"/>
  <c r="U63" i="34"/>
  <c r="K53" i="38"/>
  <c r="K60" i="31"/>
  <c r="D58" i="17" s="1"/>
  <c r="M50" i="38"/>
  <c r="O50" i="38"/>
  <c r="N50" i="38"/>
  <c r="U62" i="32"/>
  <c r="V62" i="32"/>
  <c r="W62" i="32" s="1"/>
  <c r="W60" i="17" s="1"/>
  <c r="J61" i="37"/>
  <c r="K61" i="37" s="1"/>
  <c r="J59" i="17" s="1"/>
  <c r="I61" i="37"/>
  <c r="K60" i="34"/>
  <c r="G58" i="17" s="1"/>
  <c r="L53" i="38"/>
  <c r="V63" i="35"/>
  <c r="W63" i="35" s="1"/>
  <c r="V61" i="17" s="1"/>
  <c r="U63" i="35"/>
  <c r="O51" i="38" l="1"/>
  <c r="N51" i="38"/>
  <c r="I62" i="18"/>
  <c r="J62" i="18"/>
  <c r="K62" i="18" s="1"/>
  <c r="C60" i="17" s="1"/>
  <c r="U62" i="37"/>
  <c r="V62" i="37"/>
  <c r="W62" i="37" s="1"/>
  <c r="AA60" i="17" s="1"/>
  <c r="I63" i="32"/>
  <c r="J63" i="32"/>
  <c r="K62" i="32"/>
  <c r="F60" i="17" s="1"/>
  <c r="J55" i="38"/>
  <c r="L58" i="17"/>
  <c r="I62" i="31"/>
  <c r="J62" i="31"/>
  <c r="AC59" i="17"/>
  <c r="AF59" i="17" s="1"/>
  <c r="J62" i="34"/>
  <c r="I62" i="34"/>
  <c r="J62" i="37"/>
  <c r="K62" i="37" s="1"/>
  <c r="J60" i="17" s="1"/>
  <c r="I62" i="37"/>
  <c r="I62" i="33"/>
  <c r="J62" i="33"/>
  <c r="K62" i="33" s="1"/>
  <c r="H60" i="17" s="1"/>
  <c r="V62" i="18"/>
  <c r="W62" i="18" s="1"/>
  <c r="T60" i="17" s="1"/>
  <c r="U62" i="18"/>
  <c r="V64" i="34"/>
  <c r="W64" i="34" s="1"/>
  <c r="X62" i="17" s="1"/>
  <c r="U64" i="34"/>
  <c r="V62" i="33"/>
  <c r="W62" i="33" s="1"/>
  <c r="Y60" i="17" s="1"/>
  <c r="U62" i="33"/>
  <c r="I62" i="35"/>
  <c r="J62" i="35"/>
  <c r="K62" i="35" s="1"/>
  <c r="E60" i="17" s="1"/>
  <c r="K61" i="31"/>
  <c r="D59" i="17" s="1"/>
  <c r="K54" i="38"/>
  <c r="O57" i="17"/>
  <c r="E52" i="28"/>
  <c r="V64" i="35"/>
  <c r="W64" i="35" s="1"/>
  <c r="V62" i="17" s="1"/>
  <c r="U64" i="35"/>
  <c r="U63" i="32"/>
  <c r="V63" i="32"/>
  <c r="W63" i="32" s="1"/>
  <c r="W61" i="17" s="1"/>
  <c r="L54" i="38"/>
  <c r="K61" i="34"/>
  <c r="G59" i="17" s="1"/>
  <c r="V62" i="31"/>
  <c r="W62" i="31" s="1"/>
  <c r="U60" i="17" s="1"/>
  <c r="U62" i="31"/>
  <c r="I63" i="18" l="1"/>
  <c r="J63" i="18"/>
  <c r="K63" i="18" s="1"/>
  <c r="C61" i="17" s="1"/>
  <c r="J56" i="38"/>
  <c r="K63" i="32"/>
  <c r="F61" i="17" s="1"/>
  <c r="L59" i="17"/>
  <c r="O59" i="17" s="1"/>
  <c r="I64" i="32"/>
  <c r="J64" i="32"/>
  <c r="V63" i="37"/>
  <c r="W63" i="37" s="1"/>
  <c r="AA61" i="17" s="1"/>
  <c r="U63" i="37"/>
  <c r="V63" i="31"/>
  <c r="W63" i="31" s="1"/>
  <c r="U61" i="17" s="1"/>
  <c r="U63" i="31"/>
  <c r="J63" i="35"/>
  <c r="K63" i="35" s="1"/>
  <c r="E61" i="17" s="1"/>
  <c r="I63" i="35"/>
  <c r="V63" i="18"/>
  <c r="W63" i="18" s="1"/>
  <c r="T61" i="17" s="1"/>
  <c r="U63" i="18"/>
  <c r="K62" i="34"/>
  <c r="G60" i="17" s="1"/>
  <c r="L55" i="38"/>
  <c r="M52" i="38"/>
  <c r="N52" i="38"/>
  <c r="O52" i="38"/>
  <c r="AC60" i="17"/>
  <c r="AF60" i="17" s="1"/>
  <c r="V64" i="32"/>
  <c r="W64" i="32" s="1"/>
  <c r="W62" i="17" s="1"/>
  <c r="U64" i="32"/>
  <c r="U65" i="34"/>
  <c r="V65" i="34"/>
  <c r="W65" i="34" s="1"/>
  <c r="X63" i="17" s="1"/>
  <c r="V65" i="35"/>
  <c r="W65" i="35" s="1"/>
  <c r="V63" i="17" s="1"/>
  <c r="U65" i="35"/>
  <c r="I63" i="33"/>
  <c r="J63" i="33"/>
  <c r="K63" i="33" s="1"/>
  <c r="H61" i="17" s="1"/>
  <c r="V63" i="33"/>
  <c r="W63" i="33" s="1"/>
  <c r="Y61" i="17" s="1"/>
  <c r="U63" i="33"/>
  <c r="I63" i="31"/>
  <c r="J63" i="31"/>
  <c r="I63" i="34"/>
  <c r="J63" i="34"/>
  <c r="K62" i="31"/>
  <c r="D60" i="17" s="1"/>
  <c r="K55" i="38"/>
  <c r="J63" i="37"/>
  <c r="K63" i="37" s="1"/>
  <c r="J61" i="17" s="1"/>
  <c r="I63" i="37"/>
  <c r="O58" i="17"/>
  <c r="E53" i="28"/>
  <c r="J64" i="18" l="1"/>
  <c r="K64" i="18" s="1"/>
  <c r="C62" i="17" s="1"/>
  <c r="I64" i="18"/>
  <c r="V64" i="37"/>
  <c r="W64" i="37" s="1"/>
  <c r="AA62" i="17" s="1"/>
  <c r="U64" i="37"/>
  <c r="E54" i="28"/>
  <c r="M54" i="38" s="1"/>
  <c r="K64" i="32"/>
  <c r="F62" i="17" s="1"/>
  <c r="J57" i="38"/>
  <c r="AC61" i="17"/>
  <c r="AF61" i="17" s="1"/>
  <c r="I65" i="32"/>
  <c r="J65" i="32"/>
  <c r="I64" i="34"/>
  <c r="J64" i="34"/>
  <c r="J64" i="31"/>
  <c r="I64" i="31"/>
  <c r="V66" i="35"/>
  <c r="W66" i="35" s="1"/>
  <c r="V64" i="17" s="1"/>
  <c r="U66" i="35"/>
  <c r="I64" i="35"/>
  <c r="J64" i="35"/>
  <c r="K64" i="35" s="1"/>
  <c r="E62" i="17" s="1"/>
  <c r="J64" i="33"/>
  <c r="K64" i="33" s="1"/>
  <c r="H62" i="17" s="1"/>
  <c r="I64" i="33"/>
  <c r="V65" i="32"/>
  <c r="W65" i="32" s="1"/>
  <c r="W63" i="17" s="1"/>
  <c r="U65" i="32"/>
  <c r="L60" i="17"/>
  <c r="K63" i="31"/>
  <c r="D61" i="17" s="1"/>
  <c r="K56" i="38"/>
  <c r="I64" i="37"/>
  <c r="J64" i="37"/>
  <c r="K64" i="37" s="1"/>
  <c r="J62" i="17" s="1"/>
  <c r="V64" i="33"/>
  <c r="W64" i="33" s="1"/>
  <c r="Y62" i="17" s="1"/>
  <c r="U64" i="33"/>
  <c r="V64" i="18"/>
  <c r="W64" i="18" s="1"/>
  <c r="T62" i="17" s="1"/>
  <c r="U64" i="18"/>
  <c r="M53" i="38"/>
  <c r="N53" i="38"/>
  <c r="O53" i="38"/>
  <c r="V64" i="31"/>
  <c r="W64" i="31" s="1"/>
  <c r="U62" i="17" s="1"/>
  <c r="U64" i="31"/>
  <c r="L56" i="38"/>
  <c r="K63" i="34"/>
  <c r="G61" i="17" s="1"/>
  <c r="V66" i="34"/>
  <c r="W66" i="34" s="1"/>
  <c r="X64" i="17" s="1"/>
  <c r="U66" i="34"/>
  <c r="O54" i="38" l="1"/>
  <c r="J65" i="18"/>
  <c r="K65" i="18" s="1"/>
  <c r="C63" i="17" s="1"/>
  <c r="I65" i="18"/>
  <c r="I66" i="32"/>
  <c r="J66" i="32"/>
  <c r="N54" i="38"/>
  <c r="K65" i="32"/>
  <c r="F63" i="17" s="1"/>
  <c r="J58" i="38"/>
  <c r="AC62" i="17"/>
  <c r="AF62" i="17" s="1"/>
  <c r="L61" i="17"/>
  <c r="E56" i="28" s="1"/>
  <c r="M56" i="38" s="1"/>
  <c r="V65" i="37"/>
  <c r="W65" i="37" s="1"/>
  <c r="AA63" i="17" s="1"/>
  <c r="U65" i="37"/>
  <c r="J65" i="37"/>
  <c r="K65" i="37" s="1"/>
  <c r="J63" i="17" s="1"/>
  <c r="I65" i="37"/>
  <c r="V65" i="31"/>
  <c r="W65" i="31" s="1"/>
  <c r="U63" i="17" s="1"/>
  <c r="U65" i="31"/>
  <c r="E55" i="28"/>
  <c r="O60" i="17"/>
  <c r="U66" i="32"/>
  <c r="V66" i="32"/>
  <c r="W66" i="32" s="1"/>
  <c r="W64" i="17" s="1"/>
  <c r="U65" i="18"/>
  <c r="V65" i="18"/>
  <c r="W65" i="18" s="1"/>
  <c r="T63" i="17" s="1"/>
  <c r="I65" i="33"/>
  <c r="J65" i="33"/>
  <c r="K65" i="33" s="1"/>
  <c r="H63" i="17" s="1"/>
  <c r="J65" i="31"/>
  <c r="I65" i="31"/>
  <c r="K64" i="31"/>
  <c r="D62" i="17" s="1"/>
  <c r="K57" i="38"/>
  <c r="J65" i="35"/>
  <c r="K65" i="35" s="1"/>
  <c r="E63" i="17" s="1"/>
  <c r="I65" i="35"/>
  <c r="L57" i="38"/>
  <c r="K64" i="34"/>
  <c r="G62" i="17" s="1"/>
  <c r="V67" i="34"/>
  <c r="W67" i="34" s="1"/>
  <c r="X65" i="17" s="1"/>
  <c r="U67" i="34"/>
  <c r="V65" i="33"/>
  <c r="W65" i="33" s="1"/>
  <c r="Y63" i="17" s="1"/>
  <c r="U65" i="33"/>
  <c r="U67" i="35"/>
  <c r="V67" i="35"/>
  <c r="W67" i="35" s="1"/>
  <c r="V65" i="17" s="1"/>
  <c r="I65" i="34"/>
  <c r="J65" i="34"/>
  <c r="I66" i="18" l="1"/>
  <c r="J66" i="18"/>
  <c r="K66" i="18" s="1"/>
  <c r="C64" i="17" s="1"/>
  <c r="O61" i="17"/>
  <c r="K66" i="32"/>
  <c r="F64" i="17" s="1"/>
  <c r="J59" i="38"/>
  <c r="V66" i="37"/>
  <c r="W66" i="37" s="1"/>
  <c r="AA64" i="17" s="1"/>
  <c r="U66" i="37"/>
  <c r="J67" i="32"/>
  <c r="I67" i="32"/>
  <c r="AC63" i="17"/>
  <c r="AF63" i="17" s="1"/>
  <c r="V66" i="31"/>
  <c r="W66" i="31" s="1"/>
  <c r="U64" i="17" s="1"/>
  <c r="U66" i="31"/>
  <c r="I66" i="34"/>
  <c r="J66" i="34"/>
  <c r="O56" i="38"/>
  <c r="L62" i="17"/>
  <c r="I66" i="35"/>
  <c r="J66" i="35"/>
  <c r="K66" i="35" s="1"/>
  <c r="E64" i="17" s="1"/>
  <c r="N56" i="38"/>
  <c r="V67" i="32"/>
  <c r="W67" i="32" s="1"/>
  <c r="W65" i="17" s="1"/>
  <c r="U67" i="32"/>
  <c r="I66" i="33"/>
  <c r="J66" i="33"/>
  <c r="K66" i="33" s="1"/>
  <c r="H64" i="17" s="1"/>
  <c r="V68" i="35"/>
  <c r="W68" i="35" s="1"/>
  <c r="V66" i="17" s="1"/>
  <c r="U68" i="35"/>
  <c r="U66" i="18"/>
  <c r="V66" i="18"/>
  <c r="W66" i="18" s="1"/>
  <c r="T64" i="17" s="1"/>
  <c r="V66" i="33"/>
  <c r="W66" i="33" s="1"/>
  <c r="Y64" i="17" s="1"/>
  <c r="U66" i="33"/>
  <c r="J66" i="31"/>
  <c r="I66" i="31"/>
  <c r="J66" i="37"/>
  <c r="K66" i="37" s="1"/>
  <c r="J64" i="17" s="1"/>
  <c r="I66" i="37"/>
  <c r="M55" i="38"/>
  <c r="N55" i="38"/>
  <c r="O55" i="38"/>
  <c r="L58" i="38"/>
  <c r="K65" i="34"/>
  <c r="G63" i="17" s="1"/>
  <c r="U68" i="34"/>
  <c r="V68" i="34"/>
  <c r="W68" i="34" s="1"/>
  <c r="X66" i="17" s="1"/>
  <c r="K65" i="31"/>
  <c r="D63" i="17" s="1"/>
  <c r="K58" i="38"/>
  <c r="J67" i="18" l="1"/>
  <c r="K67" i="18" s="1"/>
  <c r="C65" i="17" s="1"/>
  <c r="I67" i="18"/>
  <c r="L63" i="17"/>
  <c r="O63" i="17" s="1"/>
  <c r="I68" i="32"/>
  <c r="J68" i="32"/>
  <c r="K67" i="32"/>
  <c r="F65" i="17" s="1"/>
  <c r="J60" i="38"/>
  <c r="AC64" i="17"/>
  <c r="AF64" i="17" s="1"/>
  <c r="V67" i="37"/>
  <c r="W67" i="37" s="1"/>
  <c r="AA65" i="17" s="1"/>
  <c r="U67" i="37"/>
  <c r="U69" i="34"/>
  <c r="V69" i="34"/>
  <c r="W69" i="34" s="1"/>
  <c r="X67" i="17" s="1"/>
  <c r="I67" i="31"/>
  <c r="J67" i="31"/>
  <c r="U67" i="18"/>
  <c r="V67" i="18"/>
  <c r="W67" i="18" s="1"/>
  <c r="T65" i="17" s="1"/>
  <c r="V68" i="32"/>
  <c r="W68" i="32" s="1"/>
  <c r="W66" i="17" s="1"/>
  <c r="U68" i="32"/>
  <c r="I67" i="34"/>
  <c r="J67" i="34"/>
  <c r="K66" i="31"/>
  <c r="D64" i="17" s="1"/>
  <c r="K59" i="38"/>
  <c r="V67" i="31"/>
  <c r="W67" i="31" s="1"/>
  <c r="U65" i="17" s="1"/>
  <c r="U67" i="31"/>
  <c r="K66" i="34"/>
  <c r="G64" i="17" s="1"/>
  <c r="L59" i="38"/>
  <c r="V67" i="33"/>
  <c r="W67" i="33" s="1"/>
  <c r="Y65" i="17" s="1"/>
  <c r="U67" i="33"/>
  <c r="V69" i="35"/>
  <c r="W69" i="35" s="1"/>
  <c r="V67" i="17" s="1"/>
  <c r="U69" i="35"/>
  <c r="I67" i="35"/>
  <c r="J67" i="35"/>
  <c r="K67" i="35" s="1"/>
  <c r="E65" i="17" s="1"/>
  <c r="J67" i="37"/>
  <c r="K67" i="37" s="1"/>
  <c r="J65" i="17" s="1"/>
  <c r="I67" i="37"/>
  <c r="E58" i="28"/>
  <c r="M58" i="38" s="1"/>
  <c r="I67" i="33"/>
  <c r="J67" i="33"/>
  <c r="K67" i="33" s="1"/>
  <c r="H65" i="17" s="1"/>
  <c r="E57" i="28"/>
  <c r="O62" i="17"/>
  <c r="J68" i="18" l="1"/>
  <c r="K68" i="18" s="1"/>
  <c r="C66" i="17" s="1"/>
  <c r="I68" i="18"/>
  <c r="AC65" i="17"/>
  <c r="AF65" i="17" s="1"/>
  <c r="U68" i="37"/>
  <c r="V68" i="37"/>
  <c r="W68" i="37" s="1"/>
  <c r="AA66" i="17" s="1"/>
  <c r="K68" i="32"/>
  <c r="F66" i="17" s="1"/>
  <c r="J61" i="38"/>
  <c r="J69" i="32"/>
  <c r="I69" i="32"/>
  <c r="V68" i="18"/>
  <c r="W68" i="18" s="1"/>
  <c r="T66" i="17" s="1"/>
  <c r="U68" i="18"/>
  <c r="M57" i="38"/>
  <c r="N57" i="38"/>
  <c r="O57" i="38"/>
  <c r="J68" i="37"/>
  <c r="K68" i="37" s="1"/>
  <c r="J66" i="17" s="1"/>
  <c r="I68" i="37"/>
  <c r="U68" i="33"/>
  <c r="V68" i="33"/>
  <c r="W68" i="33" s="1"/>
  <c r="Y66" i="17" s="1"/>
  <c r="L64" i="17"/>
  <c r="I68" i="31"/>
  <c r="J68" i="31"/>
  <c r="V68" i="31"/>
  <c r="W68" i="31" s="1"/>
  <c r="U66" i="17" s="1"/>
  <c r="U68" i="31"/>
  <c r="K60" i="38"/>
  <c r="K67" i="31"/>
  <c r="D65" i="17" s="1"/>
  <c r="K67" i="34"/>
  <c r="G65" i="17" s="1"/>
  <c r="L60" i="38"/>
  <c r="O58" i="38"/>
  <c r="J68" i="34"/>
  <c r="I68" i="34"/>
  <c r="V70" i="34"/>
  <c r="W70" i="34" s="1"/>
  <c r="X68" i="17" s="1"/>
  <c r="U70" i="34"/>
  <c r="V70" i="35"/>
  <c r="W70" i="35" s="1"/>
  <c r="V68" i="17" s="1"/>
  <c r="U70" i="35"/>
  <c r="I68" i="33"/>
  <c r="J68" i="33"/>
  <c r="K68" i="33" s="1"/>
  <c r="H66" i="17" s="1"/>
  <c r="I68" i="35"/>
  <c r="J68" i="35"/>
  <c r="K68" i="35" s="1"/>
  <c r="E66" i="17" s="1"/>
  <c r="V69" i="32"/>
  <c r="W69" i="32" s="1"/>
  <c r="W67" i="17" s="1"/>
  <c r="U69" i="32"/>
  <c r="N58" i="38"/>
  <c r="J69" i="18" l="1"/>
  <c r="K69" i="18" s="1"/>
  <c r="C67" i="17" s="1"/>
  <c r="I69" i="18"/>
  <c r="L65" i="17"/>
  <c r="O65" i="17" s="1"/>
  <c r="I70" i="32"/>
  <c r="J70" i="32"/>
  <c r="J62" i="38"/>
  <c r="K69" i="32"/>
  <c r="F67" i="17" s="1"/>
  <c r="V69" i="37"/>
  <c r="W69" i="37" s="1"/>
  <c r="AA67" i="17" s="1"/>
  <c r="U69" i="37"/>
  <c r="U71" i="35"/>
  <c r="V71" i="35"/>
  <c r="W71" i="35" s="1"/>
  <c r="V69" i="17" s="1"/>
  <c r="U69" i="33"/>
  <c r="V69" i="33"/>
  <c r="W69" i="33" s="1"/>
  <c r="Y67" i="17" s="1"/>
  <c r="V70" i="32"/>
  <c r="W70" i="32" s="1"/>
  <c r="W68" i="17" s="1"/>
  <c r="U70" i="32"/>
  <c r="I69" i="34"/>
  <c r="J69" i="34"/>
  <c r="K61" i="38"/>
  <c r="K68" i="31"/>
  <c r="D66" i="17" s="1"/>
  <c r="J69" i="33"/>
  <c r="K69" i="33" s="1"/>
  <c r="H67" i="17" s="1"/>
  <c r="I69" i="33"/>
  <c r="J69" i="37"/>
  <c r="K69" i="37" s="1"/>
  <c r="J67" i="17" s="1"/>
  <c r="I69" i="37"/>
  <c r="L61" i="38"/>
  <c r="K68" i="34"/>
  <c r="G66" i="17" s="1"/>
  <c r="I69" i="31"/>
  <c r="J69" i="31"/>
  <c r="V69" i="31"/>
  <c r="W69" i="31" s="1"/>
  <c r="U67" i="17" s="1"/>
  <c r="U69" i="31"/>
  <c r="J69" i="35"/>
  <c r="K69" i="35" s="1"/>
  <c r="E67" i="17" s="1"/>
  <c r="I69" i="35"/>
  <c r="E59" i="28"/>
  <c r="O64" i="17"/>
  <c r="U69" i="18"/>
  <c r="V69" i="18"/>
  <c r="W69" i="18" s="1"/>
  <c r="T67" i="17" s="1"/>
  <c r="U71" i="34"/>
  <c r="V71" i="34"/>
  <c r="W71" i="34" s="1"/>
  <c r="X69" i="17" s="1"/>
  <c r="AC66" i="17"/>
  <c r="AF66" i="17" s="1"/>
  <c r="E60" i="28" l="1"/>
  <c r="M60" i="38" s="1"/>
  <c r="I70" i="18"/>
  <c r="J70" i="18"/>
  <c r="K70" i="18" s="1"/>
  <c r="C68" i="17" s="1"/>
  <c r="V70" i="37"/>
  <c r="W70" i="37" s="1"/>
  <c r="AA68" i="17" s="1"/>
  <c r="U70" i="37"/>
  <c r="J63" i="38"/>
  <c r="K70" i="32"/>
  <c r="F68" i="17" s="1"/>
  <c r="I71" i="32"/>
  <c r="J71" i="32"/>
  <c r="L66" i="17"/>
  <c r="E61" i="28" s="1"/>
  <c r="U72" i="34"/>
  <c r="V72" i="34"/>
  <c r="W72" i="34" s="1"/>
  <c r="X70" i="17" s="1"/>
  <c r="I70" i="35"/>
  <c r="J70" i="35"/>
  <c r="K70" i="35" s="1"/>
  <c r="E68" i="17" s="1"/>
  <c r="L62" i="38"/>
  <c r="K69" i="34"/>
  <c r="G67" i="17" s="1"/>
  <c r="I70" i="34"/>
  <c r="J70" i="34"/>
  <c r="U70" i="31"/>
  <c r="V70" i="31"/>
  <c r="W70" i="31" s="1"/>
  <c r="U68" i="17" s="1"/>
  <c r="V71" i="32"/>
  <c r="W71" i="32" s="1"/>
  <c r="W69" i="17" s="1"/>
  <c r="U71" i="32"/>
  <c r="K62" i="38"/>
  <c r="K69" i="31"/>
  <c r="D67" i="17" s="1"/>
  <c r="AC67" i="17"/>
  <c r="AF67" i="17" s="1"/>
  <c r="J70" i="31"/>
  <c r="I70" i="31"/>
  <c r="U70" i="33"/>
  <c r="V70" i="33"/>
  <c r="W70" i="33" s="1"/>
  <c r="Y68" i="17" s="1"/>
  <c r="I70" i="33"/>
  <c r="J70" i="33"/>
  <c r="K70" i="33" s="1"/>
  <c r="H68" i="17" s="1"/>
  <c r="U70" i="18"/>
  <c r="V70" i="18"/>
  <c r="W70" i="18" s="1"/>
  <c r="T68" i="17" s="1"/>
  <c r="M59" i="38"/>
  <c r="N59" i="38"/>
  <c r="O59" i="38"/>
  <c r="J70" i="37"/>
  <c r="K70" i="37" s="1"/>
  <c r="J68" i="17" s="1"/>
  <c r="I70" i="37"/>
  <c r="V72" i="35"/>
  <c r="W72" i="35" s="1"/>
  <c r="V70" i="17" s="1"/>
  <c r="U72" i="35"/>
  <c r="N60" i="38" l="1"/>
  <c r="O60" i="38"/>
  <c r="I71" i="18"/>
  <c r="J71" i="18"/>
  <c r="K71" i="18" s="1"/>
  <c r="C69" i="17" s="1"/>
  <c r="M61" i="38"/>
  <c r="O61" i="38"/>
  <c r="K71" i="32"/>
  <c r="F69" i="17" s="1"/>
  <c r="J64" i="38"/>
  <c r="J72" i="32"/>
  <c r="I72" i="32"/>
  <c r="AC68" i="17"/>
  <c r="AF68" i="17" s="1"/>
  <c r="O66" i="17"/>
  <c r="V71" i="37"/>
  <c r="W71" i="37" s="1"/>
  <c r="AA69" i="17" s="1"/>
  <c r="U71" i="37"/>
  <c r="J71" i="37"/>
  <c r="K71" i="37" s="1"/>
  <c r="J69" i="17" s="1"/>
  <c r="I71" i="37"/>
  <c r="V71" i="31"/>
  <c r="W71" i="31" s="1"/>
  <c r="U69" i="17" s="1"/>
  <c r="U71" i="31"/>
  <c r="I71" i="31"/>
  <c r="J71" i="31"/>
  <c r="I71" i="33"/>
  <c r="J71" i="33"/>
  <c r="K71" i="33" s="1"/>
  <c r="H69" i="17" s="1"/>
  <c r="I71" i="35"/>
  <c r="J71" i="35"/>
  <c r="K71" i="35" s="1"/>
  <c r="E69" i="17" s="1"/>
  <c r="K63" i="38"/>
  <c r="K70" i="31"/>
  <c r="D68" i="17" s="1"/>
  <c r="V73" i="35"/>
  <c r="W73" i="35" s="1"/>
  <c r="V71" i="17" s="1"/>
  <c r="U73" i="35"/>
  <c r="L67" i="17"/>
  <c r="V72" i="32"/>
  <c r="W72" i="32" s="1"/>
  <c r="W70" i="17" s="1"/>
  <c r="U72" i="32"/>
  <c r="L63" i="38"/>
  <c r="K70" i="34"/>
  <c r="G68" i="17" s="1"/>
  <c r="I71" i="34"/>
  <c r="J71" i="34"/>
  <c r="U71" i="18"/>
  <c r="V71" i="18"/>
  <c r="W71" i="18" s="1"/>
  <c r="T69" i="17" s="1"/>
  <c r="V71" i="33"/>
  <c r="W71" i="33" s="1"/>
  <c r="Y69" i="17" s="1"/>
  <c r="U71" i="33"/>
  <c r="N61" i="38"/>
  <c r="U73" i="34"/>
  <c r="V73" i="34"/>
  <c r="W73" i="34" s="1"/>
  <c r="X71" i="17" s="1"/>
  <c r="L68" i="17" l="1"/>
  <c r="E63" i="28" s="1"/>
  <c r="M63" i="38" s="1"/>
  <c r="I72" i="18"/>
  <c r="J72" i="18"/>
  <c r="K72" i="18" s="1"/>
  <c r="C70" i="17" s="1"/>
  <c r="J73" i="32"/>
  <c r="I73" i="32"/>
  <c r="J65" i="38"/>
  <c r="K72" i="32"/>
  <c r="F70" i="17" s="1"/>
  <c r="U72" i="37"/>
  <c r="V72" i="37"/>
  <c r="W72" i="37" s="1"/>
  <c r="AA70" i="17" s="1"/>
  <c r="U72" i="33"/>
  <c r="V72" i="33"/>
  <c r="W72" i="33" s="1"/>
  <c r="Y70" i="17" s="1"/>
  <c r="K64" i="38"/>
  <c r="K71" i="31"/>
  <c r="D69" i="17" s="1"/>
  <c r="V74" i="34"/>
  <c r="W74" i="34" s="1"/>
  <c r="X72" i="17" s="1"/>
  <c r="U74" i="34"/>
  <c r="AC69" i="17"/>
  <c r="AF69" i="17" s="1"/>
  <c r="I72" i="35"/>
  <c r="J72" i="35"/>
  <c r="K72" i="35" s="1"/>
  <c r="E70" i="17" s="1"/>
  <c r="I72" i="31"/>
  <c r="J72" i="31"/>
  <c r="V72" i="18"/>
  <c r="W72" i="18" s="1"/>
  <c r="T70" i="17" s="1"/>
  <c r="U72" i="18"/>
  <c r="E62" i="28"/>
  <c r="O67" i="17"/>
  <c r="J72" i="33"/>
  <c r="K72" i="33" s="1"/>
  <c r="H70" i="17" s="1"/>
  <c r="I72" i="33"/>
  <c r="V72" i="31"/>
  <c r="W72" i="31" s="1"/>
  <c r="U70" i="17" s="1"/>
  <c r="U72" i="31"/>
  <c r="K71" i="34"/>
  <c r="G69" i="17" s="1"/>
  <c r="L64" i="38"/>
  <c r="I72" i="34"/>
  <c r="J72" i="34"/>
  <c r="U74" i="35"/>
  <c r="V74" i="35"/>
  <c r="W74" i="35" s="1"/>
  <c r="V72" i="17" s="1"/>
  <c r="I72" i="37"/>
  <c r="J72" i="37"/>
  <c r="K72" i="37" s="1"/>
  <c r="J70" i="17" s="1"/>
  <c r="V73" i="32"/>
  <c r="W73" i="32" s="1"/>
  <c r="W71" i="17" s="1"/>
  <c r="U73" i="32"/>
  <c r="O68" i="17" l="1"/>
  <c r="J73" i="18"/>
  <c r="K73" i="18" s="1"/>
  <c r="C71" i="17" s="1"/>
  <c r="I73" i="18"/>
  <c r="V73" i="37"/>
  <c r="W73" i="37" s="1"/>
  <c r="AA71" i="17" s="1"/>
  <c r="U73" i="37"/>
  <c r="O63" i="38"/>
  <c r="AC70" i="17"/>
  <c r="AF70" i="17" s="1"/>
  <c r="N63" i="38"/>
  <c r="I74" i="32"/>
  <c r="J74" i="32"/>
  <c r="J66" i="38"/>
  <c r="K73" i="32"/>
  <c r="F71" i="17" s="1"/>
  <c r="I73" i="31"/>
  <c r="J73" i="31"/>
  <c r="U75" i="34"/>
  <c r="V75" i="34"/>
  <c r="W75" i="34" s="1"/>
  <c r="X73" i="17" s="1"/>
  <c r="V73" i="31"/>
  <c r="W73" i="31" s="1"/>
  <c r="U71" i="17" s="1"/>
  <c r="U73" i="31"/>
  <c r="K72" i="31"/>
  <c r="D70" i="17" s="1"/>
  <c r="K65" i="38"/>
  <c r="J73" i="37"/>
  <c r="K73" i="37" s="1"/>
  <c r="J71" i="17" s="1"/>
  <c r="I73" i="37"/>
  <c r="L69" i="17"/>
  <c r="M62" i="38"/>
  <c r="N62" i="38"/>
  <c r="O62" i="38"/>
  <c r="J73" i="35"/>
  <c r="K73" i="35" s="1"/>
  <c r="E71" i="17" s="1"/>
  <c r="I73" i="35"/>
  <c r="V73" i="33"/>
  <c r="W73" i="33" s="1"/>
  <c r="Y71" i="17" s="1"/>
  <c r="U73" i="33"/>
  <c r="U74" i="32"/>
  <c r="V74" i="32"/>
  <c r="W74" i="32" s="1"/>
  <c r="W72" i="17" s="1"/>
  <c r="V75" i="35"/>
  <c r="W75" i="35" s="1"/>
  <c r="V73" i="17" s="1"/>
  <c r="U75" i="35"/>
  <c r="K72" i="34"/>
  <c r="G70" i="17" s="1"/>
  <c r="L65" i="38"/>
  <c r="I73" i="34"/>
  <c r="J73" i="34"/>
  <c r="I73" i="33"/>
  <c r="J73" i="33"/>
  <c r="K73" i="33" s="1"/>
  <c r="H71" i="17" s="1"/>
  <c r="U73" i="18"/>
  <c r="V73" i="18"/>
  <c r="W73" i="18" s="1"/>
  <c r="T71" i="17" s="1"/>
  <c r="I74" i="18" l="1"/>
  <c r="J74" i="18"/>
  <c r="K74" i="18" s="1"/>
  <c r="C72" i="17" s="1"/>
  <c r="J67" i="38"/>
  <c r="K74" i="32"/>
  <c r="F72" i="17" s="1"/>
  <c r="J75" i="32"/>
  <c r="I75" i="32"/>
  <c r="V74" i="37"/>
  <c r="W74" i="37" s="1"/>
  <c r="AA72" i="17" s="1"/>
  <c r="U74" i="37"/>
  <c r="V74" i="33"/>
  <c r="W74" i="33" s="1"/>
  <c r="Y72" i="17" s="1"/>
  <c r="U74" i="33"/>
  <c r="J74" i="33"/>
  <c r="K74" i="33" s="1"/>
  <c r="H72" i="17" s="1"/>
  <c r="I74" i="33"/>
  <c r="U76" i="34"/>
  <c r="V76" i="34"/>
  <c r="W76" i="34" s="1"/>
  <c r="X74" i="17" s="1"/>
  <c r="O69" i="17"/>
  <c r="E64" i="28"/>
  <c r="L66" i="38"/>
  <c r="K73" i="34"/>
  <c r="G71" i="17" s="1"/>
  <c r="L70" i="17"/>
  <c r="K73" i="31"/>
  <c r="D71" i="17" s="1"/>
  <c r="K66" i="38"/>
  <c r="I74" i="35"/>
  <c r="J74" i="35"/>
  <c r="K74" i="35" s="1"/>
  <c r="E72" i="17" s="1"/>
  <c r="I74" i="37"/>
  <c r="J74" i="37"/>
  <c r="K74" i="37" s="1"/>
  <c r="J72" i="17" s="1"/>
  <c r="I74" i="34"/>
  <c r="J74" i="34"/>
  <c r="AC71" i="17"/>
  <c r="AF71" i="17" s="1"/>
  <c r="V74" i="18"/>
  <c r="W74" i="18" s="1"/>
  <c r="T72" i="17" s="1"/>
  <c r="U74" i="18"/>
  <c r="V76" i="35"/>
  <c r="W76" i="35" s="1"/>
  <c r="V74" i="17" s="1"/>
  <c r="U76" i="35"/>
  <c r="U75" i="32"/>
  <c r="V75" i="32"/>
  <c r="W75" i="32" s="1"/>
  <c r="W73" i="17" s="1"/>
  <c r="U74" i="31"/>
  <c r="V74" i="31"/>
  <c r="W74" i="31" s="1"/>
  <c r="U72" i="17" s="1"/>
  <c r="J74" i="31"/>
  <c r="I74" i="31"/>
  <c r="I75" i="18" l="1"/>
  <c r="J75" i="18"/>
  <c r="K75" i="18" s="1"/>
  <c r="C73" i="17" s="1"/>
  <c r="L71" i="17"/>
  <c r="E66" i="28" s="1"/>
  <c r="M66" i="38" s="1"/>
  <c r="V75" i="37"/>
  <c r="W75" i="37" s="1"/>
  <c r="AA73" i="17" s="1"/>
  <c r="U75" i="37"/>
  <c r="I76" i="32"/>
  <c r="J76" i="32"/>
  <c r="AC72" i="17"/>
  <c r="AF72" i="17" s="1"/>
  <c r="J68" i="38"/>
  <c r="K75" i="32"/>
  <c r="F73" i="17" s="1"/>
  <c r="I75" i="34"/>
  <c r="J75" i="34"/>
  <c r="U77" i="34"/>
  <c r="V77" i="34"/>
  <c r="W77" i="34" s="1"/>
  <c r="X75" i="17" s="1"/>
  <c r="V76" i="32"/>
  <c r="W76" i="32" s="1"/>
  <c r="W74" i="17" s="1"/>
  <c r="U76" i="32"/>
  <c r="E65" i="28"/>
  <c r="O70" i="17"/>
  <c r="J75" i="33"/>
  <c r="K75" i="33" s="1"/>
  <c r="H73" i="17" s="1"/>
  <c r="I75" i="33"/>
  <c r="U77" i="35"/>
  <c r="V77" i="35"/>
  <c r="W77" i="35" s="1"/>
  <c r="V75" i="17" s="1"/>
  <c r="J75" i="37"/>
  <c r="K75" i="37" s="1"/>
  <c r="J73" i="17" s="1"/>
  <c r="I75" i="37"/>
  <c r="K67" i="38"/>
  <c r="K74" i="31"/>
  <c r="D72" i="17" s="1"/>
  <c r="V75" i="31"/>
  <c r="W75" i="31" s="1"/>
  <c r="U73" i="17" s="1"/>
  <c r="U75" i="31"/>
  <c r="U75" i="33"/>
  <c r="V75" i="33"/>
  <c r="W75" i="33" s="1"/>
  <c r="Y73" i="17" s="1"/>
  <c r="I75" i="35"/>
  <c r="J75" i="35"/>
  <c r="K75" i="35" s="1"/>
  <c r="E73" i="17" s="1"/>
  <c r="L67" i="38"/>
  <c r="K74" i="34"/>
  <c r="G72" i="17" s="1"/>
  <c r="I75" i="31"/>
  <c r="J75" i="31"/>
  <c r="U75" i="18"/>
  <c r="V75" i="18"/>
  <c r="W75" i="18" s="1"/>
  <c r="T73" i="17" s="1"/>
  <c r="M64" i="38"/>
  <c r="N64" i="38"/>
  <c r="O64" i="38"/>
  <c r="J76" i="18" l="1"/>
  <c r="K76" i="18" s="1"/>
  <c r="C74" i="17" s="1"/>
  <c r="I76" i="18"/>
  <c r="O71" i="17"/>
  <c r="J69" i="38"/>
  <c r="K76" i="32"/>
  <c r="F74" i="17" s="1"/>
  <c r="I77" i="32"/>
  <c r="J77" i="32"/>
  <c r="U76" i="37"/>
  <c r="V76" i="37"/>
  <c r="W76" i="37" s="1"/>
  <c r="AA74" i="17" s="1"/>
  <c r="AC73" i="17"/>
  <c r="AF73" i="17" s="1"/>
  <c r="I76" i="31"/>
  <c r="J76" i="31"/>
  <c r="U76" i="33"/>
  <c r="V76" i="33"/>
  <c r="W76" i="33" s="1"/>
  <c r="Y74" i="17" s="1"/>
  <c r="N66" i="38"/>
  <c r="J76" i="37"/>
  <c r="K76" i="37" s="1"/>
  <c r="J74" i="17" s="1"/>
  <c r="I76" i="37"/>
  <c r="O66" i="38"/>
  <c r="V78" i="35"/>
  <c r="W78" i="35" s="1"/>
  <c r="V76" i="17" s="1"/>
  <c r="U78" i="35"/>
  <c r="K75" i="34"/>
  <c r="G73" i="17" s="1"/>
  <c r="L68" i="38"/>
  <c r="L72" i="17"/>
  <c r="M65" i="38"/>
  <c r="N65" i="38"/>
  <c r="O65" i="38"/>
  <c r="U76" i="18"/>
  <c r="V76" i="18"/>
  <c r="W76" i="18" s="1"/>
  <c r="T74" i="17" s="1"/>
  <c r="J76" i="35"/>
  <c r="K76" i="35" s="1"/>
  <c r="E74" i="17" s="1"/>
  <c r="I76" i="35"/>
  <c r="V77" i="32"/>
  <c r="W77" i="32" s="1"/>
  <c r="W75" i="17" s="1"/>
  <c r="U77" i="32"/>
  <c r="K75" i="31"/>
  <c r="D73" i="17" s="1"/>
  <c r="K68" i="38"/>
  <c r="U76" i="31"/>
  <c r="V76" i="31"/>
  <c r="W76" i="31" s="1"/>
  <c r="U74" i="17" s="1"/>
  <c r="I76" i="33"/>
  <c r="J76" i="33"/>
  <c r="K76" i="33" s="1"/>
  <c r="H74" i="17" s="1"/>
  <c r="U78" i="34"/>
  <c r="V78" i="34"/>
  <c r="W78" i="34" s="1"/>
  <c r="X76" i="17" s="1"/>
  <c r="J76" i="34"/>
  <c r="I76" i="34"/>
  <c r="J77" i="18" l="1"/>
  <c r="K77" i="18" s="1"/>
  <c r="C75" i="17" s="1"/>
  <c r="I77" i="18"/>
  <c r="V77" i="37"/>
  <c r="W77" i="37" s="1"/>
  <c r="AA75" i="17" s="1"/>
  <c r="U77" i="37"/>
  <c r="K77" i="32"/>
  <c r="F75" i="17" s="1"/>
  <c r="J70" i="38"/>
  <c r="J78" i="32"/>
  <c r="I78" i="32"/>
  <c r="J77" i="33"/>
  <c r="K77" i="33" s="1"/>
  <c r="H75" i="17" s="1"/>
  <c r="I77" i="33"/>
  <c r="J77" i="37"/>
  <c r="K77" i="37" s="1"/>
  <c r="J75" i="17" s="1"/>
  <c r="I77" i="37"/>
  <c r="O72" i="17"/>
  <c r="E67" i="28"/>
  <c r="V77" i="31"/>
  <c r="W77" i="31" s="1"/>
  <c r="U75" i="17" s="1"/>
  <c r="U77" i="31"/>
  <c r="I77" i="34"/>
  <c r="J77" i="34"/>
  <c r="U78" i="32"/>
  <c r="V78" i="32"/>
  <c r="W78" i="32" s="1"/>
  <c r="W76" i="17" s="1"/>
  <c r="J77" i="35"/>
  <c r="K77" i="35" s="1"/>
  <c r="E75" i="17" s="1"/>
  <c r="I77" i="35"/>
  <c r="AC74" i="17"/>
  <c r="AF74" i="17" s="1"/>
  <c r="V77" i="18"/>
  <c r="W77" i="18" s="1"/>
  <c r="T75" i="17" s="1"/>
  <c r="U77" i="18"/>
  <c r="U79" i="35"/>
  <c r="V79" i="35"/>
  <c r="W79" i="35" s="1"/>
  <c r="V77" i="17" s="1"/>
  <c r="V77" i="33"/>
  <c r="W77" i="33" s="1"/>
  <c r="Y75" i="17" s="1"/>
  <c r="U77" i="33"/>
  <c r="J77" i="31"/>
  <c r="I77" i="31"/>
  <c r="L69" i="38"/>
  <c r="K76" i="34"/>
  <c r="G74" i="17" s="1"/>
  <c r="L73" i="17"/>
  <c r="V79" i="34"/>
  <c r="W79" i="34" s="1"/>
  <c r="X77" i="17" s="1"/>
  <c r="U79" i="34"/>
  <c r="K69" i="38"/>
  <c r="K76" i="31"/>
  <c r="D74" i="17" s="1"/>
  <c r="I78" i="18" l="1"/>
  <c r="J78" i="18"/>
  <c r="K78" i="18" s="1"/>
  <c r="C76" i="17" s="1"/>
  <c r="J79" i="32"/>
  <c r="I79" i="32"/>
  <c r="J71" i="38"/>
  <c r="K78" i="32"/>
  <c r="F76" i="17" s="1"/>
  <c r="L74" i="17"/>
  <c r="E69" i="28" s="1"/>
  <c r="M69" i="38" s="1"/>
  <c r="V78" i="37"/>
  <c r="W78" i="37" s="1"/>
  <c r="AA76" i="17" s="1"/>
  <c r="U78" i="37"/>
  <c r="M67" i="38"/>
  <c r="N67" i="38"/>
  <c r="O67" i="38"/>
  <c r="K77" i="31"/>
  <c r="D75" i="17" s="1"/>
  <c r="K70" i="38"/>
  <c r="U80" i="34"/>
  <c r="V80" i="34"/>
  <c r="W80" i="34" s="1"/>
  <c r="X78" i="17" s="1"/>
  <c r="L70" i="38"/>
  <c r="K77" i="34"/>
  <c r="G75" i="17" s="1"/>
  <c r="J78" i="37"/>
  <c r="K78" i="37" s="1"/>
  <c r="J76" i="17" s="1"/>
  <c r="I78" i="37"/>
  <c r="V78" i="33"/>
  <c r="W78" i="33" s="1"/>
  <c r="Y76" i="17" s="1"/>
  <c r="U78" i="33"/>
  <c r="O73" i="17"/>
  <c r="E68" i="28"/>
  <c r="V78" i="18"/>
  <c r="W78" i="18" s="1"/>
  <c r="T76" i="17" s="1"/>
  <c r="U78" i="18"/>
  <c r="V79" i="32"/>
  <c r="W79" i="32" s="1"/>
  <c r="W77" i="17" s="1"/>
  <c r="U79" i="32"/>
  <c r="U78" i="31"/>
  <c r="V78" i="31"/>
  <c r="W78" i="31" s="1"/>
  <c r="U76" i="17" s="1"/>
  <c r="J78" i="33"/>
  <c r="K78" i="33" s="1"/>
  <c r="H76" i="17" s="1"/>
  <c r="I78" i="33"/>
  <c r="J78" i="31"/>
  <c r="I78" i="31"/>
  <c r="I78" i="35"/>
  <c r="J78" i="35"/>
  <c r="K78" i="35" s="1"/>
  <c r="E76" i="17" s="1"/>
  <c r="U80" i="35"/>
  <c r="V80" i="35"/>
  <c r="W80" i="35" s="1"/>
  <c r="V78" i="17" s="1"/>
  <c r="I78" i="34"/>
  <c r="J78" i="34"/>
  <c r="AC75" i="17"/>
  <c r="AF75" i="17" s="1"/>
  <c r="J79" i="18" l="1"/>
  <c r="K79" i="18" s="1"/>
  <c r="C77" i="17" s="1"/>
  <c r="I79" i="18"/>
  <c r="O74" i="17"/>
  <c r="AC76" i="17"/>
  <c r="AF76" i="17" s="1"/>
  <c r="V79" i="37"/>
  <c r="W79" i="37" s="1"/>
  <c r="AA77" i="17" s="1"/>
  <c r="U79" i="37"/>
  <c r="I80" i="32"/>
  <c r="J80" i="32"/>
  <c r="K79" i="32"/>
  <c r="F77" i="17" s="1"/>
  <c r="J72" i="38"/>
  <c r="I79" i="35"/>
  <c r="J79" i="35"/>
  <c r="K79" i="35" s="1"/>
  <c r="E77" i="17" s="1"/>
  <c r="M68" i="38"/>
  <c r="N68" i="38"/>
  <c r="O68" i="38"/>
  <c r="J79" i="33"/>
  <c r="K79" i="33" s="1"/>
  <c r="H77" i="17" s="1"/>
  <c r="I79" i="33"/>
  <c r="I79" i="37"/>
  <c r="J79" i="37"/>
  <c r="K79" i="37" s="1"/>
  <c r="J77" i="17" s="1"/>
  <c r="N69" i="38"/>
  <c r="L75" i="17"/>
  <c r="U81" i="34"/>
  <c r="V81" i="34"/>
  <c r="W81" i="34" s="1"/>
  <c r="X79" i="17" s="1"/>
  <c r="O69" i="38"/>
  <c r="V79" i="31"/>
  <c r="W79" i="31" s="1"/>
  <c r="U77" i="17" s="1"/>
  <c r="U79" i="31"/>
  <c r="K78" i="34"/>
  <c r="G76" i="17" s="1"/>
  <c r="L71" i="38"/>
  <c r="I79" i="31"/>
  <c r="J79" i="31"/>
  <c r="U80" i="32"/>
  <c r="V80" i="32"/>
  <c r="W80" i="32" s="1"/>
  <c r="W78" i="17" s="1"/>
  <c r="V79" i="33"/>
  <c r="W79" i="33" s="1"/>
  <c r="Y77" i="17" s="1"/>
  <c r="U79" i="33"/>
  <c r="U81" i="35"/>
  <c r="V81" i="35"/>
  <c r="W81" i="35" s="1"/>
  <c r="V79" i="17" s="1"/>
  <c r="I79" i="34"/>
  <c r="J79" i="34"/>
  <c r="K71" i="38"/>
  <c r="K78" i="31"/>
  <c r="D76" i="17" s="1"/>
  <c r="U79" i="18"/>
  <c r="V79" i="18"/>
  <c r="W79" i="18" s="1"/>
  <c r="T77" i="17" s="1"/>
  <c r="L76" i="17" l="1"/>
  <c r="E71" i="28" s="1"/>
  <c r="M71" i="38" s="1"/>
  <c r="I80" i="18"/>
  <c r="J80" i="18"/>
  <c r="K80" i="18" s="1"/>
  <c r="C78" i="17" s="1"/>
  <c r="K80" i="32"/>
  <c r="F78" i="17" s="1"/>
  <c r="J73" i="38"/>
  <c r="I81" i="32"/>
  <c r="J81" i="32"/>
  <c r="V80" i="37"/>
  <c r="W80" i="37" s="1"/>
  <c r="AA78" i="17" s="1"/>
  <c r="U80" i="37"/>
  <c r="O75" i="17"/>
  <c r="E70" i="28"/>
  <c r="J80" i="31"/>
  <c r="I80" i="31"/>
  <c r="V80" i="31"/>
  <c r="W80" i="31" s="1"/>
  <c r="U78" i="17" s="1"/>
  <c r="U80" i="31"/>
  <c r="L72" i="38"/>
  <c r="K79" i="34"/>
  <c r="G77" i="17" s="1"/>
  <c r="U82" i="35"/>
  <c r="V82" i="35"/>
  <c r="W82" i="35" s="1"/>
  <c r="V80" i="17" s="1"/>
  <c r="I80" i="34"/>
  <c r="J80" i="34"/>
  <c r="U81" i="32"/>
  <c r="V81" i="32"/>
  <c r="W81" i="32" s="1"/>
  <c r="W79" i="17" s="1"/>
  <c r="J80" i="37"/>
  <c r="K80" i="37" s="1"/>
  <c r="J78" i="17" s="1"/>
  <c r="I80" i="37"/>
  <c r="I80" i="35"/>
  <c r="J80" i="35"/>
  <c r="K80" i="35" s="1"/>
  <c r="E78" i="17" s="1"/>
  <c r="V80" i="18"/>
  <c r="W80" i="18" s="1"/>
  <c r="T78" i="17" s="1"/>
  <c r="U80" i="18"/>
  <c r="V82" i="34"/>
  <c r="W82" i="34" s="1"/>
  <c r="X80" i="17" s="1"/>
  <c r="U82" i="34"/>
  <c r="U80" i="33"/>
  <c r="V80" i="33"/>
  <c r="W80" i="33" s="1"/>
  <c r="Y78" i="17" s="1"/>
  <c r="AC77" i="17"/>
  <c r="AF77" i="17" s="1"/>
  <c r="K72" i="38"/>
  <c r="K79" i="31"/>
  <c r="D77" i="17" s="1"/>
  <c r="I80" i="33"/>
  <c r="J80" i="33"/>
  <c r="K80" i="33" s="1"/>
  <c r="H78" i="17" s="1"/>
  <c r="O76" i="17" l="1"/>
  <c r="I81" i="18"/>
  <c r="J81" i="18"/>
  <c r="K81" i="18" s="1"/>
  <c r="C79" i="17" s="1"/>
  <c r="L77" i="17"/>
  <c r="O77" i="17" s="1"/>
  <c r="J74" i="38"/>
  <c r="K81" i="32"/>
  <c r="F79" i="17" s="1"/>
  <c r="V81" i="37"/>
  <c r="W81" i="37" s="1"/>
  <c r="AA79" i="17" s="1"/>
  <c r="U81" i="37"/>
  <c r="J82" i="32"/>
  <c r="I82" i="32"/>
  <c r="AC78" i="17"/>
  <c r="AF78" i="17" s="1"/>
  <c r="U82" i="32"/>
  <c r="V82" i="32"/>
  <c r="W82" i="32" s="1"/>
  <c r="W80" i="17" s="1"/>
  <c r="J81" i="31"/>
  <c r="I81" i="31"/>
  <c r="I81" i="34"/>
  <c r="J81" i="34"/>
  <c r="J81" i="35"/>
  <c r="K81" i="35" s="1"/>
  <c r="E79" i="17" s="1"/>
  <c r="I81" i="35"/>
  <c r="M70" i="38"/>
  <c r="O70" i="38"/>
  <c r="N70" i="38"/>
  <c r="I81" i="37"/>
  <c r="J81" i="37"/>
  <c r="K81" i="37" s="1"/>
  <c r="J79" i="17" s="1"/>
  <c r="V81" i="31"/>
  <c r="W81" i="31" s="1"/>
  <c r="U79" i="17" s="1"/>
  <c r="U81" i="31"/>
  <c r="V83" i="35"/>
  <c r="W83" i="35" s="1"/>
  <c r="V81" i="17" s="1"/>
  <c r="U83" i="35"/>
  <c r="O71" i="38"/>
  <c r="V81" i="18"/>
  <c r="W81" i="18" s="1"/>
  <c r="T79" i="17" s="1"/>
  <c r="U81" i="18"/>
  <c r="K80" i="34"/>
  <c r="G78" i="17" s="1"/>
  <c r="L73" i="38"/>
  <c r="K80" i="31"/>
  <c r="D78" i="17" s="1"/>
  <c r="K73" i="38"/>
  <c r="U81" i="33"/>
  <c r="V81" i="33"/>
  <c r="W81" i="33" s="1"/>
  <c r="Y79" i="17" s="1"/>
  <c r="J81" i="33"/>
  <c r="K81" i="33" s="1"/>
  <c r="H79" i="17" s="1"/>
  <c r="I81" i="33"/>
  <c r="V83" i="34"/>
  <c r="W83" i="34" s="1"/>
  <c r="X81" i="17" s="1"/>
  <c r="U83" i="34"/>
  <c r="N71" i="38"/>
  <c r="E72" i="28" l="1"/>
  <c r="M72" i="38" s="1"/>
  <c r="I82" i="18"/>
  <c r="J82" i="18"/>
  <c r="K82" i="18" s="1"/>
  <c r="C80" i="17" s="1"/>
  <c r="I83" i="32"/>
  <c r="J83" i="32"/>
  <c r="J75" i="38"/>
  <c r="K82" i="32"/>
  <c r="F80" i="17" s="1"/>
  <c r="AC79" i="17"/>
  <c r="AF79" i="17" s="1"/>
  <c r="U82" i="37"/>
  <c r="V82" i="37"/>
  <c r="W82" i="37" s="1"/>
  <c r="AA80" i="17" s="1"/>
  <c r="K81" i="31"/>
  <c r="D79" i="17" s="1"/>
  <c r="K74" i="38"/>
  <c r="I82" i="37"/>
  <c r="J82" i="37"/>
  <c r="K82" i="37" s="1"/>
  <c r="J80" i="17" s="1"/>
  <c r="I82" i="35"/>
  <c r="J82" i="35"/>
  <c r="K82" i="35" s="1"/>
  <c r="E80" i="17" s="1"/>
  <c r="V82" i="33"/>
  <c r="W82" i="33" s="1"/>
  <c r="Y80" i="17" s="1"/>
  <c r="U82" i="33"/>
  <c r="K81" i="34"/>
  <c r="G79" i="17" s="1"/>
  <c r="L74" i="38"/>
  <c r="U83" i="32"/>
  <c r="V83" i="32"/>
  <c r="W83" i="32" s="1"/>
  <c r="W81" i="17" s="1"/>
  <c r="U82" i="18"/>
  <c r="V82" i="18"/>
  <c r="W82" i="18" s="1"/>
  <c r="T80" i="17" s="1"/>
  <c r="I82" i="31"/>
  <c r="J82" i="31"/>
  <c r="V84" i="35"/>
  <c r="W84" i="35" s="1"/>
  <c r="V82" i="17" s="1"/>
  <c r="U84" i="35"/>
  <c r="U84" i="34"/>
  <c r="V84" i="34"/>
  <c r="W84" i="34" s="1"/>
  <c r="X82" i="17" s="1"/>
  <c r="I82" i="34"/>
  <c r="J82" i="34"/>
  <c r="V82" i="31"/>
  <c r="W82" i="31" s="1"/>
  <c r="U80" i="17" s="1"/>
  <c r="U82" i="31"/>
  <c r="L78" i="17"/>
  <c r="J82" i="33"/>
  <c r="K82" i="33" s="1"/>
  <c r="H80" i="17" s="1"/>
  <c r="I82" i="33"/>
  <c r="O72" i="38" l="1"/>
  <c r="N72" i="38"/>
  <c r="J83" i="18"/>
  <c r="K83" i="18" s="1"/>
  <c r="C81" i="17" s="1"/>
  <c r="I83" i="18"/>
  <c r="U83" i="37"/>
  <c r="V83" i="37"/>
  <c r="W83" i="37" s="1"/>
  <c r="AA81" i="17" s="1"/>
  <c r="K83" i="32"/>
  <c r="F81" i="17" s="1"/>
  <c r="J76" i="38"/>
  <c r="I84" i="32"/>
  <c r="J84" i="32"/>
  <c r="I83" i="37"/>
  <c r="J83" i="37"/>
  <c r="K83" i="37" s="1"/>
  <c r="J81" i="17" s="1"/>
  <c r="K82" i="34"/>
  <c r="G80" i="17" s="1"/>
  <c r="L75" i="38"/>
  <c r="V83" i="31"/>
  <c r="W83" i="31" s="1"/>
  <c r="U81" i="17" s="1"/>
  <c r="U83" i="31"/>
  <c r="I83" i="34"/>
  <c r="J83" i="34"/>
  <c r="J83" i="31"/>
  <c r="I83" i="31"/>
  <c r="L79" i="17"/>
  <c r="K75" i="38"/>
  <c r="K82" i="31"/>
  <c r="D80" i="17" s="1"/>
  <c r="U85" i="34"/>
  <c r="V85" i="34"/>
  <c r="W85" i="34" s="1"/>
  <c r="X83" i="17" s="1"/>
  <c r="V83" i="18"/>
  <c r="W83" i="18" s="1"/>
  <c r="T81" i="17" s="1"/>
  <c r="U83" i="18"/>
  <c r="AC80" i="17"/>
  <c r="AF80" i="17" s="1"/>
  <c r="V83" i="33"/>
  <c r="W83" i="33" s="1"/>
  <c r="Y81" i="17" s="1"/>
  <c r="U83" i="33"/>
  <c r="I83" i="33"/>
  <c r="J83" i="33"/>
  <c r="K83" i="33" s="1"/>
  <c r="H81" i="17" s="1"/>
  <c r="U85" i="35"/>
  <c r="V85" i="35"/>
  <c r="W85" i="35" s="1"/>
  <c r="V83" i="17" s="1"/>
  <c r="E73" i="28"/>
  <c r="O78" i="17"/>
  <c r="U84" i="32"/>
  <c r="V84" i="32"/>
  <c r="W84" i="32" s="1"/>
  <c r="W82" i="17" s="1"/>
  <c r="I83" i="35"/>
  <c r="J83" i="35"/>
  <c r="K83" i="35" s="1"/>
  <c r="E81" i="17" s="1"/>
  <c r="J84" i="18" l="1"/>
  <c r="K84" i="18" s="1"/>
  <c r="C82" i="17" s="1"/>
  <c r="I84" i="18"/>
  <c r="L80" i="17"/>
  <c r="O80" i="17" s="1"/>
  <c r="J77" i="38"/>
  <c r="K84" i="32"/>
  <c r="F82" i="17" s="1"/>
  <c r="I85" i="32"/>
  <c r="J85" i="32"/>
  <c r="AC81" i="17"/>
  <c r="AF81" i="17" s="1"/>
  <c r="V84" i="37"/>
  <c r="W84" i="37" s="1"/>
  <c r="AA82" i="17" s="1"/>
  <c r="U84" i="37"/>
  <c r="I84" i="35"/>
  <c r="J84" i="35"/>
  <c r="K84" i="35" s="1"/>
  <c r="E82" i="17" s="1"/>
  <c r="L76" i="38"/>
  <c r="K83" i="34"/>
  <c r="G81" i="17" s="1"/>
  <c r="V84" i="31"/>
  <c r="W84" i="31" s="1"/>
  <c r="U82" i="17" s="1"/>
  <c r="U84" i="31"/>
  <c r="I84" i="33"/>
  <c r="J84" i="33"/>
  <c r="K84" i="33" s="1"/>
  <c r="H82" i="17" s="1"/>
  <c r="J84" i="34"/>
  <c r="I84" i="34"/>
  <c r="K76" i="38"/>
  <c r="K83" i="31"/>
  <c r="D81" i="17" s="1"/>
  <c r="U85" i="32"/>
  <c r="V85" i="32"/>
  <c r="W85" i="32" s="1"/>
  <c r="W83" i="17" s="1"/>
  <c r="U84" i="33"/>
  <c r="V84" i="33"/>
  <c r="W84" i="33" s="1"/>
  <c r="Y82" i="17" s="1"/>
  <c r="I84" i="31"/>
  <c r="J84" i="31"/>
  <c r="V86" i="35"/>
  <c r="W86" i="35" s="1"/>
  <c r="V84" i="17" s="1"/>
  <c r="U86" i="35"/>
  <c r="V86" i="34"/>
  <c r="W86" i="34" s="1"/>
  <c r="X84" i="17" s="1"/>
  <c r="U86" i="34"/>
  <c r="M73" i="38"/>
  <c r="O73" i="38"/>
  <c r="N73" i="38"/>
  <c r="U84" i="18"/>
  <c r="V84" i="18"/>
  <c r="W84" i="18" s="1"/>
  <c r="T82" i="17" s="1"/>
  <c r="E74" i="28"/>
  <c r="O79" i="17"/>
  <c r="J84" i="37"/>
  <c r="K84" i="37" s="1"/>
  <c r="J82" i="17" s="1"/>
  <c r="I84" i="37"/>
  <c r="E75" i="28" l="1"/>
  <c r="M75" i="38" s="1"/>
  <c r="J85" i="18"/>
  <c r="K85" i="18" s="1"/>
  <c r="C83" i="17" s="1"/>
  <c r="I85" i="18"/>
  <c r="AC82" i="17"/>
  <c r="AF82" i="17" s="1"/>
  <c r="V85" i="37"/>
  <c r="W85" i="37" s="1"/>
  <c r="AA83" i="17" s="1"/>
  <c r="U85" i="37"/>
  <c r="L81" i="17"/>
  <c r="O81" i="17" s="1"/>
  <c r="K85" i="32"/>
  <c r="F83" i="17" s="1"/>
  <c r="J78" i="38"/>
  <c r="I86" i="32"/>
  <c r="J86" i="32"/>
  <c r="V86" i="32"/>
  <c r="W86" i="32" s="1"/>
  <c r="W84" i="17" s="1"/>
  <c r="U86" i="32"/>
  <c r="J85" i="37"/>
  <c r="K85" i="37" s="1"/>
  <c r="J83" i="17" s="1"/>
  <c r="I85" i="37"/>
  <c r="J85" i="34"/>
  <c r="I85" i="34"/>
  <c r="L77" i="38"/>
  <c r="K84" i="34"/>
  <c r="G82" i="17" s="1"/>
  <c r="I85" i="33"/>
  <c r="J85" i="33"/>
  <c r="K85" i="33" s="1"/>
  <c r="H83" i="17" s="1"/>
  <c r="V87" i="35"/>
  <c r="W87" i="35" s="1"/>
  <c r="V85" i="17" s="1"/>
  <c r="U87" i="35"/>
  <c r="U87" i="34"/>
  <c r="V87" i="34"/>
  <c r="W87" i="34" s="1"/>
  <c r="X85" i="17" s="1"/>
  <c r="K84" i="31"/>
  <c r="D82" i="17" s="1"/>
  <c r="K77" i="38"/>
  <c r="V85" i="18"/>
  <c r="W85" i="18" s="1"/>
  <c r="T83" i="17" s="1"/>
  <c r="U85" i="18"/>
  <c r="V85" i="31"/>
  <c r="W85" i="31" s="1"/>
  <c r="U83" i="17" s="1"/>
  <c r="U85" i="31"/>
  <c r="M74" i="38"/>
  <c r="O74" i="38"/>
  <c r="N74" i="38"/>
  <c r="J85" i="31"/>
  <c r="I85" i="31"/>
  <c r="V85" i="33"/>
  <c r="W85" i="33" s="1"/>
  <c r="Y83" i="17" s="1"/>
  <c r="U85" i="33"/>
  <c r="I85" i="35"/>
  <c r="J85" i="35"/>
  <c r="K85" i="35" s="1"/>
  <c r="E83" i="17" s="1"/>
  <c r="O75" i="38" l="1"/>
  <c r="N75" i="38"/>
  <c r="J86" i="18"/>
  <c r="K86" i="18" s="1"/>
  <c r="C84" i="17" s="1"/>
  <c r="I86" i="18"/>
  <c r="E76" i="28"/>
  <c r="O76" i="38" s="1"/>
  <c r="I87" i="32"/>
  <c r="J87" i="32"/>
  <c r="J79" i="38"/>
  <c r="K86" i="32"/>
  <c r="F84" i="17" s="1"/>
  <c r="U86" i="37"/>
  <c r="V86" i="37"/>
  <c r="W86" i="37" s="1"/>
  <c r="AA84" i="17" s="1"/>
  <c r="J86" i="34"/>
  <c r="I86" i="34"/>
  <c r="V88" i="35"/>
  <c r="W88" i="35" s="1"/>
  <c r="V86" i="17" s="1"/>
  <c r="U88" i="35"/>
  <c r="J86" i="33"/>
  <c r="K86" i="33" s="1"/>
  <c r="H84" i="17" s="1"/>
  <c r="I86" i="33"/>
  <c r="L78" i="38"/>
  <c r="K85" i="34"/>
  <c r="G83" i="17" s="1"/>
  <c r="AC83" i="17"/>
  <c r="AF83" i="17" s="1"/>
  <c r="I86" i="35"/>
  <c r="J86" i="35"/>
  <c r="K86" i="35" s="1"/>
  <c r="E84" i="17" s="1"/>
  <c r="V86" i="31"/>
  <c r="W86" i="31" s="1"/>
  <c r="U84" i="17" s="1"/>
  <c r="U86" i="31"/>
  <c r="V87" i="32"/>
  <c r="W87" i="32" s="1"/>
  <c r="W85" i="17" s="1"/>
  <c r="U87" i="32"/>
  <c r="I86" i="31"/>
  <c r="J86" i="31"/>
  <c r="V88" i="34"/>
  <c r="W88" i="34" s="1"/>
  <c r="X86" i="17" s="1"/>
  <c r="U88" i="34"/>
  <c r="K85" i="31"/>
  <c r="D83" i="17" s="1"/>
  <c r="K78" i="38"/>
  <c r="U86" i="18"/>
  <c r="V86" i="18"/>
  <c r="W86" i="18" s="1"/>
  <c r="T84" i="17" s="1"/>
  <c r="U86" i="33"/>
  <c r="V86" i="33"/>
  <c r="W86" i="33" s="1"/>
  <c r="Y84" i="17" s="1"/>
  <c r="L82" i="17"/>
  <c r="J86" i="37"/>
  <c r="K86" i="37" s="1"/>
  <c r="J84" i="17" s="1"/>
  <c r="I86" i="37"/>
  <c r="J87" i="18" l="1"/>
  <c r="K87" i="18" s="1"/>
  <c r="C85" i="17" s="1"/>
  <c r="I87" i="18"/>
  <c r="M76" i="38"/>
  <c r="N76" i="38"/>
  <c r="V87" i="37"/>
  <c r="W87" i="37" s="1"/>
  <c r="AA85" i="17" s="1"/>
  <c r="U87" i="37"/>
  <c r="AC84" i="17"/>
  <c r="AF84" i="17" s="1"/>
  <c r="K87" i="32"/>
  <c r="F85" i="17" s="1"/>
  <c r="J80" i="38"/>
  <c r="I88" i="32"/>
  <c r="J88" i="32"/>
  <c r="I87" i="34"/>
  <c r="J87" i="34"/>
  <c r="L83" i="17"/>
  <c r="J87" i="33"/>
  <c r="K87" i="33" s="1"/>
  <c r="H85" i="17" s="1"/>
  <c r="I87" i="33"/>
  <c r="L79" i="38"/>
  <c r="K86" i="34"/>
  <c r="G84" i="17" s="1"/>
  <c r="U87" i="18"/>
  <c r="V87" i="18"/>
  <c r="W87" i="18" s="1"/>
  <c r="T85" i="17" s="1"/>
  <c r="V88" i="32"/>
  <c r="W88" i="32" s="1"/>
  <c r="W86" i="17" s="1"/>
  <c r="U88" i="32"/>
  <c r="E77" i="28"/>
  <c r="O82" i="17"/>
  <c r="U89" i="34"/>
  <c r="V89" i="34"/>
  <c r="W89" i="34" s="1"/>
  <c r="X87" i="17" s="1"/>
  <c r="V87" i="31"/>
  <c r="W87" i="31" s="1"/>
  <c r="U85" i="17" s="1"/>
  <c r="U87" i="31"/>
  <c r="I87" i="37"/>
  <c r="J87" i="37"/>
  <c r="K87" i="37" s="1"/>
  <c r="J85" i="17" s="1"/>
  <c r="U87" i="33"/>
  <c r="V87" i="33"/>
  <c r="W87" i="33" s="1"/>
  <c r="Y85" i="17" s="1"/>
  <c r="K79" i="38"/>
  <c r="K86" i="31"/>
  <c r="D84" i="17" s="1"/>
  <c r="J87" i="31"/>
  <c r="I87" i="31"/>
  <c r="J87" i="35"/>
  <c r="K87" i="35" s="1"/>
  <c r="E85" i="17" s="1"/>
  <c r="I87" i="35"/>
  <c r="V89" i="35"/>
  <c r="W89" i="35" s="1"/>
  <c r="V87" i="17" s="1"/>
  <c r="U89" i="35"/>
  <c r="J88" i="18" l="1"/>
  <c r="K88" i="18" s="1"/>
  <c r="C86" i="17" s="1"/>
  <c r="I88" i="18"/>
  <c r="K88" i="32"/>
  <c r="F86" i="17" s="1"/>
  <c r="J81" i="38"/>
  <c r="I89" i="32"/>
  <c r="J89" i="32"/>
  <c r="V88" i="37"/>
  <c r="W88" i="37" s="1"/>
  <c r="AA86" i="17" s="1"/>
  <c r="U88" i="37"/>
  <c r="V90" i="35"/>
  <c r="W90" i="35" s="1"/>
  <c r="V88" i="17" s="1"/>
  <c r="U90" i="35"/>
  <c r="M77" i="38"/>
  <c r="O77" i="38"/>
  <c r="N77" i="38"/>
  <c r="J88" i="33"/>
  <c r="K88" i="33" s="1"/>
  <c r="H86" i="17" s="1"/>
  <c r="I88" i="33"/>
  <c r="U88" i="33"/>
  <c r="V88" i="33"/>
  <c r="W88" i="33" s="1"/>
  <c r="Y86" i="17" s="1"/>
  <c r="J88" i="35"/>
  <c r="K88" i="35" s="1"/>
  <c r="E86" i="17" s="1"/>
  <c r="I88" i="35"/>
  <c r="V88" i="31"/>
  <c r="W88" i="31" s="1"/>
  <c r="U86" i="17" s="1"/>
  <c r="U88" i="31"/>
  <c r="AC85" i="17"/>
  <c r="AF85" i="17" s="1"/>
  <c r="J88" i="31"/>
  <c r="I88" i="31"/>
  <c r="V88" i="18"/>
  <c r="W88" i="18" s="1"/>
  <c r="T86" i="17" s="1"/>
  <c r="U88" i="18"/>
  <c r="K87" i="34"/>
  <c r="G85" i="17" s="1"/>
  <c r="L80" i="38"/>
  <c r="U89" i="32"/>
  <c r="V89" i="32"/>
  <c r="W89" i="32" s="1"/>
  <c r="W87" i="17" s="1"/>
  <c r="K80" i="38"/>
  <c r="K87" i="31"/>
  <c r="D85" i="17" s="1"/>
  <c r="I88" i="37"/>
  <c r="J88" i="37"/>
  <c r="K88" i="37" s="1"/>
  <c r="J86" i="17" s="1"/>
  <c r="V90" i="34"/>
  <c r="W90" i="34" s="1"/>
  <c r="X88" i="17" s="1"/>
  <c r="U90" i="34"/>
  <c r="J88" i="34"/>
  <c r="I88" i="34"/>
  <c r="E78" i="28"/>
  <c r="O83" i="17"/>
  <c r="L84" i="17"/>
  <c r="I89" i="18" l="1"/>
  <c r="J89" i="18"/>
  <c r="K89" i="18" s="1"/>
  <c r="C87" i="17" s="1"/>
  <c r="V89" i="37"/>
  <c r="W89" i="37" s="1"/>
  <c r="AA87" i="17" s="1"/>
  <c r="U89" i="37"/>
  <c r="J82" i="38"/>
  <c r="K89" i="32"/>
  <c r="F87" i="17" s="1"/>
  <c r="AC86" i="17"/>
  <c r="AF86" i="17" s="1"/>
  <c r="I90" i="32"/>
  <c r="J90" i="32"/>
  <c r="J89" i="35"/>
  <c r="K89" i="35" s="1"/>
  <c r="E87" i="17" s="1"/>
  <c r="I89" i="35"/>
  <c r="L85" i="17"/>
  <c r="J89" i="31"/>
  <c r="I89" i="31"/>
  <c r="V89" i="18"/>
  <c r="W89" i="18" s="1"/>
  <c r="T87" i="17" s="1"/>
  <c r="U89" i="18"/>
  <c r="I89" i="37"/>
  <c r="J89" i="37"/>
  <c r="K89" i="37" s="1"/>
  <c r="J87" i="17" s="1"/>
  <c r="K88" i="31"/>
  <c r="D86" i="17" s="1"/>
  <c r="K81" i="38"/>
  <c r="I89" i="34"/>
  <c r="J89" i="34"/>
  <c r="U89" i="33"/>
  <c r="V89" i="33"/>
  <c r="W89" i="33" s="1"/>
  <c r="Y87" i="17" s="1"/>
  <c r="L81" i="38"/>
  <c r="K88" i="34"/>
  <c r="G86" i="17" s="1"/>
  <c r="U90" i="32"/>
  <c r="V90" i="32"/>
  <c r="W90" i="32" s="1"/>
  <c r="W88" i="17" s="1"/>
  <c r="V89" i="31"/>
  <c r="W89" i="31" s="1"/>
  <c r="U87" i="17" s="1"/>
  <c r="U89" i="31"/>
  <c r="I89" i="33"/>
  <c r="J89" i="33"/>
  <c r="K89" i="33" s="1"/>
  <c r="H87" i="17" s="1"/>
  <c r="V91" i="35"/>
  <c r="W91" i="35" s="1"/>
  <c r="V89" i="17" s="1"/>
  <c r="U91" i="35"/>
  <c r="M78" i="38"/>
  <c r="O78" i="38"/>
  <c r="N78" i="38"/>
  <c r="E79" i="28"/>
  <c r="O84" i="17"/>
  <c r="U91" i="34"/>
  <c r="V91" i="34"/>
  <c r="W91" i="34" s="1"/>
  <c r="X89" i="17" s="1"/>
  <c r="J90" i="18" l="1"/>
  <c r="K90" i="18" s="1"/>
  <c r="C88" i="17" s="1"/>
  <c r="I90" i="18"/>
  <c r="L86" i="17"/>
  <c r="E81" i="28" s="1"/>
  <c r="M81" i="38" s="1"/>
  <c r="J83" i="38"/>
  <c r="K90" i="32"/>
  <c r="F88" i="17" s="1"/>
  <c r="J91" i="32"/>
  <c r="I91" i="32"/>
  <c r="U90" i="37"/>
  <c r="V90" i="37"/>
  <c r="W90" i="37" s="1"/>
  <c r="AA88" i="17" s="1"/>
  <c r="U90" i="31"/>
  <c r="V90" i="31"/>
  <c r="W90" i="31" s="1"/>
  <c r="U88" i="17" s="1"/>
  <c r="V90" i="33"/>
  <c r="W90" i="33" s="1"/>
  <c r="Y88" i="17" s="1"/>
  <c r="U90" i="33"/>
  <c r="J90" i="31"/>
  <c r="I90" i="31"/>
  <c r="M79" i="38"/>
  <c r="N79" i="38"/>
  <c r="O79" i="38"/>
  <c r="J90" i="34"/>
  <c r="I90" i="34"/>
  <c r="U90" i="18"/>
  <c r="V90" i="18"/>
  <c r="W90" i="18" s="1"/>
  <c r="T88" i="17" s="1"/>
  <c r="E80" i="28"/>
  <c r="O85" i="17"/>
  <c r="I90" i="33"/>
  <c r="J90" i="33"/>
  <c r="K90" i="33" s="1"/>
  <c r="H88" i="17" s="1"/>
  <c r="I90" i="37"/>
  <c r="J90" i="37"/>
  <c r="K90" i="37" s="1"/>
  <c r="J88" i="17" s="1"/>
  <c r="U91" i="32"/>
  <c r="V91" i="32"/>
  <c r="W91" i="32" s="1"/>
  <c r="W89" i="17" s="1"/>
  <c r="AC87" i="17"/>
  <c r="AF87" i="17" s="1"/>
  <c r="J90" i="35"/>
  <c r="K90" i="35" s="1"/>
  <c r="E88" i="17" s="1"/>
  <c r="I90" i="35"/>
  <c r="L82" i="38"/>
  <c r="K89" i="34"/>
  <c r="G87" i="17" s="1"/>
  <c r="K89" i="31"/>
  <c r="D87" i="17" s="1"/>
  <c r="K82" i="38"/>
  <c r="V92" i="34"/>
  <c r="W92" i="34" s="1"/>
  <c r="X90" i="17" s="1"/>
  <c r="U92" i="34"/>
  <c r="U92" i="35"/>
  <c r="V92" i="35"/>
  <c r="W92" i="35" s="1"/>
  <c r="V90" i="17" s="1"/>
  <c r="O86" i="17" l="1"/>
  <c r="I91" i="18"/>
  <c r="J91" i="18"/>
  <c r="K91" i="18" s="1"/>
  <c r="C89" i="17" s="1"/>
  <c r="V91" i="37"/>
  <c r="W91" i="37" s="1"/>
  <c r="AA89" i="17" s="1"/>
  <c r="U91" i="37"/>
  <c r="I92" i="32"/>
  <c r="J92" i="32"/>
  <c r="L87" i="17"/>
  <c r="E82" i="28" s="1"/>
  <c r="M82" i="38" s="1"/>
  <c r="J84" i="38"/>
  <c r="K91" i="32"/>
  <c r="F89" i="17" s="1"/>
  <c r="I91" i="33"/>
  <c r="J91" i="33"/>
  <c r="K91" i="33" s="1"/>
  <c r="H89" i="17" s="1"/>
  <c r="U91" i="31"/>
  <c r="V91" i="31"/>
  <c r="W91" i="31" s="1"/>
  <c r="U89" i="17" s="1"/>
  <c r="N81" i="38"/>
  <c r="J91" i="34"/>
  <c r="I91" i="34"/>
  <c r="M80" i="38"/>
  <c r="O80" i="38"/>
  <c r="N80" i="38"/>
  <c r="J91" i="31"/>
  <c r="I91" i="31"/>
  <c r="J91" i="37"/>
  <c r="K91" i="37" s="1"/>
  <c r="J89" i="17" s="1"/>
  <c r="I91" i="37"/>
  <c r="AC88" i="17"/>
  <c r="AF88" i="17" s="1"/>
  <c r="K90" i="31"/>
  <c r="D88" i="17" s="1"/>
  <c r="K83" i="38"/>
  <c r="J91" i="35"/>
  <c r="K91" i="35" s="1"/>
  <c r="E89" i="17" s="1"/>
  <c r="I91" i="35"/>
  <c r="K90" i="34"/>
  <c r="G88" i="17" s="1"/>
  <c r="L83" i="38"/>
  <c r="U92" i="32"/>
  <c r="V92" i="32"/>
  <c r="W92" i="32" s="1"/>
  <c r="W90" i="17" s="1"/>
  <c r="U93" i="35"/>
  <c r="V93" i="35"/>
  <c r="W93" i="35" s="1"/>
  <c r="V91" i="17" s="1"/>
  <c r="V93" i="34"/>
  <c r="W93" i="34" s="1"/>
  <c r="X91" i="17" s="1"/>
  <c r="U93" i="34"/>
  <c r="V91" i="18"/>
  <c r="W91" i="18" s="1"/>
  <c r="T89" i="17" s="1"/>
  <c r="U91" i="18"/>
  <c r="V91" i="33"/>
  <c r="W91" i="33" s="1"/>
  <c r="Y89" i="17" s="1"/>
  <c r="U91" i="33"/>
  <c r="O81" i="38"/>
  <c r="O87" i="17" l="1"/>
  <c r="I92" i="18"/>
  <c r="J92" i="18"/>
  <c r="K92" i="18" s="1"/>
  <c r="C90" i="17" s="1"/>
  <c r="U92" i="37"/>
  <c r="V92" i="37"/>
  <c r="W92" i="37" s="1"/>
  <c r="AA90" i="17" s="1"/>
  <c r="AC89" i="17"/>
  <c r="AF89" i="17" s="1"/>
  <c r="I93" i="32"/>
  <c r="J93" i="32"/>
  <c r="J85" i="38"/>
  <c r="K92" i="32"/>
  <c r="F90" i="17" s="1"/>
  <c r="J92" i="37"/>
  <c r="K92" i="37" s="1"/>
  <c r="J90" i="17" s="1"/>
  <c r="I92" i="37"/>
  <c r="J92" i="35"/>
  <c r="K92" i="35" s="1"/>
  <c r="E90" i="17" s="1"/>
  <c r="I92" i="35"/>
  <c r="J92" i="31"/>
  <c r="I92" i="31"/>
  <c r="V92" i="33"/>
  <c r="W92" i="33" s="1"/>
  <c r="Y90" i="17" s="1"/>
  <c r="U92" i="33"/>
  <c r="U93" i="32"/>
  <c r="V93" i="32"/>
  <c r="W93" i="32" s="1"/>
  <c r="W91" i="17" s="1"/>
  <c r="I92" i="34"/>
  <c r="J92" i="34"/>
  <c r="U94" i="35"/>
  <c r="V94" i="35"/>
  <c r="W94" i="35" s="1"/>
  <c r="V92" i="17" s="1"/>
  <c r="K84" i="38"/>
  <c r="K91" i="31"/>
  <c r="D89" i="17" s="1"/>
  <c r="V92" i="31"/>
  <c r="W92" i="31" s="1"/>
  <c r="U90" i="17" s="1"/>
  <c r="U92" i="31"/>
  <c r="V92" i="18"/>
  <c r="W92" i="18" s="1"/>
  <c r="T90" i="17" s="1"/>
  <c r="U92" i="18"/>
  <c r="K91" i="34"/>
  <c r="G89" i="17" s="1"/>
  <c r="L84" i="38"/>
  <c r="J92" i="33"/>
  <c r="K92" i="33" s="1"/>
  <c r="H90" i="17" s="1"/>
  <c r="I92" i="33"/>
  <c r="U94" i="34"/>
  <c r="V94" i="34"/>
  <c r="W94" i="34" s="1"/>
  <c r="X92" i="17" s="1"/>
  <c r="O82" i="38"/>
  <c r="L88" i="17"/>
  <c r="N82" i="38"/>
  <c r="I93" i="18" l="1"/>
  <c r="J93" i="18"/>
  <c r="K93" i="18" s="1"/>
  <c r="C91" i="17" s="1"/>
  <c r="AC90" i="17"/>
  <c r="AF90" i="17" s="1"/>
  <c r="J86" i="38"/>
  <c r="K93" i="32"/>
  <c r="F91" i="17" s="1"/>
  <c r="J94" i="32"/>
  <c r="I94" i="32"/>
  <c r="U93" i="37"/>
  <c r="V93" i="37"/>
  <c r="W93" i="37" s="1"/>
  <c r="AA91" i="17" s="1"/>
  <c r="V93" i="18"/>
  <c r="W93" i="18" s="1"/>
  <c r="T91" i="17" s="1"/>
  <c r="U93" i="18"/>
  <c r="V93" i="33"/>
  <c r="W93" i="33" s="1"/>
  <c r="Y91" i="17" s="1"/>
  <c r="U93" i="33"/>
  <c r="J93" i="35"/>
  <c r="K93" i="35" s="1"/>
  <c r="E91" i="17" s="1"/>
  <c r="I93" i="35"/>
  <c r="L89" i="17"/>
  <c r="V95" i="35"/>
  <c r="W95" i="35" s="1"/>
  <c r="V93" i="17" s="1"/>
  <c r="U95" i="35"/>
  <c r="E83" i="28"/>
  <c r="O88" i="17"/>
  <c r="K92" i="31"/>
  <c r="D90" i="17" s="1"/>
  <c r="K85" i="38"/>
  <c r="V95" i="34"/>
  <c r="W95" i="34" s="1"/>
  <c r="X93" i="17" s="1"/>
  <c r="U95" i="34"/>
  <c r="J93" i="33"/>
  <c r="K93" i="33" s="1"/>
  <c r="H91" i="17" s="1"/>
  <c r="I93" i="33"/>
  <c r="V93" i="31"/>
  <c r="W93" i="31" s="1"/>
  <c r="U91" i="17" s="1"/>
  <c r="U93" i="31"/>
  <c r="L85" i="38"/>
  <c r="K92" i="34"/>
  <c r="G90" i="17" s="1"/>
  <c r="I93" i="37"/>
  <c r="J93" i="37"/>
  <c r="K93" i="37" s="1"/>
  <c r="J91" i="17" s="1"/>
  <c r="I93" i="31"/>
  <c r="J93" i="31"/>
  <c r="U94" i="32"/>
  <c r="V94" i="32"/>
  <c r="W94" i="32" s="1"/>
  <c r="W92" i="17" s="1"/>
  <c r="I93" i="34"/>
  <c r="J93" i="34"/>
  <c r="I94" i="18" l="1"/>
  <c r="J94" i="18"/>
  <c r="K94" i="18" s="1"/>
  <c r="C92" i="17" s="1"/>
  <c r="AC91" i="17"/>
  <c r="AF91" i="17" s="1"/>
  <c r="L90" i="17"/>
  <c r="E85" i="28" s="1"/>
  <c r="M85" i="38" s="1"/>
  <c r="V94" i="37"/>
  <c r="W94" i="37" s="1"/>
  <c r="AA92" i="17" s="1"/>
  <c r="U94" i="37"/>
  <c r="I95" i="32"/>
  <c r="J95" i="32"/>
  <c r="K94" i="32"/>
  <c r="F92" i="17" s="1"/>
  <c r="J87" i="38"/>
  <c r="U96" i="35"/>
  <c r="V96" i="35"/>
  <c r="W96" i="35" s="1"/>
  <c r="V94" i="17" s="1"/>
  <c r="V96" i="34"/>
  <c r="W96" i="34" s="1"/>
  <c r="X94" i="17" s="1"/>
  <c r="U96" i="34"/>
  <c r="O89" i="17"/>
  <c r="E84" i="28"/>
  <c r="I94" i="37"/>
  <c r="J94" i="37"/>
  <c r="K94" i="37" s="1"/>
  <c r="J92" i="17" s="1"/>
  <c r="V95" i="32"/>
  <c r="W95" i="32" s="1"/>
  <c r="W93" i="17" s="1"/>
  <c r="U95" i="32"/>
  <c r="I94" i="35"/>
  <c r="J94" i="35"/>
  <c r="K94" i="35" s="1"/>
  <c r="E92" i="17" s="1"/>
  <c r="I94" i="33"/>
  <c r="J94" i="33"/>
  <c r="K94" i="33" s="1"/>
  <c r="H92" i="17" s="1"/>
  <c r="V94" i="18"/>
  <c r="W94" i="18" s="1"/>
  <c r="T92" i="17" s="1"/>
  <c r="U94" i="18"/>
  <c r="K93" i="34"/>
  <c r="G91" i="17" s="1"/>
  <c r="L86" i="38"/>
  <c r="J94" i="34"/>
  <c r="I94" i="34"/>
  <c r="I94" i="31"/>
  <c r="J94" i="31"/>
  <c r="U94" i="31"/>
  <c r="V94" i="31"/>
  <c r="W94" i="31" s="1"/>
  <c r="U92" i="17" s="1"/>
  <c r="U94" i="33"/>
  <c r="V94" i="33"/>
  <c r="W94" i="33" s="1"/>
  <c r="Y92" i="17" s="1"/>
  <c r="K93" i="31"/>
  <c r="D91" i="17" s="1"/>
  <c r="K86" i="38"/>
  <c r="M83" i="38"/>
  <c r="N83" i="38"/>
  <c r="O83" i="38"/>
  <c r="J95" i="18" l="1"/>
  <c r="K95" i="18" s="1"/>
  <c r="C93" i="17" s="1"/>
  <c r="I95" i="18"/>
  <c r="O90" i="17"/>
  <c r="K95" i="32"/>
  <c r="F93" i="17" s="1"/>
  <c r="J88" i="38"/>
  <c r="I96" i="32"/>
  <c r="J96" i="32"/>
  <c r="V95" i="37"/>
  <c r="W95" i="37" s="1"/>
  <c r="AA93" i="17" s="1"/>
  <c r="U95" i="37"/>
  <c r="AC92" i="17"/>
  <c r="AF92" i="17" s="1"/>
  <c r="U95" i="31"/>
  <c r="V95" i="31"/>
  <c r="W95" i="31" s="1"/>
  <c r="U93" i="17" s="1"/>
  <c r="I95" i="33"/>
  <c r="J95" i="33"/>
  <c r="K95" i="33" s="1"/>
  <c r="H93" i="17" s="1"/>
  <c r="M84" i="38"/>
  <c r="N84" i="38"/>
  <c r="O84" i="38"/>
  <c r="J95" i="35"/>
  <c r="K95" i="35" s="1"/>
  <c r="E93" i="17" s="1"/>
  <c r="I95" i="35"/>
  <c r="J95" i="34"/>
  <c r="I95" i="34"/>
  <c r="N85" i="38"/>
  <c r="K94" i="31"/>
  <c r="D92" i="17" s="1"/>
  <c r="K87" i="38"/>
  <c r="J95" i="31"/>
  <c r="I95" i="31"/>
  <c r="U97" i="34"/>
  <c r="V97" i="34"/>
  <c r="W97" i="34" s="1"/>
  <c r="X95" i="17" s="1"/>
  <c r="V95" i="33"/>
  <c r="W95" i="33" s="1"/>
  <c r="Y93" i="17" s="1"/>
  <c r="U95" i="33"/>
  <c r="K94" i="34"/>
  <c r="G92" i="17" s="1"/>
  <c r="L87" i="38"/>
  <c r="O85" i="38"/>
  <c r="V96" i="32"/>
  <c r="W96" i="32" s="1"/>
  <c r="W94" i="17" s="1"/>
  <c r="U96" i="32"/>
  <c r="V95" i="18"/>
  <c r="W95" i="18" s="1"/>
  <c r="T93" i="17" s="1"/>
  <c r="U95" i="18"/>
  <c r="J95" i="37"/>
  <c r="K95" i="37" s="1"/>
  <c r="J93" i="17" s="1"/>
  <c r="I95" i="37"/>
  <c r="L91" i="17"/>
  <c r="V97" i="35"/>
  <c r="W97" i="35" s="1"/>
  <c r="V95" i="17" s="1"/>
  <c r="U97" i="35"/>
  <c r="I96" i="18" l="1"/>
  <c r="J96" i="18"/>
  <c r="K96" i="18" s="1"/>
  <c r="C94" i="17" s="1"/>
  <c r="V96" i="37"/>
  <c r="W96" i="37" s="1"/>
  <c r="AA94" i="17" s="1"/>
  <c r="U96" i="37"/>
  <c r="J89" i="38"/>
  <c r="K96" i="32"/>
  <c r="F94" i="17" s="1"/>
  <c r="J97" i="32"/>
  <c r="I97" i="32"/>
  <c r="V96" i="18"/>
  <c r="W96" i="18" s="1"/>
  <c r="T94" i="17" s="1"/>
  <c r="U96" i="18"/>
  <c r="AC93" i="17"/>
  <c r="AF93" i="17" s="1"/>
  <c r="V96" i="33"/>
  <c r="W96" i="33" s="1"/>
  <c r="Y94" i="17" s="1"/>
  <c r="U96" i="33"/>
  <c r="U98" i="34"/>
  <c r="V98" i="34"/>
  <c r="W98" i="34" s="1"/>
  <c r="X96" i="17" s="1"/>
  <c r="I96" i="33"/>
  <c r="J96" i="33"/>
  <c r="K96" i="33" s="1"/>
  <c r="H94" i="17" s="1"/>
  <c r="O91" i="17"/>
  <c r="E86" i="28"/>
  <c r="I96" i="35"/>
  <c r="J96" i="35"/>
  <c r="K96" i="35" s="1"/>
  <c r="E94" i="17" s="1"/>
  <c r="U98" i="35"/>
  <c r="V98" i="35"/>
  <c r="W98" i="35" s="1"/>
  <c r="V96" i="17" s="1"/>
  <c r="U97" i="32"/>
  <c r="V97" i="32"/>
  <c r="W97" i="32" s="1"/>
  <c r="W95" i="17" s="1"/>
  <c r="I96" i="31"/>
  <c r="J96" i="31"/>
  <c r="J96" i="37"/>
  <c r="K96" i="37" s="1"/>
  <c r="J94" i="17" s="1"/>
  <c r="I96" i="37"/>
  <c r="L92" i="17"/>
  <c r="J96" i="34"/>
  <c r="I96" i="34"/>
  <c r="K95" i="31"/>
  <c r="D93" i="17" s="1"/>
  <c r="K88" i="38"/>
  <c r="L88" i="38"/>
  <c r="K95" i="34"/>
  <c r="G93" i="17" s="1"/>
  <c r="V96" i="31"/>
  <c r="W96" i="31" s="1"/>
  <c r="U94" i="17" s="1"/>
  <c r="U96" i="31"/>
  <c r="I97" i="18" l="1"/>
  <c r="J97" i="18"/>
  <c r="K97" i="18" s="1"/>
  <c r="C95" i="17" s="1"/>
  <c r="J98" i="32"/>
  <c r="I98" i="32"/>
  <c r="J90" i="38"/>
  <c r="K97" i="32"/>
  <c r="F95" i="17" s="1"/>
  <c r="U97" i="37"/>
  <c r="V97" i="37"/>
  <c r="W97" i="37" s="1"/>
  <c r="AA95" i="17" s="1"/>
  <c r="V99" i="35"/>
  <c r="W99" i="35" s="1"/>
  <c r="V97" i="17" s="1"/>
  <c r="U99" i="35"/>
  <c r="V99" i="34"/>
  <c r="W99" i="34" s="1"/>
  <c r="X97" i="17" s="1"/>
  <c r="U99" i="34"/>
  <c r="K89" i="38"/>
  <c r="K96" i="31"/>
  <c r="D94" i="17" s="1"/>
  <c r="M86" i="38"/>
  <c r="N86" i="38"/>
  <c r="O86" i="38"/>
  <c r="L93" i="17"/>
  <c r="V97" i="18"/>
  <c r="W97" i="18" s="1"/>
  <c r="T95" i="17" s="1"/>
  <c r="U97" i="18"/>
  <c r="AC94" i="17"/>
  <c r="AF94" i="17" s="1"/>
  <c r="U97" i="33"/>
  <c r="V97" i="33"/>
  <c r="W97" i="33" s="1"/>
  <c r="Y95" i="17" s="1"/>
  <c r="J97" i="31"/>
  <c r="I97" i="31"/>
  <c r="I97" i="34"/>
  <c r="J97" i="34"/>
  <c r="L89" i="38"/>
  <c r="K96" i="34"/>
  <c r="G94" i="17" s="1"/>
  <c r="V98" i="32"/>
  <c r="W98" i="32" s="1"/>
  <c r="W96" i="17" s="1"/>
  <c r="U98" i="32"/>
  <c r="J97" i="33"/>
  <c r="K97" i="33" s="1"/>
  <c r="H95" i="17" s="1"/>
  <c r="I97" i="33"/>
  <c r="J97" i="37"/>
  <c r="K97" i="37" s="1"/>
  <c r="J95" i="17" s="1"/>
  <c r="I97" i="37"/>
  <c r="J97" i="35"/>
  <c r="K97" i="35" s="1"/>
  <c r="E95" i="17" s="1"/>
  <c r="I97" i="35"/>
  <c r="U97" i="31"/>
  <c r="V97" i="31"/>
  <c r="W97" i="31" s="1"/>
  <c r="U95" i="17" s="1"/>
  <c r="E87" i="28"/>
  <c r="O92" i="17"/>
  <c r="J98" i="18" l="1"/>
  <c r="K98" i="18" s="1"/>
  <c r="C96" i="17" s="1"/>
  <c r="I98" i="18"/>
  <c r="AC95" i="17"/>
  <c r="AF95" i="17" s="1"/>
  <c r="V98" i="37"/>
  <c r="W98" i="37" s="1"/>
  <c r="AA96" i="17" s="1"/>
  <c r="U98" i="37"/>
  <c r="L94" i="17"/>
  <c r="E89" i="28" s="1"/>
  <c r="I99" i="32"/>
  <c r="J99" i="32"/>
  <c r="K98" i="32"/>
  <c r="F96" i="17" s="1"/>
  <c r="J91" i="38"/>
  <c r="J98" i="34"/>
  <c r="I98" i="34"/>
  <c r="E88" i="28"/>
  <c r="O93" i="17"/>
  <c r="U98" i="31"/>
  <c r="V98" i="31"/>
  <c r="W98" i="31" s="1"/>
  <c r="U96" i="17" s="1"/>
  <c r="J98" i="33"/>
  <c r="K98" i="33" s="1"/>
  <c r="H96" i="17" s="1"/>
  <c r="I98" i="33"/>
  <c r="I98" i="31"/>
  <c r="J98" i="31"/>
  <c r="U98" i="18"/>
  <c r="V98" i="18"/>
  <c r="W98" i="18" s="1"/>
  <c r="T96" i="17" s="1"/>
  <c r="M87" i="38"/>
  <c r="O87" i="38"/>
  <c r="N87" i="38"/>
  <c r="K97" i="34"/>
  <c r="G95" i="17" s="1"/>
  <c r="L90" i="38"/>
  <c r="K90" i="38"/>
  <c r="K97" i="31"/>
  <c r="D95" i="17" s="1"/>
  <c r="V99" i="32"/>
  <c r="W99" i="32" s="1"/>
  <c r="W97" i="17" s="1"/>
  <c r="U99" i="32"/>
  <c r="V98" i="33"/>
  <c r="W98" i="33" s="1"/>
  <c r="Y96" i="17" s="1"/>
  <c r="U98" i="33"/>
  <c r="I98" i="35"/>
  <c r="J98" i="35"/>
  <c r="K98" i="35" s="1"/>
  <c r="E96" i="17" s="1"/>
  <c r="J98" i="37"/>
  <c r="K98" i="37" s="1"/>
  <c r="J96" i="17" s="1"/>
  <c r="I98" i="37"/>
  <c r="J99" i="18" l="1"/>
  <c r="K99" i="18" s="1"/>
  <c r="C97" i="17" s="1"/>
  <c r="I99" i="18"/>
  <c r="O94" i="17"/>
  <c r="M89" i="38"/>
  <c r="O89" i="38"/>
  <c r="AC96" i="17"/>
  <c r="AF96" i="17" s="1"/>
  <c r="L95" i="17"/>
  <c r="E90" i="28" s="1"/>
  <c r="M90" i="38" s="1"/>
  <c r="K99" i="32"/>
  <c r="F97" i="17" s="1"/>
  <c r="J92" i="38"/>
  <c r="U99" i="37"/>
  <c r="V99" i="37"/>
  <c r="W99" i="37" s="1"/>
  <c r="AA97" i="17" s="1"/>
  <c r="N89" i="38"/>
  <c r="I99" i="37"/>
  <c r="J99" i="37"/>
  <c r="K99" i="37" s="1"/>
  <c r="J97" i="17" s="1"/>
  <c r="K91" i="38"/>
  <c r="K98" i="31"/>
  <c r="D96" i="17" s="1"/>
  <c r="M88" i="38"/>
  <c r="O88" i="38"/>
  <c r="N88" i="38"/>
  <c r="V99" i="18"/>
  <c r="W99" i="18" s="1"/>
  <c r="T97" i="17" s="1"/>
  <c r="U99" i="18"/>
  <c r="V99" i="33"/>
  <c r="W99" i="33" s="1"/>
  <c r="Y97" i="17" s="1"/>
  <c r="U99" i="33"/>
  <c r="J99" i="34"/>
  <c r="I99" i="34"/>
  <c r="V99" i="31"/>
  <c r="W99" i="31" s="1"/>
  <c r="U97" i="17" s="1"/>
  <c r="U99" i="31"/>
  <c r="I99" i="35"/>
  <c r="J99" i="35"/>
  <c r="K99" i="35" s="1"/>
  <c r="E97" i="17" s="1"/>
  <c r="J99" i="31"/>
  <c r="I99" i="31"/>
  <c r="J99" i="33"/>
  <c r="K99" i="33" s="1"/>
  <c r="H97" i="17" s="1"/>
  <c r="I99" i="33"/>
  <c r="L91" i="38"/>
  <c r="K98" i="34"/>
  <c r="G96" i="17" s="1"/>
  <c r="O95" i="17" l="1"/>
  <c r="L96" i="17"/>
  <c r="E91" i="28" s="1"/>
  <c r="K92" i="38"/>
  <c r="K99" i="31"/>
  <c r="D97" i="17" s="1"/>
  <c r="L92" i="38"/>
  <c r="K99" i="34"/>
  <c r="G97" i="17" s="1"/>
  <c r="O90" i="38"/>
  <c r="AC97" i="17"/>
  <c r="AF97" i="17" s="1"/>
  <c r="N90" i="38"/>
  <c r="M91" i="38" l="1"/>
  <c r="O91" i="38"/>
  <c r="N91" i="38"/>
  <c r="O96" i="17"/>
  <c r="L97" i="17"/>
  <c r="E92" i="28" l="1"/>
  <c r="O97" i="17"/>
  <c r="M92" i="38" l="1"/>
  <c r="N92" i="38"/>
  <c r="O92" i="38"/>
</calcChain>
</file>

<file path=xl/comments1.xml><?xml version="1.0" encoding="utf-8"?>
<comments xmlns="http://schemas.openxmlformats.org/spreadsheetml/2006/main">
  <authors>
    <author>AEA Technology</author>
    <author>T- Force 6100 AM2</author>
  </authors>
  <commentList>
    <comment ref="N28" authorId="0" shapeId="0">
      <text>
        <r>
          <rPr>
            <sz val="8"/>
            <color indexed="81"/>
            <rFont val="Tahoma"/>
            <family val="2"/>
          </rPr>
          <t>The composition of industrial waste will vary significantly by country. This DOC value should match the amounts entered (see guidelines).</t>
        </r>
      </text>
    </comment>
    <comment ref="Q28" authorId="0" shapeId="0">
      <text>
        <r>
          <rPr>
            <sz val="8"/>
            <color indexed="81"/>
            <rFont val="Tahoma"/>
            <family val="2"/>
          </rPr>
          <t>The composition of industrial waste will vary significantly by country. This DOC value should match the amounts entered (see guidelines).</t>
        </r>
      </text>
    </comment>
    <comment ref="N47" authorId="0" shapeId="0">
      <text>
        <r>
          <rPr>
            <sz val="8"/>
            <color indexed="81"/>
            <rFont val="Tahoma"/>
            <family val="2"/>
          </rPr>
          <t>The composition of industrial waste will vary significantly by country. This DOC value should match the amounts entered (see guidelines).</t>
        </r>
      </text>
    </comment>
    <comment ref="B49" authorId="0" shapeId="0">
      <text>
        <r>
          <rPr>
            <sz val="8"/>
            <color indexed="81"/>
            <rFont val="Tahoma"/>
            <family val="2"/>
          </rPr>
          <t>This is the average time before anaerobic decay begins - usually assumed to be a few months</t>
        </r>
      </text>
    </comment>
    <comment ref="D86" authorId="1" shapeId="0">
      <text>
        <r>
          <rPr>
            <b/>
            <sz val="8"/>
            <color indexed="81"/>
            <rFont val="Tahoma"/>
            <family val="2"/>
          </rPr>
          <t>T- Force 6100 AM2:</t>
        </r>
        <r>
          <rPr>
            <sz val="8"/>
            <color indexed="81"/>
            <rFont val="Tahoma"/>
            <family val="2"/>
          </rPr>
          <t xml:space="preserve">
From Table 2.4, DOC content of wet waste
Volume 5
IPCC 2006</t>
        </r>
      </text>
    </comment>
    <comment ref="D97" authorId="1" shapeId="0">
      <text>
        <r>
          <rPr>
            <b/>
            <sz val="8"/>
            <color indexed="81"/>
            <rFont val="Tahoma"/>
            <family val="2"/>
          </rPr>
          <t>T- Force 6100 AM2:</t>
        </r>
        <r>
          <rPr>
            <sz val="8"/>
            <color indexed="81"/>
            <rFont val="Tahoma"/>
            <family val="2"/>
          </rPr>
          <t xml:space="preserve">
From Table 2.4, DOC content of wet waste
Volume 5
IPCC 2006</t>
        </r>
      </text>
    </comment>
    <comment ref="D108" authorId="1" shapeId="0">
      <text>
        <r>
          <rPr>
            <b/>
            <sz val="8"/>
            <color indexed="81"/>
            <rFont val="Tahoma"/>
            <family val="2"/>
          </rPr>
          <t>T- Force 6100 AM2:</t>
        </r>
        <r>
          <rPr>
            <sz val="8"/>
            <color indexed="81"/>
            <rFont val="Tahoma"/>
            <family val="2"/>
          </rPr>
          <t xml:space="preserve">
From Table 2.4, DOC content of wet waste
Volume 5
IPCC 2006</t>
        </r>
      </text>
    </comment>
  </commentList>
</comments>
</file>

<file path=xl/comments2.xml><?xml version="1.0" encoding="utf-8"?>
<comments xmlns="http://schemas.openxmlformats.org/spreadsheetml/2006/main">
  <authors>
    <author>Jeff Coburn</author>
  </authors>
  <commentList>
    <comment ref="C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6" authorId="0" shapeId="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3.xml><?xml version="1.0" encoding="utf-8"?>
<comments xmlns="http://schemas.openxmlformats.org/spreadsheetml/2006/main">
  <authors>
    <author>AEA Technology</author>
    <author>user</author>
    <author>Resalto Pradewa</author>
  </authors>
  <commentList>
    <comment ref="E9" authorId="0" shapeId="0">
      <text>
        <r>
          <rPr>
            <sz val="8"/>
            <color indexed="81"/>
            <rFont val="Tahoma"/>
            <family val="2"/>
          </rPr>
          <t>This should be the composition of the waste entering the disposal sites, after any removal of material for recycling etc.
Other categories, e.g. street sweepings, should be re-categorised into the columns below (see guidance).</t>
        </r>
      </text>
    </comment>
    <comment ref="C10" authorId="1" shapeId="0">
      <text>
        <r>
          <rPr>
            <b/>
            <sz val="9"/>
            <color indexed="81"/>
            <rFont val="Tahoma"/>
            <family val="2"/>
          </rPr>
          <t>user:</t>
        </r>
        <r>
          <rPr>
            <sz val="9"/>
            <color indexed="81"/>
            <rFont val="Tahoma"/>
            <family val="2"/>
          </rPr>
          <t xml:space="preserve">
data yg lebih akurat yaitu data berat sampah yang masuk TPA</t>
        </r>
      </text>
    </comment>
    <comment ref="L10" authorId="2" shapeId="0">
      <text>
        <r>
          <rPr>
            <b/>
            <sz val="9"/>
            <color indexed="81"/>
            <rFont val="Tahoma"/>
            <family val="2"/>
          </rPr>
          <t xml:space="preserve">Inert waste are wastes that do not contain degradable organic carbon (i.e., DOC=0).   E.g., plastic, glass, metal etc. 
</t>
        </r>
      </text>
    </comment>
    <comment ref="W11" authorId="0" shapeId="0">
      <text>
        <r>
          <rPr>
            <sz val="8"/>
            <color indexed="81"/>
            <rFont val="Tahoma"/>
            <family val="2"/>
          </rPr>
          <t>Enter the percentage of waste generated which goes to solid waste disposal sites</t>
        </r>
      </text>
    </comment>
    <comment ref="C12" authorId="0" shapeId="0">
      <text>
        <r>
          <rPr>
            <b/>
            <sz val="8"/>
            <color indexed="81"/>
            <rFont val="Tahoma"/>
            <family val="2"/>
          </rPr>
          <t>1 gigagram (Gg) is 1000 tonnes</t>
        </r>
        <r>
          <rPr>
            <sz val="8"/>
            <color indexed="81"/>
            <rFont val="Tahoma"/>
            <family val="2"/>
          </rPr>
          <t xml:space="preserve">
</t>
        </r>
      </text>
    </comment>
    <comment ref="V12" authorId="0" shapeId="0">
      <text>
        <r>
          <rPr>
            <b/>
            <sz val="8"/>
            <color indexed="81"/>
            <rFont val="Tahoma"/>
            <family val="2"/>
          </rPr>
          <t>1 gigagram (Gg) is 1000 tonnes</t>
        </r>
        <r>
          <rPr>
            <sz val="8"/>
            <color indexed="81"/>
            <rFont val="Tahoma"/>
            <family val="2"/>
          </rPr>
          <t xml:space="preserve">
</t>
        </r>
      </text>
    </comment>
  </commentList>
</comments>
</file>

<file path=xl/comments4.xml><?xml version="1.0" encoding="utf-8"?>
<comments xmlns="http://schemas.openxmlformats.org/spreadsheetml/2006/main">
  <authors>
    <author>Resalto Pradewa</author>
    <author>AEA Technology</author>
  </authors>
  <commentList>
    <comment ref="J11" authorId="0" shapeId="0">
      <text>
        <r>
          <rPr>
            <b/>
            <sz val="9"/>
            <color indexed="81"/>
            <rFont val="Tahoma"/>
            <family val="2"/>
          </rPr>
          <t xml:space="preserve">Inert waste are wastes that do not contain degradable organic carbon (i.e., DOC=0).   E.g., plastic, glass, metal etc. 
</t>
        </r>
      </text>
    </comment>
    <comment ref="C13" authorId="1" shapeId="0">
      <text>
        <r>
          <rPr>
            <b/>
            <sz val="8"/>
            <color indexed="81"/>
            <rFont val="Tahoma"/>
            <family val="2"/>
          </rPr>
          <t>1 gigagram (Gg) is 1000 tonnes</t>
        </r>
        <r>
          <rPr>
            <sz val="8"/>
            <color indexed="81"/>
            <rFont val="Tahoma"/>
            <family val="2"/>
          </rPr>
          <t xml:space="preserve">
</t>
        </r>
      </text>
    </comment>
  </commentList>
</comments>
</file>

<file path=xl/comments5.xml><?xml version="1.0" encoding="utf-8"?>
<comments xmlns="http://schemas.openxmlformats.org/spreadsheetml/2006/main">
  <authors>
    <author>AEA Technology</author>
  </authors>
  <commentList>
    <comment ref="C11" authorId="0" shapeId="0">
      <text>
        <r>
          <rPr>
            <b/>
            <sz val="8"/>
            <color indexed="81"/>
            <rFont val="Tahoma"/>
            <family val="2"/>
          </rPr>
          <t>1 gigagram (Gg) is 1000 tonnes</t>
        </r>
        <r>
          <rPr>
            <sz val="8"/>
            <color indexed="81"/>
            <rFont val="Tahoma"/>
            <family val="2"/>
          </rPr>
          <t xml:space="preserve">
</t>
        </r>
      </text>
    </comment>
  </commentList>
</comments>
</file>

<file path=xl/comments6.xml><?xml version="1.0" encoding="utf-8"?>
<comments xmlns="http://schemas.openxmlformats.org/spreadsheetml/2006/main">
  <authors>
    <author>Per Svardal</author>
    <author>AEA Technology</author>
  </authors>
  <commentList>
    <comment ref="O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AF13" authorId="0" shapeId="0">
      <text>
        <r>
          <rPr>
            <sz val="8"/>
            <color indexed="81"/>
            <rFont val="Tahoma"/>
            <family val="2"/>
          </rPr>
          <t>Final summation. Adds the methane produced from the different materials and subtracts the methane recovery. Finally it subtracts the methane oxidation in the top layer. Equation 10 on the Theory sheet.</t>
        </r>
      </text>
    </comment>
    <comment ref="C15" authorId="1" shapeId="0">
      <text>
        <r>
          <rPr>
            <b/>
            <sz val="8"/>
            <color indexed="81"/>
            <rFont val="Tahoma"/>
            <family val="2"/>
          </rPr>
          <t>1 gigagram (Gg) is 1000 tonnes</t>
        </r>
        <r>
          <rPr>
            <sz val="8"/>
            <color indexed="81"/>
            <rFont val="Tahoma"/>
            <family val="2"/>
          </rPr>
          <t xml:space="preserve">
</t>
        </r>
      </text>
    </comment>
    <comment ref="T15" authorId="1" shapeId="0">
      <text>
        <r>
          <rPr>
            <b/>
            <sz val="8"/>
            <color indexed="81"/>
            <rFont val="Tahoma"/>
            <family val="2"/>
          </rPr>
          <t>1 gigagram (Gg) is 1000 tonnes</t>
        </r>
        <r>
          <rPr>
            <sz val="8"/>
            <color indexed="81"/>
            <rFont val="Tahoma"/>
            <family val="2"/>
          </rPr>
          <t xml:space="preserve">
</t>
        </r>
      </text>
    </comment>
  </commentList>
</comments>
</file>

<file path=xl/comments7.xml><?xml version="1.0" encoding="utf-8"?>
<comments xmlns="http://schemas.openxmlformats.org/spreadsheetml/2006/main">
  <authors>
    <author>AEA Technology</author>
  </authors>
  <commentList>
    <comment ref="C10" authorId="0" shapeId="0">
      <text>
        <r>
          <rPr>
            <b/>
            <sz val="8"/>
            <color indexed="81"/>
            <rFont val="Tahoma"/>
            <family val="2"/>
          </rPr>
          <t>1 gigagram (Gg) is 1000 tonnes</t>
        </r>
        <r>
          <rPr>
            <sz val="8"/>
            <color indexed="81"/>
            <rFont val="Tahoma"/>
            <family val="2"/>
          </rPr>
          <t xml:space="preserve">
</t>
        </r>
      </text>
    </comment>
  </commentList>
</comments>
</file>

<file path=xl/comments8.xml><?xml version="1.0" encoding="utf-8"?>
<comments xmlns="http://schemas.openxmlformats.org/spreadsheetml/2006/main">
  <authors>
    <author>AEA Technology</author>
  </authors>
  <commentList>
    <comment ref="C16" authorId="0" shapeId="0">
      <text>
        <r>
          <rPr>
            <b/>
            <sz val="8"/>
            <color indexed="81"/>
            <rFont val="Tahoma"/>
            <family val="2"/>
          </rPr>
          <t>1 gigagram (Gg) is 1000 tonnes</t>
        </r>
        <r>
          <rPr>
            <sz val="8"/>
            <color indexed="81"/>
            <rFont val="Tahoma"/>
            <family val="2"/>
          </rPr>
          <t xml:space="preserve">
</t>
        </r>
      </text>
    </comment>
  </commentList>
</comments>
</file>

<file path=xl/comments9.xml><?xml version="1.0" encoding="utf-8"?>
<comments xmlns="http://schemas.openxmlformats.org/spreadsheetml/2006/main">
  <authors>
    <author>Jeff Coburn</author>
    <author>WebServerKPPE</author>
    <author>AEA Technology</author>
  </authors>
  <commentList>
    <comment ref="AE7" authorId="0" shapeId="0">
      <text>
        <r>
          <rPr>
            <sz val="8"/>
            <color indexed="81"/>
            <rFont val="Tahoma"/>
            <family val="2"/>
          </rPr>
          <t>Includes plastic, metal, glass, ash, and other inert material (i.e., material with DOC=0).</t>
        </r>
      </text>
    </comment>
    <comment ref="O10" authorId="1" shapeId="0">
      <text>
        <r>
          <rPr>
            <b/>
            <sz val="9"/>
            <color indexed="81"/>
            <rFont val="Tahoma"/>
            <family val="2"/>
          </rPr>
          <t>WebServerKPPE:</t>
        </r>
        <r>
          <rPr>
            <sz val="9"/>
            <color indexed="81"/>
            <rFont val="Tahoma"/>
            <family val="2"/>
          </rPr>
          <t xml:space="preserve">
natural rubbers would likely not degrade under anaerobic condition at SWDS (Tsuchii et al., 1985; Rose and Steinbüchel, 2005)</t>
        </r>
      </text>
    </comment>
    <comment ref="AF11" authorId="0" shapeId="0">
      <text>
        <r>
          <rPr>
            <sz val="8"/>
            <color indexed="81"/>
            <rFont val="Tahoma"/>
            <family val="2"/>
          </rPr>
          <t xml:space="preserve">No data; defulat is average of all available regional data.
</t>
        </r>
      </text>
    </comment>
    <comment ref="AG11" authorId="0" shapeId="0">
      <text>
        <r>
          <rPr>
            <sz val="8"/>
            <color indexed="81"/>
            <rFont val="Tahoma"/>
            <family val="2"/>
          </rPr>
          <t xml:space="preserve">No data; defulat is average of all available regional data.
</t>
        </r>
      </text>
    </comment>
    <comment ref="G16" authorId="2" shapeId="0">
      <text>
        <r>
          <rPr>
            <b/>
            <sz val="8"/>
            <color indexed="81"/>
            <rFont val="Tahoma"/>
            <family val="2"/>
          </rPr>
          <t>This cell records which climate zone is selected in the drop-down box on the parameter sheet.</t>
        </r>
      </text>
    </comment>
    <comment ref="O22" authorId="0" shapeId="0">
      <text>
        <r>
          <rPr>
            <b/>
            <sz val="8"/>
            <color indexed="81"/>
            <rFont val="Tahoma"/>
            <family val="2"/>
          </rPr>
          <t>Cell records waste type DOC selection from parameters worksheet.</t>
        </r>
        <r>
          <rPr>
            <sz val="8"/>
            <color indexed="81"/>
            <rFont val="Tahoma"/>
            <family val="2"/>
          </rPr>
          <t xml:space="preserve">
</t>
        </r>
      </text>
    </comment>
  </commentList>
</comments>
</file>

<file path=xl/comments10.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2.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3.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4.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5.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6.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7.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comments18.xml><?xml version="1.0" encoding="utf-8"?>
<comments xmlns="http://schemas.openxmlformats.org/spreadsheetml/2006/main">
  <authors>
    <author>Per Svardal</author>
    <author>AEA Technology</author>
  </authors>
  <commentList>
    <comment ref="K7" authorId="0" shapeId="0">
      <text>
        <r>
          <rPr>
            <sz val="8"/>
            <color indexed="81"/>
            <rFont val="Tahoma"/>
            <family val="2"/>
          </rPr>
          <t>Transferred from parameter sheet</t>
        </r>
      </text>
    </comment>
    <comment ref="W7" authorId="0" shapeId="0">
      <text>
        <r>
          <rPr>
            <sz val="8"/>
            <color indexed="81"/>
            <rFont val="Tahoma"/>
            <family val="2"/>
          </rPr>
          <t>Transferred from parameter sheet</t>
        </r>
      </text>
    </comment>
    <comment ref="K8" authorId="0" shapeId="0">
      <text>
        <r>
          <rPr>
            <sz val="8"/>
            <color indexed="81"/>
            <rFont val="Tahoma"/>
            <family val="2"/>
          </rPr>
          <t>Transferred from parameter sheet</t>
        </r>
      </text>
    </comment>
    <comment ref="W8" authorId="0" shapeId="0">
      <text>
        <r>
          <rPr>
            <sz val="8"/>
            <color indexed="81"/>
            <rFont val="Tahoma"/>
            <family val="2"/>
          </rPr>
          <t>Transferred from parameter sheet</t>
        </r>
      </text>
    </comment>
    <comment ref="K10" authorId="0" shapeId="0">
      <text>
        <r>
          <rPr>
            <sz val="8"/>
            <color indexed="81"/>
            <rFont val="Tahoma"/>
            <family val="2"/>
          </rPr>
          <t xml:space="preserve">Calculates e^-k for use in columns H and I
</t>
        </r>
      </text>
    </comment>
    <comment ref="W10" authorId="0" shapeId="0">
      <text>
        <r>
          <rPr>
            <sz val="8"/>
            <color indexed="81"/>
            <rFont val="Tahoma"/>
            <family val="2"/>
          </rPr>
          <t xml:space="preserve">Calculates e^-k for use in columns H and I
</t>
        </r>
      </text>
    </comment>
    <comment ref="K11" authorId="0" shapeId="0">
      <text>
        <r>
          <rPr>
            <sz val="8"/>
            <color indexed="81"/>
            <rFont val="Tahoma"/>
            <family val="2"/>
          </rPr>
          <t>Zero delay is equivalent to average decomposition start at beginning of month 7 (half way through the first year of deposition)</t>
        </r>
      </text>
    </comment>
    <comment ref="W11" authorId="0" shapeId="0">
      <text>
        <r>
          <rPr>
            <sz val="8"/>
            <color indexed="81"/>
            <rFont val="Tahoma"/>
            <family val="2"/>
          </rPr>
          <t>Zero delay is equivalent to average decomposition start at beginning of month 7 (half way through the first year of deposition)</t>
        </r>
      </text>
    </comment>
    <comment ref="K12" authorId="0" shapeId="0">
      <text>
        <r>
          <rPr>
            <sz val="8"/>
            <color indexed="81"/>
            <rFont val="Tahoma"/>
            <family val="2"/>
          </rPr>
          <t xml:space="preserve">Calculates e^-k*((13-M)/12) for use in columns F and G.
</t>
        </r>
      </text>
    </comment>
    <comment ref="W12" authorId="0" shapeId="0">
      <text>
        <r>
          <rPr>
            <sz val="8"/>
            <color indexed="81"/>
            <rFont val="Tahoma"/>
            <family val="2"/>
          </rPr>
          <t xml:space="preserve">Calculates e^-k*((13-M)/12) for use in columns F and G.
</t>
        </r>
      </text>
    </comment>
    <comment ref="C15" authorId="0" shapeId="0">
      <text>
        <r>
          <rPr>
            <sz val="8"/>
            <color indexed="81"/>
            <rFont val="Tahoma"/>
            <family val="2"/>
          </rPr>
          <t>Transferred from activity sheet</t>
        </r>
      </text>
    </comment>
    <comment ref="E15" authorId="1" shapeId="0">
      <text>
        <r>
          <rPr>
            <sz val="8"/>
            <color indexed="81"/>
            <rFont val="Tahoma"/>
            <family val="2"/>
          </rPr>
          <t>Methane correction factor from MCF sheet</t>
        </r>
        <r>
          <rPr>
            <sz val="8"/>
            <color indexed="81"/>
            <rFont val="Tahoma"/>
            <family val="2"/>
          </rPr>
          <t xml:space="preserve">
</t>
        </r>
      </text>
    </comment>
    <comment ref="F15" authorId="0" shapeId="0">
      <text>
        <r>
          <rPr>
            <sz val="8"/>
            <color indexed="81"/>
            <rFont val="Tahoma"/>
            <family val="2"/>
          </rPr>
          <t>Calculates the mass of DOC in the deposited material which will actually degrade in the SWDS. Equation 4 on the Theory sheet.</t>
        </r>
      </text>
    </comment>
    <comment ref="G15" authorId="0" shapeId="0">
      <text>
        <r>
          <rPr>
            <sz val="8"/>
            <color indexed="81"/>
            <rFont val="Tahoma"/>
            <family val="2"/>
          </rPr>
          <t>Calculates the mass of DDOC from material deposited in each year which is left in the SWDS at the end of the year. Equation 5 on the Theory sheet.</t>
        </r>
      </text>
    </comment>
    <comment ref="H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I15" authorId="0" shapeId="0">
      <text>
        <r>
          <rPr>
            <sz val="8"/>
            <color indexed="81"/>
            <rFont val="Tahoma"/>
            <family val="2"/>
          </rPr>
          <t>Calculates the total amount of DDOCm left not decomposed in the SWDS at the end of the year. Equation 7 on the Theory sheet.</t>
        </r>
      </text>
    </comment>
    <comment ref="J15" authorId="0" shapeId="0">
      <text>
        <r>
          <rPr>
            <sz val="8"/>
            <color indexed="81"/>
            <rFont val="Tahoma"/>
            <family val="2"/>
          </rPr>
          <t>Calculates the total mass of DDOC dedomposed to methane and carbon dioxide each year. Equation 8 on the Theory sheet.</t>
        </r>
      </text>
    </comment>
    <comment ref="K15" authorId="0" shapeId="0">
      <text>
        <r>
          <rPr>
            <sz val="8"/>
            <color indexed="81"/>
            <rFont val="Tahoma"/>
            <family val="2"/>
          </rPr>
          <t>Calculates the mass of methane formed from DDOCm decomposed. Equation 9 on the Theory sheet.</t>
        </r>
      </text>
    </comment>
    <comment ref="P15" authorId="0" shapeId="0">
      <text>
        <r>
          <rPr>
            <sz val="8"/>
            <color indexed="81"/>
            <rFont val="Tahoma"/>
            <family val="2"/>
          </rPr>
          <t>Transferred from activity sheet</t>
        </r>
      </text>
    </comment>
    <comment ref="Q15" authorId="1" shapeId="0">
      <text>
        <r>
          <rPr>
            <sz val="8"/>
            <color indexed="81"/>
            <rFont val="Tahoma"/>
            <family val="2"/>
          </rPr>
          <t>Methane correction factor from MCF sheet</t>
        </r>
        <r>
          <rPr>
            <sz val="8"/>
            <color indexed="81"/>
            <rFont val="Tahoma"/>
            <family val="2"/>
          </rPr>
          <t xml:space="preserve">
</t>
        </r>
      </text>
    </comment>
    <comment ref="R15" authorId="0" shapeId="0">
      <text>
        <r>
          <rPr>
            <sz val="8"/>
            <color indexed="81"/>
            <rFont val="Tahoma"/>
            <family val="2"/>
          </rPr>
          <t>Calculates the mass of DOC in the deposited material which will actually degrade in the SWDS. Equation 4 on the Theory sheet.</t>
        </r>
      </text>
    </comment>
    <comment ref="S15" authorId="0" shapeId="0">
      <text>
        <r>
          <rPr>
            <sz val="8"/>
            <color indexed="81"/>
            <rFont val="Tahoma"/>
            <family val="2"/>
          </rPr>
          <t>Calculates the mass of DDOC from material deposited in each year which is left in the SWDS at the end of the year. Equation 5 on the Theory sheet.</t>
        </r>
      </text>
    </comment>
    <comment ref="T15" authorId="0" shapeId="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U15" authorId="0" shapeId="0">
      <text>
        <r>
          <rPr>
            <sz val="8"/>
            <color indexed="81"/>
            <rFont val="Tahoma"/>
            <family val="2"/>
          </rPr>
          <t>Calculates the total amount of DDOCm left not decomposed in the SWDS at the end of the year. Equation 7 on the Theory sheet.</t>
        </r>
      </text>
    </comment>
    <comment ref="V15" authorId="0" shapeId="0">
      <text>
        <r>
          <rPr>
            <sz val="8"/>
            <color indexed="81"/>
            <rFont val="Tahoma"/>
            <family val="2"/>
          </rPr>
          <t>Calculates the total mass of DDOC dedomposed to methane and carbon dioxide each year. Equation 8 on the Theory sheet.</t>
        </r>
      </text>
    </comment>
    <comment ref="W15" authorId="0" shapeId="0">
      <text>
        <r>
          <rPr>
            <sz val="8"/>
            <color indexed="81"/>
            <rFont val="Tahoma"/>
            <family val="2"/>
          </rPr>
          <t>Calculates the mass of methane formed from DDOCm decomposed. Equation 9 on the Theory sheet.</t>
        </r>
      </text>
    </comment>
  </commentList>
</comments>
</file>

<file path=xl/sharedStrings.xml><?xml version="1.0" encoding="utf-8"?>
<sst xmlns="http://schemas.openxmlformats.org/spreadsheetml/2006/main" count="1460" uniqueCount="340">
  <si>
    <t>Managed</t>
  </si>
  <si>
    <t>Year</t>
  </si>
  <si>
    <t>Wood</t>
  </si>
  <si>
    <t>Textile</t>
  </si>
  <si>
    <t>Methane emission</t>
  </si>
  <si>
    <t>Methane recovery</t>
  </si>
  <si>
    <t>Food waste</t>
  </si>
  <si>
    <t>National values</t>
  </si>
  <si>
    <t>Process start in deposition year. Month M</t>
  </si>
  <si>
    <t>DOC</t>
  </si>
  <si>
    <t>Amount deposited</t>
  </si>
  <si>
    <t>MCF</t>
  </si>
  <si>
    <t>DOCf</t>
  </si>
  <si>
    <t>Value</t>
  </si>
  <si>
    <t>Parameters</t>
  </si>
  <si>
    <t>Gg</t>
  </si>
  <si>
    <t>Textiles</t>
  </si>
  <si>
    <t>IPCC Spreadsheet for Estimating Methane emissions from Solid Waste Disposal Sites</t>
  </si>
  <si>
    <t>IPCC default value</t>
  </si>
  <si>
    <t>Reference and remarks</t>
  </si>
  <si>
    <t>fraction</t>
  </si>
  <si>
    <r>
      <t>Conversion factor</t>
    </r>
    <r>
      <rPr>
        <sz val="10"/>
        <rFont val="Arial"/>
        <family val="2"/>
      </rPr>
      <t>, C to CH</t>
    </r>
    <r>
      <rPr>
        <vertAlign val="subscript"/>
        <sz val="10"/>
        <rFont val="Arial"/>
        <family val="2"/>
      </rPr>
      <t>4</t>
    </r>
  </si>
  <si>
    <r>
      <t xml:space="preserve">Oxidation factor </t>
    </r>
    <r>
      <rPr>
        <sz val="10"/>
        <rFont val="Arial"/>
        <family val="2"/>
      </rPr>
      <t>(OX)</t>
    </r>
  </si>
  <si>
    <t>Industrial waste</t>
  </si>
  <si>
    <t>%</t>
  </si>
  <si>
    <t>IPCC default</t>
  </si>
  <si>
    <t>This worksheet calculates a weighted average MCF from the estimated distribution of site types</t>
  </si>
  <si>
    <t>Total</t>
  </si>
  <si>
    <t>References / remarks</t>
  </si>
  <si>
    <t>Then enter the approximate distribution of waste disposals (by mass) between site types in the columns below.</t>
  </si>
  <si>
    <t>Country</t>
  </si>
  <si>
    <t>Help on parameter selection can be found in the 2006 IPCC guidelines</t>
  </si>
  <si>
    <t>Amounts deposited in SWDS</t>
  </si>
  <si>
    <t>Total MSW</t>
  </si>
  <si>
    <t xml:space="preserve">MSW activity data </t>
  </si>
  <si>
    <t xml:space="preserve">Enter starting year, industrial waste disposal data and methane recovery into the yellow cells. </t>
  </si>
  <si>
    <t>Total (100%)</t>
  </si>
  <si>
    <t>MSW activity data is entered on MSW sheet</t>
  </si>
  <si>
    <t>Help and default regional values are given in the 2006 IPCC Guidelines.</t>
  </si>
  <si>
    <t>(=100%)</t>
  </si>
  <si>
    <t>% to SWDS</t>
  </si>
  <si>
    <t>Composition of waste going to solid waste disposal sites</t>
  </si>
  <si>
    <t>Delay time (months)</t>
  </si>
  <si>
    <t>DOCf (fraction of DOC dissimilated)</t>
  </si>
  <si>
    <t>Dry temperate</t>
  </si>
  <si>
    <t>Dry</t>
  </si>
  <si>
    <t>Wet</t>
  </si>
  <si>
    <t>Temperate</t>
  </si>
  <si>
    <t>Slowly degrading waste</t>
  </si>
  <si>
    <t>Moderately degrading waste</t>
  </si>
  <si>
    <t>Garden and park waste</t>
  </si>
  <si>
    <t>Rapidly degrading waste</t>
  </si>
  <si>
    <t xml:space="preserve">(Derived from k values obtained in experimental measurements, calculated by models, or used in GHG inventories and other studies) </t>
  </si>
  <si>
    <t xml:space="preserve">MAT – Mean annual temperature; </t>
  </si>
  <si>
    <t xml:space="preserve">MAP – Mean annual precipitation; </t>
  </si>
  <si>
    <t xml:space="preserve">PET  – Potential evapotranspiration. </t>
  </si>
  <si>
    <t>Paper/textile waste</t>
  </si>
  <si>
    <t>Tropical</t>
  </si>
  <si>
    <t>IPCC Climate Zone Definitions</t>
  </si>
  <si>
    <t>MAT</t>
  </si>
  <si>
    <t>MAP</t>
  </si>
  <si>
    <t>MAP/PET</t>
  </si>
  <si>
    <t>Selected:</t>
  </si>
  <si>
    <t>0 - 20°C</t>
  </si>
  <si>
    <t>&lt;1</t>
  </si>
  <si>
    <t>Wet temperate</t>
  </si>
  <si>
    <t>&gt;1</t>
  </si>
  <si>
    <t>Dry tropical</t>
  </si>
  <si>
    <t>&gt; 20°C</t>
  </si>
  <si>
    <t>&lt;1000 mm</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</si>
  <si>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</si>
  <si>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</si>
  <si>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</si>
  <si>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</si>
  <si>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</si>
  <si>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r>
      <t>Decay rate constant (y</t>
    </r>
    <r>
      <rPr>
        <b/>
        <vertAlign val="superscript"/>
        <sz val="10"/>
        <rFont val="Arial"/>
        <family val="2"/>
      </rPr>
      <t>-1</t>
    </r>
    <r>
      <rPr>
        <b/>
        <sz val="10"/>
        <rFont val="Arial"/>
        <family val="2"/>
      </rPr>
      <t>)</t>
    </r>
  </si>
  <si>
    <r>
      <t>Decay rate constant  (y</t>
    </r>
    <r>
      <rPr>
        <b/>
        <vertAlign val="superscript"/>
        <sz val="10"/>
        <rFont val="Arial"/>
        <family val="2"/>
      </rPr>
      <t>-1</t>
    </r>
    <r>
      <rPr>
        <b/>
        <sz val="10"/>
        <rFont val="Arial"/>
        <family val="2"/>
      </rPr>
      <t>)</t>
    </r>
  </si>
  <si>
    <t>Half life (years)</t>
  </si>
  <si>
    <t>Mixed composition</t>
  </si>
  <si>
    <t>Food waste/ sewage sludge</t>
  </si>
  <si>
    <t>Parameters for carbon storage</t>
  </si>
  <si>
    <t xml:space="preserve">A </t>
  </si>
  <si>
    <t>F</t>
  </si>
  <si>
    <t>M</t>
  </si>
  <si>
    <t>exp1</t>
  </si>
  <si>
    <t>exp2</t>
  </si>
  <si>
    <t>Fraction to CH4</t>
  </si>
  <si>
    <t>B</t>
  </si>
  <si>
    <t>C</t>
  </si>
  <si>
    <t>E</t>
  </si>
  <si>
    <t>Starting year</t>
  </si>
  <si>
    <t>Methane generated</t>
  </si>
  <si>
    <t>G</t>
  </si>
  <si>
    <t>H</t>
  </si>
  <si>
    <t>Results</t>
  </si>
  <si>
    <t>MSW</t>
  </si>
  <si>
    <t>Enter those data onto this sheet.</t>
  </si>
  <si>
    <t>&gt;1000 mm</t>
  </si>
  <si>
    <t>Moist and wet tropical</t>
  </si>
  <si>
    <t>Moist and Wet</t>
  </si>
  <si>
    <t>Country-specific parameters</t>
  </si>
  <si>
    <t>Countries with good inventory data:</t>
  </si>
  <si>
    <t>Methane calculation from:  Food waste</t>
  </si>
  <si>
    <t>Uncate-gorised</t>
  </si>
  <si>
    <t>Un-managed, shallow</t>
  </si>
  <si>
    <t>Un-managed, deep</t>
  </si>
  <si>
    <t>Methane Correction Factor (MCF)</t>
  </si>
  <si>
    <t>Calculated values for MCF</t>
  </si>
  <si>
    <t>Amount of Methane Recovered from SWDS</t>
  </si>
  <si>
    <t>Totals on each row must add up to 100% (see "distribution check" values)</t>
  </si>
  <si>
    <t xml:space="preserve">Enter the total amount of methane recovered </t>
  </si>
  <si>
    <t xml:space="preserve">from all SWDS. </t>
  </si>
  <si>
    <r>
      <t>IPCC</t>
    </r>
    <r>
      <rPr>
        <b/>
        <sz val="10"/>
        <rFont val="Arial"/>
        <family val="2"/>
      </rPr>
      <t xml:space="preserve"> DEFAULT DOC VALUES</t>
    </r>
  </si>
  <si>
    <t>Range</t>
  </si>
  <si>
    <t>Select2:</t>
  </si>
  <si>
    <t>Default</t>
  </si>
  <si>
    <t>Default Value</t>
  </si>
  <si>
    <t>Region</t>
  </si>
  <si>
    <t>Select3</t>
  </si>
  <si>
    <t>Asia: Eastern</t>
  </si>
  <si>
    <t>Asia- Southeast</t>
  </si>
  <si>
    <t>Asia- Western &amp; Middle East</t>
  </si>
  <si>
    <t>Africa: Southern</t>
  </si>
  <si>
    <t>Europe: Southern</t>
  </si>
  <si>
    <t>Caribbean</t>
  </si>
  <si>
    <t>Percent Waste Composition Data</t>
  </si>
  <si>
    <t>MSW Generation Rate (tonnes/cap/yr)</t>
  </si>
  <si>
    <t>Paper/ card board</t>
  </si>
  <si>
    <r>
      <t>IPCC</t>
    </r>
    <r>
      <rPr>
        <b/>
        <sz val="10"/>
        <rFont val="Arial"/>
        <family val="2"/>
      </rPr>
      <t xml:space="preserve"> REGIONAL DEFAULT VALUES FOR WASTE COMPOSITION, WASTE GENERATION, AND FRACTION DISPOSED</t>
    </r>
  </si>
  <si>
    <t>Fraction MSW disposed to SWDS</t>
  </si>
  <si>
    <t>Selected half-life inputs</t>
  </si>
  <si>
    <t>DOC (Degradable organic carbon)</t>
  </si>
  <si>
    <t>Specified Inputs:  expanded for spreadsheet calculations</t>
  </si>
  <si>
    <t>Type of Waste</t>
  </si>
  <si>
    <t>Wood/ straw/ rubber waste</t>
  </si>
  <si>
    <t>Sewage sludge</t>
  </si>
  <si>
    <t>Bulk MSW or Industrial Waste</t>
  </si>
  <si>
    <t>0.04-0.05</t>
  </si>
  <si>
    <t>0-0.54</t>
  </si>
  <si>
    <t>Garden / park</t>
  </si>
  <si>
    <t>Nappies / Diapers</t>
  </si>
  <si>
    <t>Rubber / leather</t>
  </si>
  <si>
    <t>All other, inerts</t>
  </si>
  <si>
    <t>Bulk MSW waste</t>
  </si>
  <si>
    <t>Bulk waste data only</t>
  </si>
  <si>
    <t>Waste by composition</t>
  </si>
  <si>
    <t>Sludge</t>
  </si>
  <si>
    <t>Weighted average MCF for MSW</t>
  </si>
  <si>
    <t xml:space="preserve"> exp(-k)</t>
  </si>
  <si>
    <t>B = D * exp2</t>
  </si>
  <si>
    <t>C = D * (1- exp2)</t>
  </si>
  <si>
    <r>
      <t>H = B + (H</t>
    </r>
    <r>
      <rPr>
        <vertAlign val="subscript"/>
        <sz val="8"/>
        <rFont val="Arial"/>
        <family val="2"/>
      </rPr>
      <t>last year</t>
    </r>
    <r>
      <rPr>
        <sz val="8"/>
        <rFont val="Arial"/>
        <family val="2"/>
      </rPr>
      <t xml:space="preserve"> * exp1)</t>
    </r>
  </si>
  <si>
    <t>Q = E * 16/12 * F</t>
  </si>
  <si>
    <t>Methane calculation from:  Textiles</t>
  </si>
  <si>
    <t>Regional Average DOC (wt fraction)</t>
  </si>
  <si>
    <t>Default DOC</t>
  </si>
  <si>
    <t>0.12-0.28</t>
  </si>
  <si>
    <t>wt. fraction</t>
  </si>
  <si>
    <t>Distribution of Waste by Waste Management Type</t>
  </si>
  <si>
    <t>Country-specific value</t>
  </si>
  <si>
    <t>"Fixed" Country-specifc value</t>
  </si>
  <si>
    <t>Distri-bution Check</t>
  </si>
  <si>
    <t>L</t>
  </si>
  <si>
    <t>M = (K-L)*(1-OX)</t>
  </si>
  <si>
    <t xml:space="preserve">Amount deposited data </t>
  </si>
  <si>
    <t xml:space="preserve">0.17–0.7 </t>
  </si>
  <si>
    <t>0.05–0.08</t>
  </si>
  <si>
    <t>0.04–0.06</t>
  </si>
  <si>
    <t>0.01–0.03</t>
  </si>
  <si>
    <t>0.03–0.05</t>
  </si>
  <si>
    <t>0.05–0.07</t>
  </si>
  <si>
    <t>0.02–0.04</t>
  </si>
  <si>
    <t>0.06–0.1</t>
  </si>
  <si>
    <t>0.1–0.2</t>
  </si>
  <si>
    <t>0.08–0.1</t>
  </si>
  <si>
    <t>0.07–0.1</t>
  </si>
  <si>
    <t>0.06–0.085</t>
  </si>
  <si>
    <t>0.15–0.2</t>
  </si>
  <si>
    <t>Averages</t>
  </si>
  <si>
    <t>exp(-k*((13-M)/12))</t>
  </si>
  <si>
    <t>Decomposable DOC (DDOCm) deposited</t>
  </si>
  <si>
    <t>DDOCm not reacted. Deposition year</t>
  </si>
  <si>
    <t>DDOCm decomposed. Deposition year</t>
  </si>
  <si>
    <t>DDOCm accumulated in SWDS end of year</t>
  </si>
  <si>
    <t>DDOCm decomposed</t>
  </si>
  <si>
    <r>
      <t>CH</t>
    </r>
    <r>
      <rPr>
        <vertAlign val="subscript"/>
        <sz val="10"/>
        <color indexed="8"/>
        <rFont val="Arial"/>
        <family val="2"/>
      </rPr>
      <t>4</t>
    </r>
    <r>
      <rPr>
        <sz val="10"/>
        <color indexed="8"/>
        <rFont val="Arial"/>
        <family val="2"/>
      </rPr>
      <t xml:space="preserve"> generated</t>
    </r>
    <r>
      <rPr>
        <sz val="10"/>
        <rFont val="Arial"/>
        <family val="2"/>
      </rPr>
      <t xml:space="preserve"> </t>
    </r>
  </si>
  <si>
    <t xml:space="preserve">W </t>
  </si>
  <si>
    <t>D = W * DOC * DOCf * MCF</t>
  </si>
  <si>
    <t>k</t>
  </si>
  <si>
    <t>h = ln(2)/k</t>
  </si>
  <si>
    <r>
      <t>Half-life time (t</t>
    </r>
    <r>
      <rPr>
        <vertAlign val="subscript"/>
        <sz val="10"/>
        <rFont val="Arial"/>
        <family val="2"/>
      </rPr>
      <t>1/2</t>
    </r>
    <r>
      <rPr>
        <sz val="10"/>
        <rFont val="Arial"/>
        <family val="2"/>
      </rPr>
      <t>, years</t>
    </r>
    <r>
      <rPr>
        <sz val="10"/>
        <rFont val="Arial"/>
        <family val="2"/>
      </rPr>
      <t>):</t>
    </r>
  </si>
  <si>
    <r>
      <t>E = C + H</t>
    </r>
    <r>
      <rPr>
        <vertAlign val="subscript"/>
        <sz val="8"/>
        <rFont val="Arial"/>
        <family val="2"/>
      </rPr>
      <t>last year</t>
    </r>
    <r>
      <rPr>
        <sz val="8"/>
        <rFont val="Arial"/>
        <family val="2"/>
      </rPr>
      <t xml:space="preserve"> * (1 - exp1)</t>
    </r>
  </si>
  <si>
    <t>Methane generation rate constant</t>
  </si>
  <si>
    <r>
      <t>(years</t>
    </r>
    <r>
      <rPr>
        <b/>
        <vertAlign val="superscript"/>
        <sz val="10"/>
        <rFont val="Arial"/>
        <family val="2"/>
      </rPr>
      <t>-1</t>
    </r>
    <r>
      <rPr>
        <b/>
        <sz val="10"/>
        <rFont val="Arial"/>
        <family val="2"/>
      </rPr>
      <t>)</t>
    </r>
  </si>
  <si>
    <t>K</t>
  </si>
  <si>
    <t>% paper in industrial waste</t>
  </si>
  <si>
    <t>% wood in industrial waste</t>
  </si>
  <si>
    <t>Methane Recovery and methane oxidised in top layer (OX)</t>
  </si>
  <si>
    <t>Methane oxidised (OX)</t>
  </si>
  <si>
    <t>References/remarks</t>
  </si>
  <si>
    <t>Fraction</t>
  </si>
  <si>
    <t>Please enter parameters in the yellow cells.  If no national data are available, copy the IPCC default value.</t>
  </si>
  <si>
    <t>Bulk waste and waste composition options.</t>
  </si>
  <si>
    <t>Fraction recovered methane</t>
  </si>
  <si>
    <t>Bulk MSW</t>
  </si>
  <si>
    <r>
      <t>IPCC</t>
    </r>
    <r>
      <rPr>
        <b/>
        <sz val="10"/>
        <rFont val="Arial"/>
        <family val="2"/>
      </rPr>
      <t xml:space="preserve"> DEFAULT METHANE GENERATION RATE CONSTANTS (1/yr)</t>
    </r>
  </si>
  <si>
    <t>Managed, semi-aerobic</t>
  </si>
  <si>
    <r>
      <t xml:space="preserve">Fraction of methane </t>
    </r>
    <r>
      <rPr>
        <sz val="10"/>
        <rFont val="Arial"/>
        <family val="2"/>
      </rPr>
      <t>(F) in developed gas</t>
    </r>
  </si>
  <si>
    <r>
      <t xml:space="preserve">Methane generation rate constant </t>
    </r>
    <r>
      <rPr>
        <sz val="10"/>
        <rFont val="Arial"/>
        <family val="2"/>
      </rPr>
      <t>(k)</t>
    </r>
  </si>
  <si>
    <t>For Harwested Wood Products calculations for Bulk waste option only:</t>
  </si>
  <si>
    <t>Deposited MSW</t>
  </si>
  <si>
    <t>Notes</t>
  </si>
  <si>
    <t>2006 IPCC Guidelines for National Greenhouse Gas Inventories</t>
  </si>
  <si>
    <r>
      <t>©</t>
    </r>
    <r>
      <rPr>
        <sz val="10"/>
        <rFont val="Arial"/>
        <family val="2"/>
      </rPr>
      <t>IPCC 2006</t>
    </r>
  </si>
  <si>
    <t>Asia: South-central</t>
  </si>
  <si>
    <t>Africa: Eastern</t>
  </si>
  <si>
    <t>Africa: Middle</t>
  </si>
  <si>
    <t>Africa: Northern</t>
  </si>
  <si>
    <t>Africa: Western</t>
  </si>
  <si>
    <t>Europe: Eastern</t>
  </si>
  <si>
    <t>Europe: Northern</t>
  </si>
  <si>
    <t>Europe: Western</t>
  </si>
  <si>
    <t>Oceania: Austrailia &amp; New Zealand</t>
  </si>
  <si>
    <t>Oceania: Other Oceania</t>
  </si>
  <si>
    <t>America: North</t>
  </si>
  <si>
    <t>America: Central</t>
  </si>
  <si>
    <t>America: South</t>
  </si>
  <si>
    <t>This spreadsheet implements the Tier 1 method for estimating emissions of methane from solid waste disposal sites. For details of the method see the 2006 IPCC Guidelines for National Greenhouse Gas Inventories Volume 5 Chapter 3</t>
  </si>
  <si>
    <t>Food Waste</t>
  </si>
  <si>
    <t>Rubber and Leather</t>
  </si>
  <si>
    <t>Plastics</t>
  </si>
  <si>
    <t>Metal</t>
  </si>
  <si>
    <t>Glass</t>
  </si>
  <si>
    <t>Other</t>
  </si>
  <si>
    <t>0.20-0.50</t>
  </si>
  <si>
    <t>0.40-0.50</t>
  </si>
  <si>
    <t>0.45-0.55</t>
  </si>
  <si>
    <t>0.25-0.50</t>
  </si>
  <si>
    <t>0.47</t>
  </si>
  <si>
    <t>Dry matter content</t>
  </si>
  <si>
    <t>dm</t>
  </si>
  <si>
    <t>Dry Matter Content</t>
  </si>
  <si>
    <t>Dry basis</t>
  </si>
  <si>
    <t>Wet basis</t>
  </si>
  <si>
    <t>0.08-0.20</t>
  </si>
  <si>
    <t>0.36-0.45</t>
  </si>
  <si>
    <t>0.18-0.22</t>
  </si>
  <si>
    <t>0.20-0.40</t>
  </si>
  <si>
    <t>0.39</t>
  </si>
  <si>
    <t xml:space="preserve">  (weight fraction)</t>
  </si>
  <si>
    <t>dry basis</t>
  </si>
  <si>
    <t>wet basis</t>
  </si>
  <si>
    <r>
      <t>Selected DOC inputs (</t>
    </r>
    <r>
      <rPr>
        <b/>
        <sz val="10"/>
        <color indexed="10"/>
        <rFont val="Arial"/>
        <family val="2"/>
      </rPr>
      <t>dry basis</t>
    </r>
    <r>
      <rPr>
        <sz val="10"/>
        <rFont val="Arial"/>
        <family val="2"/>
      </rPr>
      <t>)</t>
    </r>
  </si>
  <si>
    <r>
      <t>Selected DOC inputs (</t>
    </r>
    <r>
      <rPr>
        <b/>
        <sz val="10"/>
        <color indexed="10"/>
        <rFont val="Arial"/>
        <family val="2"/>
      </rPr>
      <t>wet basis</t>
    </r>
    <r>
      <rPr>
        <sz val="10"/>
        <rFont val="Arial"/>
        <family val="2"/>
      </rPr>
      <t>)</t>
    </r>
  </si>
  <si>
    <t>D = W * dm * DOC * DOCf * MCF</t>
  </si>
  <si>
    <t>Garden and Park waste</t>
  </si>
  <si>
    <t>Paper/cardboard</t>
  </si>
  <si>
    <t>0.39-0.46</t>
  </si>
  <si>
    <t>0.18-0.32</t>
  </si>
  <si>
    <t>0.46-0.54</t>
  </si>
  <si>
    <t>0.44-0.80</t>
  </si>
  <si>
    <t>Garden</t>
  </si>
  <si>
    <t>Paper</t>
  </si>
  <si>
    <t>Wood &amp; straw</t>
  </si>
  <si>
    <t>Inert materials and other: [DOC = 0]</t>
  </si>
  <si>
    <t>City</t>
  </si>
  <si>
    <t>Indonesia</t>
  </si>
  <si>
    <t>Nappies</t>
  </si>
  <si>
    <t>Paper /cardboard</t>
  </si>
  <si>
    <t>Paper / cardboard</t>
  </si>
  <si>
    <t>Garden/park</t>
  </si>
  <si>
    <t>Paper/ cardboard</t>
  </si>
  <si>
    <t>Garden /park</t>
  </si>
  <si>
    <t>All Other, inert waste</t>
  </si>
  <si>
    <r>
      <t xml:space="preserve">Fill in dry matter content of each waste composition </t>
    </r>
    <r>
      <rPr>
        <b/>
        <sz val="10"/>
        <rFont val="Arial"/>
        <family val="2"/>
      </rPr>
      <t>(in %)</t>
    </r>
  </si>
  <si>
    <t>D</t>
  </si>
  <si>
    <t>Province</t>
  </si>
  <si>
    <t>N.A</t>
  </si>
  <si>
    <t>DOC for garden waste</t>
  </si>
  <si>
    <t>DOC for paper/cardboard</t>
  </si>
  <si>
    <t>DOC for wood and straw</t>
  </si>
  <si>
    <t>Enter either IPCC default values or national values into the yellow MCF cells in row 13</t>
  </si>
  <si>
    <t>Harwested Wood Products</t>
  </si>
  <si>
    <t>This sheet gives information on the methane emission from HWP, and HWP C long-term stored in SWDS</t>
  </si>
  <si>
    <t>Long-term stored C</t>
  </si>
  <si>
    <t>Long term stored C accumulated</t>
  </si>
  <si>
    <t>CH4 generated</t>
  </si>
  <si>
    <t>CH4 emitted</t>
  </si>
  <si>
    <t>Garden C</t>
  </si>
  <si>
    <t>Paper C</t>
  </si>
  <si>
    <t>Wood C</t>
  </si>
  <si>
    <t>Long-term stored C in SWDS</t>
  </si>
  <si>
    <t>In this sheet carbon long-term stored C in SWDS is calculated.</t>
  </si>
  <si>
    <t>DOC:</t>
  </si>
  <si>
    <t>Industry</t>
  </si>
  <si>
    <t>Food</t>
  </si>
  <si>
    <t>C, Industry</t>
  </si>
  <si>
    <t>Paper, industry subtotal</t>
  </si>
  <si>
    <t>Wood, industry subtotal</t>
  </si>
  <si>
    <t>Long-term stored C accumulated</t>
  </si>
  <si>
    <t xml:space="preserve">Industrial waste activity data </t>
  </si>
  <si>
    <t xml:space="preserve">Enter GDP, waste generation rate, % to SWDS and distribution of waste between site types into the yellow cells.  </t>
  </si>
  <si>
    <t>GDP</t>
  </si>
  <si>
    <t>Waste generation rate</t>
  </si>
  <si>
    <t>Total industrial waste</t>
  </si>
  <si>
    <t>Total to SWDS</t>
  </si>
  <si>
    <t>$ millions</t>
  </si>
  <si>
    <t>Gg/$m GDP/yr</t>
  </si>
  <si>
    <t>Industrial</t>
  </si>
  <si>
    <t>Methane calculation from:  Bulk MSW</t>
  </si>
  <si>
    <t>Methane calculation from:  Sludge</t>
  </si>
  <si>
    <t>Methane calculation from:  Wood</t>
  </si>
  <si>
    <t>Methane calculation from:  Garden / park waste</t>
  </si>
  <si>
    <t>Methane calculation from:  Nappies</t>
  </si>
  <si>
    <t>Methane calculation from:  Paper / card board</t>
  </si>
  <si>
    <t>Weighted average MCF for Industrial Waste</t>
  </si>
  <si>
    <t>I</t>
  </si>
  <si>
    <t>Sector</t>
  </si>
  <si>
    <t>Waste</t>
  </si>
  <si>
    <t>Category</t>
  </si>
  <si>
    <t>Solid Waste Disposal</t>
  </si>
  <si>
    <t>Category Code</t>
  </si>
  <si>
    <t>4A</t>
  </si>
  <si>
    <t>Sheet</t>
  </si>
  <si>
    <t>1 of 2  Estimation of DOC Factor</t>
  </si>
  <si>
    <t>A</t>
  </si>
  <si>
    <t>W i</t>
  </si>
  <si>
    <t>DOC i</t>
  </si>
  <si>
    <t>(Gg C/Gg waste)</t>
  </si>
  <si>
    <t>C = A x B</t>
  </si>
  <si>
    <t>Bandung, Study of ITB</t>
  </si>
  <si>
    <t>Rubber/Leather</t>
  </si>
  <si>
    <t>Plastic</t>
  </si>
  <si>
    <t>TOTAL</t>
  </si>
  <si>
    <t>Jakarta</t>
  </si>
  <si>
    <t>Study of JICA (Jakarta, Surabaya, Medan, Makassar)</t>
  </si>
  <si>
    <t>referensi DOC</t>
  </si>
  <si>
    <t>Kalimantan Timur</t>
  </si>
  <si>
    <t>Balikpapan</t>
  </si>
  <si>
    <t>Methane capture di TPA Manggar (asumsi 0,5% dr jumlah sampah)</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</si>
</sst>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 #,##0.00_-;_-* &quot;-&quot;??_-;_-@_-"/>
    <numFmt numFmtId="164" formatCode="_ * #,##0.00_ ;_ * \-#,##0.00_ ;_ * &quot;-&quot;??_ ;_ @_ "/>
    <numFmt numFmtId="165" formatCode="#,##0.0"/>
    <numFmt numFmtId="166" formatCode="#,##0.000"/>
    <numFmt numFmtId="167" formatCode="0.000"/>
    <numFmt numFmtId="168" formatCode="0.0"/>
    <numFmt numFmtId="169" formatCode="0.0%"/>
    <numFmt numFmtId="170" formatCode="#,##0.0000"/>
    <numFmt numFmtId="171" formatCode="0.0000"/>
  </numFmts>
  <fonts count="36">
    <font>
      <sz val="10"/>
      <name val="Arial"/>
    </font>
    <font>
      <sz val="10"/>
      <name val="Arial"/>
      <family val="2"/>
    </font>
    <font>
      <b/>
      <sz val="10"/>
      <name val="Arial"/>
      <family val="2"/>
    </font>
    <font>
      <vertAlign val="subscript"/>
      <sz val="10"/>
      <name val="Arial"/>
      <family val="2"/>
    </font>
    <font>
      <b/>
      <sz val="12"/>
      <name val="Arial"/>
      <family val="2"/>
    </font>
    <font>
      <sz val="12"/>
      <name val="Arial"/>
      <family val="2"/>
    </font>
    <font>
      <sz val="8"/>
      <color indexed="81"/>
      <name val="Tahoma"/>
      <family val="2"/>
    </font>
    <font>
      <b/>
      <sz val="8"/>
      <color indexed="81"/>
      <name val="Tahoma"/>
      <family val="2"/>
    </font>
    <font>
      <sz val="10"/>
      <name val="Arial"/>
      <family val="2"/>
    </font>
    <font>
      <b/>
      <u/>
      <sz val="12"/>
      <name val="Arial"/>
      <family val="2"/>
    </font>
    <font>
      <b/>
      <sz val="11"/>
      <name val="Arial"/>
      <family val="2"/>
    </font>
    <font>
      <b/>
      <vertAlign val="superscript"/>
      <sz val="10"/>
      <name val="Arial"/>
      <family val="2"/>
    </font>
    <font>
      <b/>
      <u/>
      <sz val="10"/>
      <name val="Arial"/>
      <family val="2"/>
    </font>
    <font>
      <sz val="8"/>
      <name val="Arial"/>
      <family val="2"/>
    </font>
    <font>
      <vertAlign val="subscript"/>
      <sz val="8"/>
      <name val="Arial"/>
      <family val="2"/>
    </font>
    <font>
      <sz val="10"/>
      <color indexed="10"/>
      <name val="Arial"/>
      <family val="2"/>
    </font>
    <font>
      <sz val="8"/>
      <name val="Arial"/>
      <family val="2"/>
    </font>
    <font>
      <sz val="10"/>
      <color indexed="8"/>
      <name val="Arial"/>
      <family val="2"/>
    </font>
    <font>
      <vertAlign val="subscript"/>
      <sz val="10"/>
      <color indexed="8"/>
      <name val="Arial"/>
      <family val="2"/>
    </font>
    <font>
      <sz val="10"/>
      <color indexed="10"/>
      <name val="Arial"/>
      <family val="2"/>
    </font>
    <font>
      <b/>
      <sz val="10"/>
      <color indexed="10"/>
      <name val="Arial"/>
      <family val="2"/>
    </font>
    <font>
      <b/>
      <sz val="14"/>
      <name val="Arial"/>
      <family val="2"/>
    </font>
    <font>
      <sz val="9"/>
      <name val="Arial"/>
      <family val="2"/>
    </font>
    <font>
      <b/>
      <sz val="9"/>
      <color indexed="81"/>
      <name val="Tahoma"/>
      <family val="2"/>
    </font>
    <font>
      <sz val="10"/>
      <name val="Arial"/>
      <family val="2"/>
      <charset val="204"/>
    </font>
    <font>
      <b/>
      <sz val="14"/>
      <name val="Arial"/>
      <family val="2"/>
      <charset val="204"/>
    </font>
    <font>
      <sz val="9"/>
      <color indexed="81"/>
      <name val="Tahoma"/>
      <family val="2"/>
    </font>
    <font>
      <sz val="10"/>
      <name val="Arial"/>
      <family val="2"/>
    </font>
    <font>
      <b/>
      <sz val="12"/>
      <name val="Arial"/>
      <family val="2"/>
    </font>
    <font>
      <sz val="10"/>
      <color indexed="10"/>
      <name val="Arial"/>
      <family val="2"/>
    </font>
    <font>
      <b/>
      <sz val="10"/>
      <color rgb="FFFF0000"/>
      <name val="Arial"/>
      <family val="2"/>
    </font>
    <font>
      <b/>
      <sz val="10"/>
      <color rgb="FFFF0000"/>
      <name val="Arial"/>
      <family val="2"/>
      <charset val="204"/>
    </font>
    <font>
      <sz val="8"/>
      <name val="Arial"/>
      <family val="2"/>
    </font>
    <font>
      <b/>
      <sz val="10"/>
      <name val="GillSans"/>
    </font>
    <font>
      <sz val="10"/>
      <color theme="1"/>
      <name val="Calibri"/>
      <family val="2"/>
    </font>
    <font>
      <sz val="10"/>
      <name val="Arial"/>
      <family val="2"/>
    </font>
  </fonts>
  <fills count="25">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indexed="13"/>
        <bgColor indexed="64"/>
      </patternFill>
    </fill>
    <fill>
      <patternFill patternType="solid">
        <fgColor indexed="41"/>
        <bgColor indexed="64"/>
      </patternFill>
    </fill>
    <fill>
      <patternFill patternType="solid">
        <fgColor indexed="26"/>
        <bgColor indexed="64"/>
      </patternFill>
    </fill>
    <fill>
      <patternFill patternType="solid">
        <fgColor indexed="15"/>
        <bgColor indexed="64"/>
      </patternFill>
    </fill>
    <fill>
      <patternFill patternType="solid">
        <fgColor indexed="43"/>
        <bgColor indexed="64"/>
      </patternFill>
    </fill>
    <fill>
      <patternFill patternType="solid">
        <fgColor indexed="45"/>
        <bgColor indexed="64"/>
      </patternFill>
    </fill>
    <fill>
      <patternFill patternType="solid">
        <fgColor rgb="FFFFFFCC"/>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0" tint="-0.249977111117893"/>
        <bgColor indexed="64"/>
      </patternFill>
    </fill>
    <fill>
      <patternFill patternType="solid">
        <fgColor rgb="FFFFFF99"/>
        <bgColor indexed="64"/>
      </patternFill>
    </fill>
    <fill>
      <patternFill patternType="solid">
        <fgColor theme="3"/>
        <bgColor indexed="64"/>
      </patternFill>
    </fill>
    <fill>
      <patternFill patternType="solid">
        <fgColor theme="8" tint="0.79998168889431442"/>
        <bgColor indexed="64"/>
      </patternFill>
    </fill>
    <fill>
      <patternFill patternType="solid">
        <fgColor indexed="11"/>
        <bgColor indexed="64"/>
      </patternFill>
    </fill>
    <fill>
      <patternFill patternType="solid">
        <fgColor indexed="63"/>
        <bgColor indexed="64"/>
      </patternFill>
    </fill>
    <fill>
      <patternFill patternType="solid">
        <fgColor theme="6" tint="0.59999389629810485"/>
        <bgColor indexed="64"/>
      </patternFill>
    </fill>
    <fill>
      <patternFill patternType="solid">
        <fgColor rgb="FFC6E6A2"/>
        <bgColor indexed="64"/>
      </patternFill>
    </fill>
    <fill>
      <patternFill patternType="solid">
        <fgColor theme="9" tint="0.59999389629810485"/>
        <bgColor indexed="64"/>
      </patternFill>
    </fill>
    <fill>
      <patternFill patternType="solid">
        <fgColor rgb="FFFF0000"/>
        <bgColor indexed="64"/>
      </patternFill>
    </fill>
  </fills>
  <borders count="82">
    <border>
      <left/>
      <right/>
      <top/>
      <bottom/>
      <diagonal/>
    </border>
    <border>
      <left style="medium">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medium">
        <color auto="1"/>
      </left>
      <right style="medium">
        <color auto="1"/>
      </right>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medium">
        <color auto="1"/>
      </left>
      <right/>
      <top/>
      <bottom style="thin">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diagonal/>
    </border>
    <border>
      <left style="thin">
        <color auto="1"/>
      </left>
      <right style="medium">
        <color auto="1"/>
      </right>
      <top/>
      <bottom/>
      <diagonal/>
    </border>
    <border>
      <left/>
      <right style="thin">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thin">
        <color auto="1"/>
      </bottom>
      <diagonal/>
    </border>
    <border>
      <left style="medium">
        <color auto="1"/>
      </left>
      <right/>
      <top style="medium">
        <color auto="1"/>
      </top>
      <bottom style="thin">
        <color auto="1"/>
      </bottom>
      <diagonal/>
    </border>
    <border>
      <left style="medium">
        <color auto="1"/>
      </left>
      <right/>
      <top/>
      <bottom style="medium">
        <color auto="1"/>
      </bottom>
      <diagonal/>
    </border>
    <border>
      <left/>
      <right/>
      <top style="medium">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bottom style="thin">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diagonal/>
    </border>
    <border>
      <left/>
      <right style="thin">
        <color auto="1"/>
      </right>
      <top style="medium">
        <color auto="1"/>
      </top>
      <bottom/>
      <diagonal/>
    </border>
    <border>
      <left/>
      <right style="medium">
        <color auto="1"/>
      </right>
      <top/>
      <bottom style="thin">
        <color auto="1"/>
      </bottom>
      <diagonal/>
    </border>
    <border>
      <left/>
      <right style="thin">
        <color auto="1"/>
      </right>
      <top/>
      <bottom style="thin">
        <color auto="1"/>
      </bottom>
      <diagonal/>
    </border>
    <border>
      <left style="medium">
        <color auto="1"/>
      </left>
      <right/>
      <top style="thin">
        <color auto="1"/>
      </top>
      <bottom/>
      <diagonal/>
    </border>
    <border>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right/>
      <top/>
      <bottom style="medium">
        <color auto="1"/>
      </bottom>
      <diagonal/>
    </border>
    <border>
      <left style="thin">
        <color auto="1"/>
      </left>
      <right/>
      <top/>
      <bottom style="medium">
        <color auto="1"/>
      </bottom>
      <diagonal/>
    </border>
    <border>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thin">
        <color auto="1"/>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s>
  <cellStyleXfs count="5">
    <xf numFmtId="0" fontId="0" fillId="0" borderId="0" applyBorder="0"/>
    <xf numFmtId="164" fontId="8"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43" fontId="35" fillId="0" borderId="0" applyFont="0" applyFill="0" applyBorder="0" applyAlignment="0" applyProtection="0"/>
  </cellStyleXfs>
  <cellXfs count="987">
    <xf numFmtId="0" fontId="0" fillId="0" borderId="0" xfId="0"/>
    <xf numFmtId="0" fontId="2" fillId="0" borderId="0" xfId="0" applyFont="1" applyAlignment="1">
      <alignment wrapText="1"/>
    </xf>
    <xf numFmtId="0" fontId="0" fillId="0" borderId="1" xfId="0" applyBorder="1"/>
    <xf numFmtId="0" fontId="0" fillId="0" borderId="0" xfId="0" applyAlignment="1">
      <alignment wrapText="1"/>
    </xf>
    <xf numFmtId="0" fontId="4" fillId="0" borderId="0" xfId="0" applyFont="1"/>
    <xf numFmtId="0" fontId="2" fillId="0" borderId="0" xfId="0" applyFont="1"/>
    <xf numFmtId="0" fontId="0" fillId="0" borderId="0" xfId="0" applyBorder="1"/>
    <xf numFmtId="0" fontId="0" fillId="0" borderId="2" xfId="0" applyBorder="1"/>
    <xf numFmtId="0" fontId="0" fillId="0" borderId="3" xfId="0" applyBorder="1"/>
    <xf numFmtId="0" fontId="2" fillId="2" borderId="0" xfId="0" applyFont="1" applyFill="1"/>
    <xf numFmtId="0" fontId="0" fillId="2" borderId="0" xfId="0" applyFill="1"/>
    <xf numFmtId="0" fontId="4" fillId="2" borderId="0" xfId="0" applyFont="1" applyFill="1"/>
    <xf numFmtId="0" fontId="4" fillId="0" borderId="0" xfId="0" applyFont="1" applyAlignment="1">
      <alignment wrapText="1"/>
    </xf>
    <xf numFmtId="0" fontId="8" fillId="0" borderId="0" xfId="0" applyFont="1" applyFill="1" applyAlignment="1"/>
    <xf numFmtId="0" fontId="0" fillId="0" borderId="7" xfId="0" applyBorder="1"/>
    <xf numFmtId="0" fontId="0" fillId="0" borderId="8" xfId="0" applyBorder="1"/>
    <xf numFmtId="0" fontId="0" fillId="3" borderId="9" xfId="0" applyFill="1" applyBorder="1"/>
    <xf numFmtId="0" fontId="0" fillId="0" borderId="10" xfId="0" applyBorder="1"/>
    <xf numFmtId="0" fontId="0" fillId="0" borderId="0" xfId="0" applyFill="1"/>
    <xf numFmtId="0" fontId="0" fillId="0" borderId="20" xfId="0" applyBorder="1"/>
    <xf numFmtId="0" fontId="8" fillId="0" borderId="0" xfId="0" applyFont="1" applyAlignment="1"/>
    <xf numFmtId="0" fontId="0" fillId="3" borderId="21" xfId="0" applyFill="1" applyBorder="1"/>
    <xf numFmtId="0" fontId="0" fillId="0" borderId="22" xfId="0" applyBorder="1"/>
    <xf numFmtId="0" fontId="0" fillId="0" borderId="23" xfId="0" applyBorder="1"/>
    <xf numFmtId="0" fontId="0" fillId="4" borderId="10" xfId="0" applyFill="1" applyBorder="1"/>
    <xf numFmtId="0" fontId="0" fillId="0" borderId="10" xfId="0" applyFill="1" applyBorder="1"/>
    <xf numFmtId="2" fontId="0" fillId="0" borderId="21" xfId="0" applyNumberFormat="1" applyBorder="1"/>
    <xf numFmtId="2" fontId="0" fillId="0" borderId="24" xfId="0" applyNumberFormat="1" applyFill="1" applyBorder="1"/>
    <xf numFmtId="0" fontId="0" fillId="0" borderId="21" xfId="0" applyBorder="1"/>
    <xf numFmtId="0" fontId="2" fillId="0" borderId="22" xfId="0" applyFont="1" applyBorder="1"/>
    <xf numFmtId="0" fontId="0" fillId="0" borderId="23" xfId="0" applyFill="1" applyBorder="1"/>
    <xf numFmtId="0" fontId="8" fillId="3" borderId="21" xfId="0" applyFont="1" applyFill="1" applyBorder="1"/>
    <xf numFmtId="0" fontId="0" fillId="3" borderId="19" xfId="0" applyFill="1" applyBorder="1"/>
    <xf numFmtId="0" fontId="0" fillId="2" borderId="8" xfId="0" applyFill="1" applyBorder="1" applyAlignment="1">
      <alignment horizontal="center" wrapText="1"/>
    </xf>
    <xf numFmtId="0" fontId="0" fillId="0" borderId="11" xfId="0" applyBorder="1"/>
    <xf numFmtId="0" fontId="2" fillId="2" borderId="26" xfId="0" applyFont="1" applyFill="1" applyBorder="1"/>
    <xf numFmtId="0" fontId="0" fillId="2" borderId="21" xfId="0" applyFill="1" applyBorder="1"/>
    <xf numFmtId="0" fontId="0" fillId="2" borderId="24" xfId="0" applyFill="1" applyBorder="1"/>
    <xf numFmtId="0" fontId="0" fillId="2" borderId="27" xfId="0" applyFill="1" applyBorder="1"/>
    <xf numFmtId="0" fontId="4" fillId="0" borderId="0" xfId="0" applyFont="1" applyBorder="1"/>
    <xf numFmtId="0" fontId="0" fillId="0" borderId="25" xfId="0" applyBorder="1"/>
    <xf numFmtId="0" fontId="0" fillId="5" borderId="18" xfId="0" applyFill="1" applyBorder="1" applyProtection="1">
      <protection locked="0"/>
    </xf>
    <xf numFmtId="0" fontId="0" fillId="5" borderId="21" xfId="0" applyFill="1" applyBorder="1" applyProtection="1">
      <protection locked="0"/>
    </xf>
    <xf numFmtId="0" fontId="0" fillId="5" borderId="3" xfId="0" applyFill="1" applyBorder="1" applyProtection="1">
      <protection locked="0"/>
    </xf>
    <xf numFmtId="0" fontId="0" fillId="5" borderId="11" xfId="0" applyFill="1" applyBorder="1" applyProtection="1">
      <protection locked="0"/>
    </xf>
    <xf numFmtId="0" fontId="9" fillId="0" borderId="0" xfId="0" applyFont="1" applyProtection="1"/>
    <xf numFmtId="0" fontId="4" fillId="0" borderId="0" xfId="0" applyFont="1" applyProtection="1"/>
    <xf numFmtId="0" fontId="0" fillId="0" borderId="0" xfId="0" applyBorder="1" applyProtection="1"/>
    <xf numFmtId="3" fontId="0" fillId="0" borderId="0" xfId="0" applyNumberFormat="1" applyBorder="1" applyProtection="1"/>
    <xf numFmtId="2" fontId="0" fillId="0" borderId="1" xfId="0" applyNumberFormat="1" applyBorder="1" applyAlignment="1" applyProtection="1">
      <alignment horizontal="center"/>
    </xf>
    <xf numFmtId="0" fontId="0" fillId="0" borderId="0" xfId="0" applyBorder="1" applyAlignment="1" applyProtection="1">
      <alignment horizontal="left"/>
    </xf>
    <xf numFmtId="0" fontId="0" fillId="2" borderId="31" xfId="0" applyFill="1" applyBorder="1" applyAlignment="1" applyProtection="1">
      <alignment horizontal="center" wrapText="1"/>
    </xf>
    <xf numFmtId="0" fontId="0" fillId="2" borderId="32" xfId="0" applyFill="1" applyBorder="1" applyAlignment="1" applyProtection="1">
      <alignment horizontal="center" wrapText="1"/>
    </xf>
    <xf numFmtId="2" fontId="0" fillId="2" borderId="32" xfId="0" applyNumberFormat="1" applyFill="1" applyBorder="1" applyAlignment="1" applyProtection="1">
      <alignment horizontal="center" wrapText="1"/>
    </xf>
    <xf numFmtId="3" fontId="0" fillId="2" borderId="32" xfId="0" applyNumberFormat="1" applyFill="1" applyBorder="1" applyAlignment="1" applyProtection="1">
      <alignment horizontal="center" wrapText="1"/>
    </xf>
    <xf numFmtId="0" fontId="0" fillId="2" borderId="5" xfId="0" applyFill="1" applyBorder="1" applyAlignment="1" applyProtection="1">
      <alignment horizontal="center" wrapText="1"/>
    </xf>
    <xf numFmtId="0" fontId="0" fillId="2" borderId="6" xfId="0" applyFill="1" applyBorder="1" applyAlignment="1" applyProtection="1">
      <alignment horizontal="center" wrapText="1"/>
    </xf>
    <xf numFmtId="2" fontId="0" fillId="2" borderId="6" xfId="0" applyNumberFormat="1" applyFill="1" applyBorder="1" applyAlignment="1" applyProtection="1">
      <alignment horizontal="center" wrapText="1"/>
    </xf>
    <xf numFmtId="3" fontId="0" fillId="2" borderId="6" xfId="0" applyNumberFormat="1" applyFill="1" applyBorder="1" applyAlignment="1" applyProtection="1">
      <alignment horizontal="center" wrapText="1"/>
    </xf>
    <xf numFmtId="3" fontId="0" fillId="2" borderId="18" xfId="0" applyNumberFormat="1" applyFill="1" applyBorder="1" applyAlignment="1" applyProtection="1">
      <alignment horizontal="center" wrapText="1"/>
    </xf>
    <xf numFmtId="0" fontId="0" fillId="0" borderId="7" xfId="0" applyBorder="1" applyProtection="1"/>
    <xf numFmtId="0" fontId="0" fillId="0" borderId="12" xfId="0" applyBorder="1" applyProtection="1"/>
    <xf numFmtId="2" fontId="0" fillId="0" borderId="12" xfId="0" applyNumberFormat="1" applyBorder="1" applyProtection="1"/>
    <xf numFmtId="3" fontId="0" fillId="0" borderId="12" xfId="0" applyNumberFormat="1" applyBorder="1" applyProtection="1"/>
    <xf numFmtId="3" fontId="0" fillId="0" borderId="23" xfId="0" applyNumberFormat="1" applyBorder="1" applyProtection="1"/>
    <xf numFmtId="3" fontId="0" fillId="0" borderId="32" xfId="0" applyNumberFormat="1" applyBorder="1" applyProtection="1"/>
    <xf numFmtId="3" fontId="0" fillId="0" borderId="33" xfId="0" applyNumberFormat="1" applyBorder="1" applyProtection="1"/>
    <xf numFmtId="3" fontId="0" fillId="0" borderId="30" xfId="0" applyNumberFormat="1" applyBorder="1" applyProtection="1"/>
    <xf numFmtId="3" fontId="0" fillId="0" borderId="6" xfId="0" applyNumberFormat="1" applyBorder="1" applyProtection="1"/>
    <xf numFmtId="0" fontId="8" fillId="0" borderId="0" xfId="0" applyFont="1"/>
    <xf numFmtId="0" fontId="8" fillId="3" borderId="19" xfId="0" applyFont="1" applyFill="1" applyBorder="1"/>
    <xf numFmtId="0" fontId="10" fillId="0" borderId="0" xfId="0" applyFont="1" applyAlignment="1">
      <alignment horizontal="left"/>
    </xf>
    <xf numFmtId="0" fontId="8" fillId="6" borderId="35" xfId="0" applyFont="1" applyFill="1" applyBorder="1"/>
    <xf numFmtId="0" fontId="8" fillId="0" borderId="0" xfId="0" applyFont="1" applyBorder="1"/>
    <xf numFmtId="0" fontId="12" fillId="0" borderId="0" xfId="0" applyFont="1" applyFill="1" applyBorder="1"/>
    <xf numFmtId="0" fontId="2" fillId="6" borderId="35" xfId="0" applyFont="1" applyFill="1" applyBorder="1"/>
    <xf numFmtId="0" fontId="2" fillId="6" borderId="36" xfId="0" applyFont="1" applyFill="1" applyBorder="1"/>
    <xf numFmtId="0" fontId="2" fillId="6" borderId="37" xfId="0" applyFont="1" applyFill="1" applyBorder="1"/>
    <xf numFmtId="0" fontId="8" fillId="0" borderId="31" xfId="0" applyFont="1" applyBorder="1"/>
    <xf numFmtId="0" fontId="8" fillId="0" borderId="32" xfId="0" applyFont="1" applyBorder="1"/>
    <xf numFmtId="0" fontId="8" fillId="0" borderId="33" xfId="0" applyFont="1" applyBorder="1"/>
    <xf numFmtId="0" fontId="8" fillId="0" borderId="29" xfId="0" applyFont="1" applyBorder="1"/>
    <xf numFmtId="0" fontId="8" fillId="0" borderId="30" xfId="0" applyFont="1" applyBorder="1"/>
    <xf numFmtId="0" fontId="8" fillId="0" borderId="9" xfId="0" applyFont="1" applyBorder="1"/>
    <xf numFmtId="0" fontId="8" fillId="0" borderId="0" xfId="0" applyFont="1" applyFill="1" applyBorder="1"/>
    <xf numFmtId="0" fontId="8" fillId="0" borderId="5" xfId="0" applyFont="1" applyBorder="1"/>
    <xf numFmtId="0" fontId="8" fillId="0" borderId="6" xfId="0" applyFont="1" applyBorder="1"/>
    <xf numFmtId="0" fontId="8" fillId="0" borderId="18" xfId="0" applyFont="1" applyBorder="1"/>
    <xf numFmtId="0" fontId="12" fillId="0" borderId="0" xfId="0" applyFont="1"/>
    <xf numFmtId="0" fontId="2" fillId="6" borderId="31" xfId="0" applyFont="1" applyFill="1" applyBorder="1"/>
    <xf numFmtId="0" fontId="8" fillId="0" borderId="31" xfId="0" applyFont="1" applyBorder="1" applyAlignment="1">
      <alignment horizontal="center" vertical="top" wrapText="1"/>
    </xf>
    <xf numFmtId="0" fontId="8" fillId="0" borderId="38" xfId="0" applyFont="1" applyBorder="1" applyAlignment="1">
      <alignment horizontal="center" vertical="top" wrapText="1"/>
    </xf>
    <xf numFmtId="0" fontId="8" fillId="0" borderId="7" xfId="0" applyFont="1" applyBorder="1" applyAlignment="1">
      <alignment horizontal="center" vertical="top" wrapText="1"/>
    </xf>
    <xf numFmtId="0" fontId="8" fillId="3" borderId="33" xfId="0" applyFont="1" applyFill="1" applyBorder="1"/>
    <xf numFmtId="0" fontId="0" fillId="5" borderId="33" xfId="0" applyFill="1" applyBorder="1" applyProtection="1">
      <protection locked="0"/>
    </xf>
    <xf numFmtId="0" fontId="0" fillId="4" borderId="39" xfId="0" applyFill="1" applyBorder="1" applyProtection="1"/>
    <xf numFmtId="0" fontId="0" fillId="4" borderId="11" xfId="0" applyFill="1" applyBorder="1" applyProtection="1"/>
    <xf numFmtId="0" fontId="0" fillId="4" borderId="40" xfId="0" applyFill="1" applyBorder="1" applyProtection="1"/>
    <xf numFmtId="3" fontId="0" fillId="0" borderId="31" xfId="0" applyNumberFormat="1" applyBorder="1" applyProtection="1"/>
    <xf numFmtId="3" fontId="0" fillId="0" borderId="29" xfId="0" applyNumberFormat="1" applyBorder="1" applyProtection="1"/>
    <xf numFmtId="3" fontId="0" fillId="0" borderId="9" xfId="0" applyNumberFormat="1" applyBorder="1" applyProtection="1"/>
    <xf numFmtId="3" fontId="0" fillId="0" borderId="5" xfId="0" applyNumberFormat="1" applyBorder="1" applyProtection="1"/>
    <xf numFmtId="3" fontId="0" fillId="0" borderId="18" xfId="0" applyNumberFormat="1" applyBorder="1" applyProtection="1"/>
    <xf numFmtId="0" fontId="13" fillId="2" borderId="7" xfId="0" applyFont="1" applyFill="1" applyBorder="1" applyAlignment="1" applyProtection="1">
      <alignment horizontal="center" wrapText="1"/>
    </xf>
    <xf numFmtId="0" fontId="13" fillId="2" borderId="12" xfId="0" applyFont="1" applyFill="1" applyBorder="1" applyAlignment="1" applyProtection="1">
      <alignment horizontal="center" wrapText="1"/>
    </xf>
    <xf numFmtId="2" fontId="13" fillId="2" borderId="12" xfId="0" applyNumberFormat="1" applyFont="1" applyFill="1" applyBorder="1" applyAlignment="1" applyProtection="1">
      <alignment horizontal="center" wrapText="1"/>
    </xf>
    <xf numFmtId="3" fontId="13" fillId="2" borderId="12" xfId="0" applyNumberFormat="1" applyFont="1" applyFill="1" applyBorder="1" applyAlignment="1" applyProtection="1">
      <alignment horizontal="center" wrapText="1"/>
    </xf>
    <xf numFmtId="3" fontId="13" fillId="2" borderId="23" xfId="0" applyNumberFormat="1" applyFont="1" applyFill="1" applyBorder="1" applyAlignment="1" applyProtection="1">
      <alignment horizontal="center" wrapText="1"/>
    </xf>
    <xf numFmtId="0" fontId="0" fillId="2" borderId="39" xfId="0" applyFill="1" applyBorder="1" applyAlignment="1" applyProtection="1">
      <alignment horizontal="left"/>
    </xf>
    <xf numFmtId="0" fontId="0" fillId="2" borderId="41" xfId="0" applyFill="1" applyBorder="1" applyAlignment="1" applyProtection="1">
      <alignment horizontal="left"/>
    </xf>
    <xf numFmtId="0" fontId="0" fillId="2" borderId="2" xfId="0" applyFill="1" applyBorder="1" applyAlignment="1" applyProtection="1">
      <alignment horizontal="left"/>
    </xf>
    <xf numFmtId="0" fontId="0" fillId="2" borderId="42" xfId="0" applyFill="1" applyBorder="1" applyAlignment="1" applyProtection="1">
      <alignment horizontal="left"/>
    </xf>
    <xf numFmtId="0" fontId="0" fillId="2" borderId="43" xfId="0" applyFill="1" applyBorder="1" applyAlignment="1" applyProtection="1">
      <alignment horizontal="left"/>
    </xf>
    <xf numFmtId="0" fontId="0" fillId="2" borderId="44" xfId="0" applyFill="1" applyBorder="1" applyAlignment="1" applyProtection="1">
      <alignment horizontal="left"/>
    </xf>
    <xf numFmtId="166" fontId="0" fillId="0" borderId="3" xfId="0" applyNumberFormat="1" applyBorder="1" applyAlignment="1" applyProtection="1">
      <alignment horizontal="center"/>
    </xf>
    <xf numFmtId="3" fontId="0" fillId="2" borderId="26" xfId="0" applyNumberFormat="1" applyFill="1" applyBorder="1" applyAlignment="1" applyProtection="1">
      <alignment horizontal="center" wrapText="1"/>
    </xf>
    <xf numFmtId="0" fontId="0" fillId="2" borderId="45" xfId="0" applyFill="1" applyBorder="1" applyAlignment="1" applyProtection="1">
      <alignment horizontal="left"/>
    </xf>
    <xf numFmtId="0" fontId="0" fillId="2" borderId="46" xfId="0" applyFill="1" applyBorder="1" applyAlignment="1" applyProtection="1">
      <alignment horizontal="left"/>
    </xf>
    <xf numFmtId="0" fontId="0" fillId="2" borderId="24" xfId="0" applyFill="1" applyBorder="1" applyAlignment="1" applyProtection="1">
      <alignment horizontal="left"/>
    </xf>
    <xf numFmtId="166" fontId="0" fillId="0" borderId="26" xfId="0" applyNumberFormat="1" applyBorder="1" applyAlignment="1" applyProtection="1">
      <alignment horizontal="center"/>
    </xf>
    <xf numFmtId="0" fontId="13" fillId="2" borderId="47" xfId="0" applyFont="1" applyFill="1" applyBorder="1" applyAlignment="1" applyProtection="1">
      <alignment horizontal="left"/>
    </xf>
    <xf numFmtId="0" fontId="13" fillId="2" borderId="48" xfId="0" applyFont="1" applyFill="1" applyBorder="1" applyAlignment="1" applyProtection="1">
      <alignment horizontal="left"/>
    </xf>
    <xf numFmtId="0" fontId="13" fillId="2" borderId="34" xfId="0" applyFont="1" applyFill="1" applyBorder="1" applyAlignment="1" applyProtection="1">
      <alignment horizontal="left"/>
    </xf>
    <xf numFmtId="0" fontId="0" fillId="2" borderId="49" xfId="0" applyFill="1" applyBorder="1"/>
    <xf numFmtId="0" fontId="0" fillId="2" borderId="50" xfId="0" applyFill="1" applyBorder="1"/>
    <xf numFmtId="0" fontId="0" fillId="3" borderId="45" xfId="0" applyFill="1" applyBorder="1"/>
    <xf numFmtId="0" fontId="0" fillId="3" borderId="34" xfId="0" applyFill="1" applyBorder="1"/>
    <xf numFmtId="0" fontId="2" fillId="5" borderId="21" xfId="0" applyFont="1" applyFill="1" applyBorder="1"/>
    <xf numFmtId="0" fontId="8" fillId="5" borderId="24" xfId="0" applyFont="1" applyFill="1" applyBorder="1"/>
    <xf numFmtId="0" fontId="0" fillId="0" borderId="11" xfId="0" applyFill="1" applyBorder="1" applyProtection="1">
      <protection locked="0"/>
    </xf>
    <xf numFmtId="3" fontId="0" fillId="0" borderId="51" xfId="0" applyNumberFormat="1" applyBorder="1" applyProtection="1"/>
    <xf numFmtId="3" fontId="0" fillId="0" borderId="28" xfId="0" applyNumberFormat="1" applyBorder="1" applyProtection="1"/>
    <xf numFmtId="0" fontId="0" fillId="5" borderId="25" xfId="0" applyFill="1" applyBorder="1" applyProtection="1">
      <protection locked="0"/>
    </xf>
    <xf numFmtId="0" fontId="15" fillId="0" borderId="0" xfId="0" applyFont="1"/>
    <xf numFmtId="0" fontId="2" fillId="0" borderId="0" xfId="0" applyFont="1" applyFill="1" applyBorder="1" applyAlignment="1">
      <alignment horizontal="center" vertical="top" wrapText="1"/>
    </xf>
    <xf numFmtId="0" fontId="2" fillId="0" borderId="0" xfId="0" applyFont="1" applyFill="1" applyBorder="1" applyAlignment="1">
      <alignment horizontal="center"/>
    </xf>
    <xf numFmtId="0" fontId="8" fillId="0" borderId="0" xfId="0" applyFont="1" applyFill="1" applyBorder="1" applyAlignment="1">
      <alignment horizontal="center" vertical="top" wrapText="1"/>
    </xf>
    <xf numFmtId="0" fontId="8" fillId="2" borderId="0" xfId="0" applyFont="1" applyFill="1"/>
    <xf numFmtId="0" fontId="8" fillId="0" borderId="52" xfId="0" applyFont="1" applyFill="1" applyBorder="1"/>
    <xf numFmtId="0" fontId="8" fillId="0" borderId="27" xfId="0" applyFont="1" applyBorder="1"/>
    <xf numFmtId="0" fontId="10" fillId="2" borderId="0" xfId="0" applyFont="1" applyFill="1"/>
    <xf numFmtId="0" fontId="8" fillId="6" borderId="36" xfId="0" applyFont="1" applyFill="1" applyBorder="1"/>
    <xf numFmtId="0" fontId="8" fillId="5" borderId="29" xfId="0" applyFont="1" applyFill="1" applyBorder="1" applyAlignment="1">
      <alignment horizontal="center"/>
    </xf>
    <xf numFmtId="0" fontId="8" fillId="5" borderId="5" xfId="0" applyFont="1" applyFill="1" applyBorder="1" applyAlignment="1">
      <alignment horizontal="center"/>
    </xf>
    <xf numFmtId="0" fontId="2" fillId="6" borderId="33" xfId="0" applyFont="1" applyFill="1" applyBorder="1" applyAlignment="1">
      <alignment vertical="top" wrapText="1"/>
    </xf>
    <xf numFmtId="0" fontId="2" fillId="6" borderId="18" xfId="0" applyFont="1" applyFill="1" applyBorder="1" applyAlignment="1">
      <alignment vertical="top" wrapText="1"/>
    </xf>
    <xf numFmtId="0" fontId="0" fillId="0" borderId="53" xfId="0" applyBorder="1"/>
    <xf numFmtId="0" fontId="2" fillId="2" borderId="26" xfId="0" applyFont="1" applyFill="1" applyBorder="1" applyAlignment="1">
      <alignment horizontal="center"/>
    </xf>
    <xf numFmtId="0" fontId="2" fillId="2" borderId="16" xfId="0" applyFont="1" applyFill="1" applyBorder="1" applyAlignment="1">
      <alignment horizontal="center"/>
    </xf>
    <xf numFmtId="0" fontId="8" fillId="0" borderId="0" xfId="0" applyFont="1" applyAlignment="1">
      <alignment wrapText="1"/>
    </xf>
    <xf numFmtId="0" fontId="0" fillId="2" borderId="54" xfId="0" applyFill="1" applyBorder="1"/>
    <xf numFmtId="0" fontId="0" fillId="2" borderId="4" xfId="0" applyFill="1" applyBorder="1"/>
    <xf numFmtId="0" fontId="8" fillId="6" borderId="0" xfId="0" applyFont="1" applyFill="1" applyBorder="1"/>
    <xf numFmtId="49" fontId="8" fillId="0" borderId="33" xfId="0" applyNumberFormat="1" applyFont="1" applyBorder="1" applyAlignment="1">
      <alignment horizontal="center" vertical="top" wrapText="1"/>
    </xf>
    <xf numFmtId="49" fontId="8" fillId="0" borderId="19" xfId="0" applyNumberFormat="1" applyFont="1" applyBorder="1" applyAlignment="1">
      <alignment horizontal="center" vertical="top" wrapText="1"/>
    </xf>
    <xf numFmtId="49" fontId="8" fillId="0" borderId="55" xfId="0" applyNumberFormat="1" applyFont="1" applyBorder="1" applyAlignment="1">
      <alignment horizontal="center" vertical="top" wrapText="1"/>
    </xf>
    <xf numFmtId="49" fontId="8" fillId="0" borderId="23" xfId="0" applyNumberFormat="1" applyFont="1" applyBorder="1" applyAlignment="1">
      <alignment horizontal="center" vertical="top" wrapText="1"/>
    </xf>
    <xf numFmtId="0" fontId="0" fillId="3" borderId="31" xfId="0" applyFill="1" applyBorder="1" applyAlignment="1">
      <alignment horizontal="right"/>
    </xf>
    <xf numFmtId="0" fontId="0" fillId="3" borderId="38" xfId="0" applyFill="1" applyBorder="1" applyAlignment="1">
      <alignment horizontal="right"/>
    </xf>
    <xf numFmtId="0" fontId="0" fillId="3" borderId="29" xfId="0" applyFill="1" applyBorder="1" applyAlignment="1">
      <alignment horizontal="right"/>
    </xf>
    <xf numFmtId="0" fontId="0" fillId="3" borderId="14" xfId="0" applyFill="1" applyBorder="1" applyAlignment="1">
      <alignment horizontal="right"/>
    </xf>
    <xf numFmtId="0" fontId="8" fillId="0" borderId="29" xfId="0" applyFont="1" applyBorder="1" applyAlignment="1">
      <alignment horizontal="center" vertical="top"/>
    </xf>
    <xf numFmtId="0" fontId="8" fillId="0" borderId="38" xfId="0" applyFont="1" applyBorder="1" applyAlignment="1">
      <alignment horizontal="center" vertical="top"/>
    </xf>
    <xf numFmtId="0" fontId="2" fillId="6" borderId="45" xfId="0" applyFont="1" applyFill="1" applyBorder="1" applyAlignment="1">
      <alignment vertical="top"/>
    </xf>
    <xf numFmtId="49" fontId="8" fillId="0" borderId="19" xfId="0" applyNumberFormat="1" applyFont="1" applyBorder="1" applyAlignment="1">
      <alignment horizontal="center" vertical="top"/>
    </xf>
    <xf numFmtId="49" fontId="8" fillId="0" borderId="9" xfId="0" applyNumberFormat="1" applyFont="1" applyBorder="1" applyAlignment="1">
      <alignment horizontal="center" vertical="top"/>
    </xf>
    <xf numFmtId="0" fontId="8" fillId="6" borderId="49" xfId="0" applyFont="1" applyFill="1" applyBorder="1"/>
    <xf numFmtId="0" fontId="8" fillId="0" borderId="44" xfId="0" applyFont="1" applyBorder="1" applyAlignment="1">
      <alignment horizontal="center" vertical="top" wrapText="1"/>
    </xf>
    <xf numFmtId="0" fontId="8" fillId="0" borderId="56" xfId="0" applyFont="1" applyBorder="1" applyAlignment="1">
      <alignment horizontal="center" vertical="top" wrapText="1"/>
    </xf>
    <xf numFmtId="0" fontId="8" fillId="0" borderId="10" xfId="0" applyFont="1" applyBorder="1" applyAlignment="1">
      <alignment horizontal="center" vertical="top" wrapText="1"/>
    </xf>
    <xf numFmtId="49" fontId="8" fillId="0" borderId="47" xfId="0" quotePrefix="1" applyNumberFormat="1" applyFont="1" applyBorder="1" applyAlignment="1">
      <alignment horizontal="center" vertical="top" wrapText="1"/>
    </xf>
    <xf numFmtId="0" fontId="8" fillId="0" borderId="0" xfId="0" applyFont="1" applyAlignment="1">
      <alignment vertical="top"/>
    </xf>
    <xf numFmtId="0" fontId="8" fillId="6" borderId="26" xfId="0" applyFont="1" applyFill="1" applyBorder="1" applyAlignment="1">
      <alignment wrapText="1"/>
    </xf>
    <xf numFmtId="0" fontId="8" fillId="0" borderId="0" xfId="0" applyFont="1" applyFill="1" applyBorder="1" applyAlignment="1">
      <alignment vertical="top" wrapText="1"/>
    </xf>
    <xf numFmtId="0" fontId="2" fillId="6" borderId="25" xfId="0" applyFont="1" applyFill="1" applyBorder="1" applyAlignment="1">
      <alignment vertical="top" wrapText="1"/>
    </xf>
    <xf numFmtId="0" fontId="2" fillId="6" borderId="1" xfId="0" applyFont="1" applyFill="1" applyBorder="1" applyAlignment="1">
      <alignment vertical="top" wrapText="1"/>
    </xf>
    <xf numFmtId="168" fontId="0" fillId="0" borderId="29" xfId="0" applyNumberFormat="1" applyBorder="1" applyAlignment="1">
      <alignment vertical="top"/>
    </xf>
    <xf numFmtId="168" fontId="0" fillId="0" borderId="30" xfId="0" applyNumberFormat="1" applyBorder="1" applyAlignment="1">
      <alignment vertical="top"/>
    </xf>
    <xf numFmtId="0" fontId="0" fillId="0" borderId="30" xfId="0" applyBorder="1" applyAlignment="1">
      <alignment vertical="top"/>
    </xf>
    <xf numFmtId="168" fontId="0" fillId="0" borderId="5" xfId="0" applyNumberFormat="1" applyBorder="1" applyAlignment="1">
      <alignment vertical="top"/>
    </xf>
    <xf numFmtId="168" fontId="0" fillId="0" borderId="6" xfId="0" applyNumberFormat="1" applyBorder="1" applyAlignment="1">
      <alignment vertical="top"/>
    </xf>
    <xf numFmtId="0" fontId="2" fillId="6" borderId="28" xfId="0" applyFont="1" applyFill="1" applyBorder="1" applyAlignment="1">
      <alignment horizontal="center" wrapText="1"/>
    </xf>
    <xf numFmtId="2" fontId="0" fillId="0" borderId="31" xfId="0" applyNumberFormat="1" applyBorder="1" applyAlignment="1">
      <alignment vertical="top"/>
    </xf>
    <xf numFmtId="2" fontId="0" fillId="0" borderId="29" xfId="0" applyNumberFormat="1" applyBorder="1" applyAlignment="1">
      <alignment vertical="top"/>
    </xf>
    <xf numFmtId="2" fontId="0" fillId="0" borderId="5" xfId="0" applyNumberFormat="1" applyBorder="1" applyAlignment="1">
      <alignment vertical="top"/>
    </xf>
    <xf numFmtId="2" fontId="8" fillId="0" borderId="33" xfId="0" applyNumberFormat="1" applyFont="1" applyBorder="1" applyAlignment="1">
      <alignment vertical="top"/>
    </xf>
    <xf numFmtId="2" fontId="8" fillId="0" borderId="9" xfId="0" applyNumberFormat="1" applyFont="1" applyBorder="1" applyAlignment="1">
      <alignment vertical="top"/>
    </xf>
    <xf numFmtId="2" fontId="8" fillId="0" borderId="18" xfId="0" applyNumberFormat="1" applyFont="1" applyBorder="1" applyAlignment="1">
      <alignment vertical="top"/>
    </xf>
    <xf numFmtId="168" fontId="8" fillId="0" borderId="0" xfId="0" applyNumberFormat="1" applyFont="1"/>
    <xf numFmtId="169" fontId="8" fillId="0" borderId="0" xfId="2" applyNumberFormat="1" applyFont="1"/>
    <xf numFmtId="168" fontId="0" fillId="0" borderId="38" xfId="0" applyNumberFormat="1" applyBorder="1" applyAlignment="1">
      <alignment vertical="top"/>
    </xf>
    <xf numFmtId="168" fontId="0" fillId="0" borderId="51" xfId="0" applyNumberFormat="1" applyBorder="1" applyAlignment="1">
      <alignment vertical="top"/>
    </xf>
    <xf numFmtId="0" fontId="2" fillId="6" borderId="27" xfId="0" applyFont="1" applyFill="1" applyBorder="1" applyAlignment="1">
      <alignment horizontal="center" wrapText="1"/>
    </xf>
    <xf numFmtId="0" fontId="0" fillId="3" borderId="16" xfId="0" applyFill="1" applyBorder="1"/>
    <xf numFmtId="0" fontId="2" fillId="6" borderId="29" xfId="0" applyFont="1" applyFill="1" applyBorder="1" applyAlignment="1">
      <alignment vertical="top" wrapText="1"/>
    </xf>
    <xf numFmtId="0" fontId="2" fillId="6" borderId="9" xfId="0" applyFont="1" applyFill="1" applyBorder="1" applyAlignment="1">
      <alignment vertical="top" wrapText="1"/>
    </xf>
    <xf numFmtId="0" fontId="2" fillId="6" borderId="5" xfId="0" applyFont="1" applyFill="1" applyBorder="1" applyAlignment="1">
      <alignment vertical="top" wrapText="1"/>
    </xf>
    <xf numFmtId="0" fontId="8" fillId="0" borderId="29" xfId="0" applyFont="1" applyBorder="1" applyAlignment="1">
      <alignment horizontal="center" vertical="top" wrapText="1"/>
    </xf>
    <xf numFmtId="49" fontId="8" fillId="0" borderId="9" xfId="0" applyNumberFormat="1" applyFont="1" applyBorder="1" applyAlignment="1">
      <alignment horizontal="center" vertical="top" wrapText="1"/>
    </xf>
    <xf numFmtId="0" fontId="8" fillId="0" borderId="43" xfId="0" applyFont="1" applyBorder="1" applyAlignment="1">
      <alignment horizontal="center" vertical="top" wrapText="1"/>
    </xf>
    <xf numFmtId="49" fontId="8" fillId="0" borderId="48" xfId="0" applyNumberFormat="1" applyFont="1" applyBorder="1" applyAlignment="1">
      <alignment horizontal="center" vertical="top" wrapText="1"/>
    </xf>
    <xf numFmtId="0" fontId="8" fillId="0" borderId="14" xfId="0" applyFont="1" applyBorder="1" applyAlignment="1">
      <alignment horizontal="center" vertical="top"/>
    </xf>
    <xf numFmtId="49" fontId="8" fillId="0" borderId="16" xfId="0" applyNumberFormat="1" applyFont="1" applyBorder="1" applyAlignment="1">
      <alignment horizontal="center" vertical="top"/>
    </xf>
    <xf numFmtId="0" fontId="2" fillId="6" borderId="11" xfId="0" applyFont="1" applyFill="1" applyBorder="1" applyAlignment="1">
      <alignment vertical="top" wrapText="1"/>
    </xf>
    <xf numFmtId="0" fontId="2" fillId="6" borderId="2" xfId="0" applyFont="1" applyFill="1" applyBorder="1" applyAlignment="1">
      <alignment vertical="top" wrapText="1"/>
    </xf>
    <xf numFmtId="0" fontId="2" fillId="6" borderId="57" xfId="0" applyFont="1" applyFill="1" applyBorder="1" applyAlignment="1">
      <alignment vertical="top" wrapText="1"/>
    </xf>
    <xf numFmtId="0" fontId="2" fillId="6" borderId="8" xfId="0" applyFont="1" applyFill="1" applyBorder="1" applyAlignment="1">
      <alignment vertical="top" wrapText="1"/>
    </xf>
    <xf numFmtId="0" fontId="2" fillId="6" borderId="27" xfId="0" applyFont="1" applyFill="1" applyBorder="1" applyAlignment="1">
      <alignment horizontal="center" vertical="top" wrapText="1"/>
    </xf>
    <xf numFmtId="0" fontId="2" fillId="6" borderId="21" xfId="0" applyFont="1" applyFill="1" applyBorder="1" applyAlignment="1">
      <alignment horizontal="center" wrapText="1"/>
    </xf>
    <xf numFmtId="0" fontId="2" fillId="6" borderId="24" xfId="0" applyFont="1" applyFill="1" applyBorder="1" applyAlignment="1">
      <alignment horizontal="center" vertical="top" wrapText="1"/>
    </xf>
    <xf numFmtId="0" fontId="2" fillId="6" borderId="27" xfId="0" applyFont="1" applyFill="1" applyBorder="1" applyAlignment="1">
      <alignment vertical="top" wrapText="1"/>
    </xf>
    <xf numFmtId="0" fontId="2" fillId="6" borderId="21" xfId="0" applyFont="1" applyFill="1" applyBorder="1" applyAlignment="1">
      <alignment vertical="top" wrapText="1"/>
    </xf>
    <xf numFmtId="0" fontId="8" fillId="0" borderId="27" xfId="0" applyFont="1" applyBorder="1" applyAlignment="1">
      <alignment horizontal="center" vertical="top" wrapText="1"/>
    </xf>
    <xf numFmtId="49" fontId="8" fillId="0" borderId="21" xfId="0" applyNumberFormat="1" applyFont="1" applyBorder="1" applyAlignment="1">
      <alignment horizontal="center" vertical="top" wrapText="1"/>
    </xf>
    <xf numFmtId="0" fontId="8" fillId="0" borderId="24" xfId="0" applyFont="1" applyBorder="1" applyAlignment="1">
      <alignment horizontal="center" vertical="top" wrapText="1"/>
    </xf>
    <xf numFmtId="49" fontId="8" fillId="0" borderId="34" xfId="0" applyNumberFormat="1" applyFont="1" applyBorder="1" applyAlignment="1">
      <alignment horizontal="center" vertical="top" wrapText="1"/>
    </xf>
    <xf numFmtId="3" fontId="0" fillId="0" borderId="0" xfId="0" applyNumberFormat="1" applyBorder="1" applyAlignment="1" applyProtection="1">
      <alignment wrapText="1"/>
    </xf>
    <xf numFmtId="0" fontId="0" fillId="2" borderId="57" xfId="0" applyFill="1" applyBorder="1" applyAlignment="1" applyProtection="1">
      <alignment horizontal="left"/>
    </xf>
    <xf numFmtId="0" fontId="0" fillId="2" borderId="58" xfId="0" applyFill="1" applyBorder="1" applyAlignment="1" applyProtection="1">
      <alignment horizontal="left"/>
    </xf>
    <xf numFmtId="0" fontId="0" fillId="2" borderId="59" xfId="0" applyFill="1" applyBorder="1" applyAlignment="1" applyProtection="1">
      <alignment horizontal="left"/>
    </xf>
    <xf numFmtId="0" fontId="13" fillId="2" borderId="60" xfId="0" applyFont="1" applyFill="1" applyBorder="1" applyAlignment="1" applyProtection="1">
      <alignment horizontal="left"/>
    </xf>
    <xf numFmtId="2" fontId="0" fillId="0" borderId="53" xfId="0" applyNumberFormat="1" applyBorder="1" applyAlignment="1" applyProtection="1">
      <alignment horizontal="center"/>
    </xf>
    <xf numFmtId="2" fontId="0" fillId="0" borderId="0" xfId="0" applyNumberFormat="1" applyBorder="1" applyProtection="1"/>
    <xf numFmtId="0" fontId="5" fillId="0" borderId="0" xfId="0" applyFont="1" applyBorder="1" applyProtection="1"/>
    <xf numFmtId="2" fontId="5" fillId="0" borderId="0" xfId="0" applyNumberFormat="1" applyFont="1" applyBorder="1" applyProtection="1"/>
    <xf numFmtId="3" fontId="5" fillId="0" borderId="0" xfId="0" applyNumberFormat="1" applyFont="1" applyBorder="1" applyProtection="1"/>
    <xf numFmtId="0" fontId="4" fillId="0" borderId="0" xfId="0" applyFont="1" applyBorder="1" applyProtection="1"/>
    <xf numFmtId="0" fontId="2" fillId="0" borderId="0" xfId="0" applyFont="1" applyBorder="1" applyProtection="1"/>
    <xf numFmtId="3" fontId="2" fillId="0" borderId="0" xfId="0" applyNumberFormat="1" applyFont="1" applyBorder="1" applyProtection="1"/>
    <xf numFmtId="0" fontId="2" fillId="0" borderId="0" xfId="0" applyFont="1" applyBorder="1" applyAlignment="1" applyProtection="1">
      <alignment wrapText="1"/>
    </xf>
    <xf numFmtId="0" fontId="0" fillId="0" borderId="0" xfId="0" applyBorder="1" applyAlignment="1" applyProtection="1">
      <alignment wrapText="1"/>
    </xf>
    <xf numFmtId="2" fontId="0" fillId="0" borderId="0" xfId="0" applyNumberFormat="1" applyBorder="1" applyAlignment="1" applyProtection="1">
      <alignment wrapText="1"/>
    </xf>
    <xf numFmtId="0" fontId="13" fillId="0" borderId="0" xfId="0" applyFont="1" applyBorder="1" applyProtection="1"/>
    <xf numFmtId="0" fontId="8" fillId="0" borderId="28" xfId="0" applyFont="1" applyBorder="1"/>
    <xf numFmtId="0" fontId="8" fillId="0" borderId="21" xfId="0" applyFont="1" applyBorder="1"/>
    <xf numFmtId="2" fontId="8" fillId="0" borderId="25" xfId="0" applyNumberFormat="1" applyFont="1" applyBorder="1" applyAlignment="1">
      <alignment vertical="top"/>
    </xf>
    <xf numFmtId="2" fontId="8" fillId="0" borderId="1" xfId="0" applyNumberFormat="1" applyFont="1" applyBorder="1" applyAlignment="1">
      <alignment vertical="top"/>
    </xf>
    <xf numFmtId="2" fontId="8" fillId="0" borderId="20" xfId="0" applyNumberFormat="1" applyFont="1" applyBorder="1" applyAlignment="1">
      <alignment vertical="top"/>
    </xf>
    <xf numFmtId="0" fontId="0" fillId="5" borderId="1" xfId="0" applyFill="1" applyBorder="1" applyProtection="1">
      <protection locked="0"/>
    </xf>
    <xf numFmtId="168" fontId="0" fillId="5" borderId="3" xfId="0" applyNumberFormat="1" applyFill="1" applyBorder="1" applyProtection="1">
      <protection locked="0"/>
    </xf>
    <xf numFmtId="168" fontId="0" fillId="5" borderId="1" xfId="0" applyNumberFormat="1" applyFill="1" applyBorder="1" applyProtection="1">
      <protection locked="0"/>
    </xf>
    <xf numFmtId="0" fontId="2" fillId="2" borderId="14" xfId="0" applyFont="1" applyFill="1" applyBorder="1" applyAlignment="1">
      <alignment horizontal="center"/>
    </xf>
    <xf numFmtId="0" fontId="15" fillId="0" borderId="0" xfId="0" applyFont="1" applyFill="1"/>
    <xf numFmtId="2" fontId="0" fillId="0" borderId="9" xfId="0" applyNumberFormat="1" applyBorder="1" applyAlignment="1">
      <alignment vertical="top"/>
    </xf>
    <xf numFmtId="2" fontId="8" fillId="0" borderId="28" xfId="0" applyNumberFormat="1" applyFont="1" applyBorder="1"/>
    <xf numFmtId="3" fontId="17" fillId="2" borderId="33" xfId="0" applyNumberFormat="1" applyFont="1" applyFill="1" applyBorder="1" applyAlignment="1" applyProtection="1">
      <alignment horizontal="center" wrapText="1"/>
    </xf>
    <xf numFmtId="0" fontId="0" fillId="2" borderId="11" xfId="0" applyFill="1" applyBorder="1" applyAlignment="1" applyProtection="1">
      <alignment horizontal="left"/>
    </xf>
    <xf numFmtId="0" fontId="0" fillId="2" borderId="61" xfId="0" applyFill="1" applyBorder="1" applyAlignment="1" applyProtection="1">
      <alignment horizontal="left"/>
    </xf>
    <xf numFmtId="0" fontId="0" fillId="2" borderId="56" xfId="0" applyFill="1" applyBorder="1" applyAlignment="1" applyProtection="1">
      <alignment horizontal="left"/>
    </xf>
    <xf numFmtId="0" fontId="13" fillId="2" borderId="55" xfId="0" applyFont="1" applyFill="1" applyBorder="1" applyAlignment="1" applyProtection="1">
      <alignment horizontal="left"/>
    </xf>
    <xf numFmtId="0" fontId="0" fillId="2" borderId="8" xfId="0" applyFill="1" applyBorder="1" applyAlignment="1" applyProtection="1">
      <alignment horizontal="left"/>
    </xf>
    <xf numFmtId="0" fontId="0" fillId="2" borderId="62" xfId="0" applyFill="1" applyBorder="1" applyAlignment="1" applyProtection="1">
      <alignment horizontal="left"/>
    </xf>
    <xf numFmtId="0" fontId="0" fillId="2" borderId="63" xfId="0" applyFill="1" applyBorder="1" applyAlignment="1" applyProtection="1">
      <alignment horizontal="left"/>
    </xf>
    <xf numFmtId="0" fontId="13" fillId="2" borderId="64" xfId="0" applyFont="1" applyFill="1" applyBorder="1" applyAlignment="1" applyProtection="1">
      <alignment horizontal="left"/>
    </xf>
    <xf numFmtId="166" fontId="0" fillId="0" borderId="20" xfId="0" applyNumberFormat="1" applyBorder="1" applyAlignment="1" applyProtection="1">
      <alignment horizontal="center"/>
    </xf>
    <xf numFmtId="165" fontId="0" fillId="0" borderId="1" xfId="0" applyNumberFormat="1" applyBorder="1" applyAlignment="1" applyProtection="1">
      <alignment horizontal="center"/>
    </xf>
    <xf numFmtId="2" fontId="2" fillId="0" borderId="0" xfId="0" applyNumberFormat="1" applyFont="1" applyBorder="1" applyProtection="1">
      <protection locked="0"/>
    </xf>
    <xf numFmtId="0" fontId="0" fillId="0" borderId="0" xfId="0" applyFill="1" applyBorder="1"/>
    <xf numFmtId="0" fontId="0" fillId="5" borderId="2" xfId="0" applyFill="1" applyBorder="1" applyProtection="1">
      <protection locked="0"/>
    </xf>
    <xf numFmtId="0" fontId="0" fillId="5" borderId="8" xfId="0" applyFill="1" applyBorder="1" applyProtection="1">
      <protection locked="0"/>
    </xf>
    <xf numFmtId="0" fontId="1" fillId="0" borderId="52" xfId="0" applyFont="1" applyFill="1" applyBorder="1" applyAlignment="1">
      <alignment horizontal="center"/>
    </xf>
    <xf numFmtId="0" fontId="0" fillId="0" borderId="54" xfId="0" applyFill="1" applyBorder="1"/>
    <xf numFmtId="9" fontId="0" fillId="0" borderId="65" xfId="2" applyFont="1" applyFill="1" applyBorder="1"/>
    <xf numFmtId="0" fontId="0" fillId="0" borderId="4" xfId="0" applyFill="1" applyBorder="1"/>
    <xf numFmtId="9" fontId="0" fillId="0" borderId="28" xfId="0" applyNumberFormat="1" applyFill="1" applyBorder="1"/>
    <xf numFmtId="2" fontId="8" fillId="0" borderId="66" xfId="0" applyNumberFormat="1" applyFont="1" applyBorder="1"/>
    <xf numFmtId="2" fontId="8" fillId="0" borderId="26" xfId="0" applyNumberFormat="1" applyFont="1" applyBorder="1"/>
    <xf numFmtId="0" fontId="20" fillId="2" borderId="52" xfId="0" applyFont="1" applyFill="1" applyBorder="1" applyAlignment="1">
      <alignment wrapText="1"/>
    </xf>
    <xf numFmtId="0" fontId="19" fillId="0" borderId="25" xfId="0" applyFont="1" applyFill="1" applyBorder="1"/>
    <xf numFmtId="0" fontId="19" fillId="0" borderId="1" xfId="0" applyFont="1" applyBorder="1"/>
    <xf numFmtId="0" fontId="19" fillId="0" borderId="20" xfId="0" applyFont="1" applyBorder="1"/>
    <xf numFmtId="0" fontId="0" fillId="0" borderId="31" xfId="0" applyFill="1" applyBorder="1"/>
    <xf numFmtId="0" fontId="0" fillId="0" borderId="29" xfId="0" applyBorder="1"/>
    <xf numFmtId="0" fontId="0" fillId="0" borderId="5" xfId="0" applyBorder="1"/>
    <xf numFmtId="0" fontId="0" fillId="3" borderId="67" xfId="0" applyFill="1" applyBorder="1"/>
    <xf numFmtId="0" fontId="0" fillId="3" borderId="68" xfId="0" applyFill="1" applyBorder="1"/>
    <xf numFmtId="9" fontId="0" fillId="3" borderId="33" xfId="2" applyFont="1" applyFill="1" applyBorder="1"/>
    <xf numFmtId="0" fontId="0" fillId="0" borderId="5" xfId="0" applyFill="1" applyBorder="1"/>
    <xf numFmtId="9" fontId="0" fillId="3" borderId="18" xfId="2" applyFont="1" applyFill="1" applyBorder="1"/>
    <xf numFmtId="0" fontId="8" fillId="0" borderId="25" xfId="0" applyFont="1" applyFill="1" applyBorder="1"/>
    <xf numFmtId="0" fontId="8" fillId="0" borderId="20" xfId="0" applyFont="1" applyFill="1" applyBorder="1"/>
    <xf numFmtId="0" fontId="0" fillId="3" borderId="69" xfId="0" applyFill="1" applyBorder="1"/>
    <xf numFmtId="2" fontId="0" fillId="9" borderId="32" xfId="0" applyNumberFormat="1" applyFill="1" applyBorder="1" applyProtection="1">
      <protection locked="0"/>
    </xf>
    <xf numFmtId="2" fontId="0" fillId="9" borderId="30" xfId="0" applyNumberFormat="1" applyFill="1" applyBorder="1" applyProtection="1">
      <protection locked="0"/>
    </xf>
    <xf numFmtId="2" fontId="0" fillId="9" borderId="6" xfId="0" applyNumberFormat="1" applyFill="1" applyBorder="1" applyProtection="1">
      <protection locked="0"/>
    </xf>
    <xf numFmtId="168" fontId="0" fillId="5" borderId="20" xfId="0" applyNumberFormat="1" applyFill="1" applyBorder="1" applyProtection="1">
      <protection locked="0"/>
    </xf>
    <xf numFmtId="0" fontId="0" fillId="9" borderId="31" xfId="0" applyFill="1" applyBorder="1" applyProtection="1">
      <protection locked="0"/>
    </xf>
    <xf numFmtId="0" fontId="0" fillId="9" borderId="33" xfId="0" applyFill="1" applyBorder="1" applyProtection="1">
      <protection locked="0"/>
    </xf>
    <xf numFmtId="0" fontId="0" fillId="9" borderId="29" xfId="0" applyFill="1" applyBorder="1" applyProtection="1">
      <protection locked="0"/>
    </xf>
    <xf numFmtId="0" fontId="0" fillId="9" borderId="9" xfId="0" applyFill="1" applyBorder="1" applyProtection="1">
      <protection locked="0"/>
    </xf>
    <xf numFmtId="0" fontId="0" fillId="9" borderId="5" xfId="0" applyFill="1" applyBorder="1" applyProtection="1">
      <protection locked="0"/>
    </xf>
    <xf numFmtId="0" fontId="0" fillId="9" borderId="18" xfId="0" applyFill="1" applyBorder="1" applyProtection="1">
      <protection locked="0"/>
    </xf>
    <xf numFmtId="0" fontId="0" fillId="0" borderId="7" xfId="0" applyBorder="1" applyProtection="1">
      <protection locked="0"/>
    </xf>
    <xf numFmtId="0" fontId="0" fillId="0" borderId="23" xfId="0" applyBorder="1" applyProtection="1">
      <protection locked="0"/>
    </xf>
    <xf numFmtId="0" fontId="2" fillId="2" borderId="27" xfId="0" applyFont="1" applyFill="1" applyBorder="1" applyProtection="1">
      <protection locked="0"/>
    </xf>
    <xf numFmtId="0" fontId="2" fillId="2" borderId="21" xfId="0" applyFont="1" applyFill="1" applyBorder="1" applyProtection="1">
      <protection locked="0"/>
    </xf>
    <xf numFmtId="0" fontId="2" fillId="2" borderId="24" xfId="0" applyFont="1" applyFill="1" applyBorder="1" applyProtection="1">
      <protection locked="0"/>
    </xf>
    <xf numFmtId="0" fontId="2" fillId="2" borderId="27" xfId="0" applyFont="1" applyFill="1" applyBorder="1" applyAlignment="1" applyProtection="1">
      <alignment horizontal="center"/>
    </xf>
    <xf numFmtId="0" fontId="2" fillId="2" borderId="21" xfId="0" applyFont="1" applyFill="1" applyBorder="1" applyAlignment="1" applyProtection="1">
      <alignment horizontal="center"/>
    </xf>
    <xf numFmtId="0" fontId="2" fillId="2" borderId="17" xfId="0" applyFont="1" applyFill="1" applyBorder="1" applyAlignment="1" applyProtection="1">
      <alignment horizontal="center"/>
    </xf>
    <xf numFmtId="0" fontId="2" fillId="2" borderId="4" xfId="0" applyFont="1" applyFill="1" applyBorder="1" applyAlignment="1" applyProtection="1">
      <alignment horizontal="center"/>
    </xf>
    <xf numFmtId="0" fontId="2" fillId="6" borderId="26" xfId="0" applyFont="1" applyFill="1" applyBorder="1" applyAlignment="1" applyProtection="1">
      <alignment horizontal="center" vertical="top" wrapText="1"/>
      <protection locked="0"/>
    </xf>
    <xf numFmtId="0" fontId="8" fillId="0" borderId="26" xfId="0" applyFont="1" applyBorder="1" applyProtection="1">
      <protection locked="0"/>
    </xf>
    <xf numFmtId="0" fontId="2" fillId="6" borderId="26" xfId="0" applyFont="1" applyFill="1" applyBorder="1" applyAlignment="1" applyProtection="1">
      <alignment horizontal="center"/>
      <protection locked="0"/>
    </xf>
    <xf numFmtId="0" fontId="8" fillId="6" borderId="70" xfId="0" applyFont="1" applyFill="1" applyBorder="1" applyAlignment="1" applyProtection="1">
      <alignment wrapText="1"/>
      <protection locked="0"/>
    </xf>
    <xf numFmtId="0" fontId="8" fillId="0" borderId="50" xfId="0" applyFont="1" applyBorder="1" applyProtection="1">
      <protection locked="0"/>
    </xf>
    <xf numFmtId="0" fontId="0" fillId="0" borderId="0" xfId="0" applyProtection="1"/>
    <xf numFmtId="2" fontId="4" fillId="0" borderId="0" xfId="0" applyNumberFormat="1" applyFont="1" applyProtection="1"/>
    <xf numFmtId="2" fontId="0" fillId="0" borderId="0" xfId="0" applyNumberFormat="1" applyProtection="1"/>
    <xf numFmtId="0" fontId="2" fillId="0" borderId="0" xfId="0" applyFont="1" applyAlignment="1" applyProtection="1">
      <alignment wrapText="1"/>
    </xf>
    <xf numFmtId="0" fontId="2" fillId="2" borderId="27" xfId="0" applyFont="1" applyFill="1" applyBorder="1" applyAlignment="1" applyProtection="1">
      <alignment horizontal="center" wrapText="1"/>
    </xf>
    <xf numFmtId="0" fontId="2" fillId="2" borderId="34" xfId="0" applyFont="1" applyFill="1" applyBorder="1" applyAlignment="1" applyProtection="1">
      <alignment horizontal="center" wrapText="1"/>
    </xf>
    <xf numFmtId="0" fontId="2" fillId="2" borderId="45" xfId="0" applyFont="1" applyFill="1" applyBorder="1" applyAlignment="1" applyProtection="1">
      <alignment horizontal="center" wrapText="1"/>
    </xf>
    <xf numFmtId="2" fontId="2" fillId="2" borderId="45" xfId="0" applyNumberFormat="1" applyFont="1" applyFill="1" applyBorder="1" applyAlignment="1" applyProtection="1">
      <alignment horizontal="center" wrapText="1"/>
    </xf>
    <xf numFmtId="0" fontId="2" fillId="2" borderId="26" xfId="0" applyFont="1" applyFill="1" applyBorder="1" applyAlignment="1" applyProtection="1">
      <alignment horizontal="center" wrapText="1"/>
    </xf>
    <xf numFmtId="0" fontId="2" fillId="2" borderId="34" xfId="0" applyFont="1" applyFill="1" applyBorder="1" applyAlignment="1" applyProtection="1">
      <alignment horizontal="center"/>
    </xf>
    <xf numFmtId="0" fontId="0" fillId="0" borderId="0" xfId="0" applyAlignment="1" applyProtection="1">
      <alignment wrapText="1"/>
    </xf>
    <xf numFmtId="0" fontId="0" fillId="2" borderId="7" xfId="0" applyFill="1" applyBorder="1" applyAlignment="1" applyProtection="1">
      <alignment horizontal="center" wrapText="1"/>
    </xf>
    <xf numFmtId="0" fontId="0" fillId="2" borderId="50" xfId="0" applyFill="1" applyBorder="1" applyAlignment="1" applyProtection="1">
      <alignment horizontal="center" wrapText="1"/>
    </xf>
    <xf numFmtId="0" fontId="0" fillId="2" borderId="40" xfId="0" applyFill="1" applyBorder="1" applyAlignment="1" applyProtection="1">
      <alignment horizontal="center" wrapText="1"/>
    </xf>
    <xf numFmtId="2" fontId="0" fillId="2" borderId="49" xfId="0" applyNumberFormat="1" applyFill="1" applyBorder="1" applyAlignment="1" applyProtection="1">
      <alignment horizontal="center" wrapText="1"/>
    </xf>
    <xf numFmtId="0" fontId="0" fillId="2" borderId="22" xfId="0" applyFill="1" applyBorder="1" applyProtection="1"/>
    <xf numFmtId="0" fontId="0" fillId="2" borderId="50" xfId="0" applyFill="1" applyBorder="1" applyProtection="1"/>
    <xf numFmtId="0" fontId="0" fillId="2" borderId="26" xfId="0" applyFill="1" applyBorder="1" applyAlignment="1" applyProtection="1">
      <alignment horizontal="center" wrapText="1"/>
    </xf>
    <xf numFmtId="0" fontId="0" fillId="3" borderId="26" xfId="0" applyFill="1" applyBorder="1" applyAlignment="1" applyProtection="1">
      <alignment horizontal="center" wrapText="1"/>
    </xf>
    <xf numFmtId="0" fontId="0" fillId="2" borderId="45" xfId="0" applyFill="1" applyBorder="1" applyAlignment="1" applyProtection="1">
      <alignment horizontal="center" wrapText="1"/>
    </xf>
    <xf numFmtId="2" fontId="0" fillId="2" borderId="45" xfId="0" applyNumberFormat="1" applyFill="1" applyBorder="1" applyAlignment="1" applyProtection="1">
      <alignment horizontal="center" wrapText="1"/>
    </xf>
    <xf numFmtId="0" fontId="0" fillId="3" borderId="26" xfId="0" applyFill="1" applyBorder="1" applyAlignment="1" applyProtection="1">
      <alignment horizontal="center"/>
    </xf>
    <xf numFmtId="0" fontId="0" fillId="2" borderId="34" xfId="0" applyFill="1" applyBorder="1" applyProtection="1"/>
    <xf numFmtId="0" fontId="0" fillId="2" borderId="35" xfId="0" applyFill="1" applyBorder="1" applyAlignment="1" applyProtection="1">
      <alignment horizontal="center" wrapText="1"/>
    </xf>
    <xf numFmtId="2" fontId="0" fillId="2" borderId="35" xfId="0" applyNumberFormat="1" applyFill="1" applyBorder="1" applyAlignment="1" applyProtection="1">
      <alignment horizontal="center" wrapText="1"/>
    </xf>
    <xf numFmtId="0" fontId="0" fillId="2" borderId="25" xfId="0" applyFill="1" applyBorder="1" applyProtection="1"/>
    <xf numFmtId="0" fontId="0" fillId="2" borderId="47" xfId="0" applyFill="1" applyBorder="1" applyProtection="1"/>
    <xf numFmtId="0" fontId="0" fillId="2" borderId="64" xfId="0" applyFill="1" applyBorder="1" applyAlignment="1" applyProtection="1">
      <alignment horizontal="center" wrapText="1"/>
    </xf>
    <xf numFmtId="0" fontId="0" fillId="2" borderId="8" xfId="0" applyFill="1" applyBorder="1" applyAlignment="1" applyProtection="1">
      <alignment horizontal="center" wrapText="1"/>
    </xf>
    <xf numFmtId="2" fontId="0" fillId="2" borderId="8" xfId="0" applyNumberFormat="1" applyFill="1" applyBorder="1" applyAlignment="1" applyProtection="1">
      <alignment horizontal="center" wrapText="1"/>
    </xf>
    <xf numFmtId="0" fontId="0" fillId="2" borderId="20" xfId="0" applyFill="1" applyBorder="1" applyAlignment="1" applyProtection="1">
      <alignment horizontal="center"/>
    </xf>
    <xf numFmtId="0" fontId="0" fillId="2" borderId="64" xfId="0" applyFill="1" applyBorder="1" applyProtection="1"/>
    <xf numFmtId="0" fontId="0" fillId="0" borderId="11" xfId="0" applyFill="1" applyBorder="1" applyProtection="1"/>
    <xf numFmtId="2" fontId="0" fillId="0" borderId="11" xfId="0" applyNumberFormat="1" applyFill="1" applyBorder="1" applyProtection="1"/>
    <xf numFmtId="2" fontId="0" fillId="9" borderId="3" xfId="0" applyNumberFormat="1" applyFill="1" applyBorder="1" applyProtection="1"/>
    <xf numFmtId="0" fontId="0" fillId="9" borderId="55" xfId="0" applyFill="1" applyBorder="1" applyProtection="1"/>
    <xf numFmtId="0" fontId="0" fillId="0" borderId="2" xfId="0" applyBorder="1" applyProtection="1"/>
    <xf numFmtId="0" fontId="0" fillId="9" borderId="48" xfId="0" applyFill="1" applyBorder="1" applyProtection="1"/>
    <xf numFmtId="0" fontId="0" fillId="0" borderId="8" xfId="0" applyBorder="1" applyProtection="1"/>
    <xf numFmtId="2" fontId="0" fillId="0" borderId="8" xfId="0" applyNumberFormat="1" applyFill="1" applyBorder="1" applyProtection="1"/>
    <xf numFmtId="2" fontId="0" fillId="9" borderId="20" xfId="0" applyNumberFormat="1" applyFill="1" applyBorder="1" applyProtection="1"/>
    <xf numFmtId="0" fontId="0" fillId="9" borderId="64" xfId="0" applyFill="1" applyBorder="1" applyProtection="1"/>
    <xf numFmtId="0" fontId="16" fillId="0" borderId="0" xfId="0" applyFont="1" applyBorder="1"/>
    <xf numFmtId="0" fontId="0" fillId="5" borderId="39" xfId="0" applyFill="1" applyBorder="1" applyProtection="1">
      <protection locked="0"/>
    </xf>
    <xf numFmtId="0" fontId="2" fillId="2" borderId="54" xfId="0" applyFont="1" applyFill="1" applyBorder="1" applyProtection="1"/>
    <xf numFmtId="0" fontId="0" fillId="5" borderId="46" xfId="0" applyFill="1" applyBorder="1" applyProtection="1">
      <protection locked="0"/>
    </xf>
    <xf numFmtId="0" fontId="0" fillId="0" borderId="0" xfId="0" applyBorder="1" applyProtection="1">
      <protection locked="0"/>
    </xf>
    <xf numFmtId="0" fontId="0" fillId="2" borderId="46" xfId="0" applyFill="1" applyBorder="1" applyProtection="1">
      <protection locked="0"/>
    </xf>
    <xf numFmtId="0" fontId="0" fillId="2" borderId="36" xfId="0" applyFill="1" applyBorder="1" applyProtection="1"/>
    <xf numFmtId="0" fontId="0" fillId="5" borderId="26" xfId="0" applyFill="1" applyBorder="1" applyProtection="1">
      <protection locked="0"/>
    </xf>
    <xf numFmtId="0" fontId="0" fillId="2" borderId="26" xfId="0" applyFill="1" applyBorder="1"/>
    <xf numFmtId="0" fontId="0" fillId="2" borderId="52" xfId="0" applyFill="1" applyBorder="1"/>
    <xf numFmtId="0" fontId="2" fillId="2" borderId="16" xfId="0" applyFont="1" applyFill="1" applyBorder="1" applyAlignment="1">
      <alignment horizontal="left"/>
    </xf>
    <xf numFmtId="0" fontId="21" fillId="2" borderId="0" xfId="0" applyFont="1" applyFill="1" applyAlignment="1"/>
    <xf numFmtId="0" fontId="22" fillId="2" borderId="0" xfId="0" applyFont="1" applyFill="1" applyAlignment="1">
      <alignment vertical="top" wrapText="1"/>
    </xf>
    <xf numFmtId="0" fontId="1" fillId="2" borderId="0" xfId="0" applyFont="1" applyFill="1"/>
    <xf numFmtId="0" fontId="2" fillId="6" borderId="45" xfId="0" applyFont="1" applyFill="1" applyBorder="1" applyAlignment="1">
      <alignment horizontal="left" vertical="top" wrapText="1" indent="1"/>
    </xf>
    <xf numFmtId="0" fontId="2" fillId="6" borderId="29" xfId="0" applyFont="1" applyFill="1" applyBorder="1" applyAlignment="1">
      <alignment vertical="center" wrapText="1"/>
    </xf>
    <xf numFmtId="0" fontId="2" fillId="2" borderId="39" xfId="0" applyFont="1" applyFill="1" applyBorder="1" applyAlignment="1">
      <alignment horizontal="center" vertical="center" wrapText="1"/>
    </xf>
    <xf numFmtId="0" fontId="0" fillId="2" borderId="71" xfId="0" applyFill="1" applyBorder="1" applyAlignment="1">
      <alignment horizontal="center" wrapText="1"/>
    </xf>
    <xf numFmtId="0" fontId="0" fillId="2" borderId="72" xfId="0" applyFill="1" applyBorder="1" applyAlignment="1">
      <alignment horizontal="center" wrapText="1"/>
    </xf>
    <xf numFmtId="0" fontId="0" fillId="2" borderId="73" xfId="0" applyFill="1" applyBorder="1" applyAlignment="1">
      <alignment horizontal="center" wrapText="1"/>
    </xf>
    <xf numFmtId="0" fontId="2" fillId="2" borderId="25" xfId="0" applyFont="1" applyFill="1" applyBorder="1" applyAlignment="1">
      <alignment horizontal="center" vertical="center" wrapText="1"/>
    </xf>
    <xf numFmtId="3" fontId="2" fillId="2" borderId="39" xfId="0" applyNumberFormat="1" applyFont="1" applyFill="1" applyBorder="1" applyAlignment="1">
      <alignment horizontal="center" vertical="center" wrapText="1"/>
    </xf>
    <xf numFmtId="3" fontId="2" fillId="2" borderId="31" xfId="0" applyNumberFormat="1" applyFont="1" applyFill="1" applyBorder="1" applyAlignment="1">
      <alignment horizontal="center" vertical="center" wrapText="1"/>
    </xf>
    <xf numFmtId="3" fontId="2" fillId="2" borderId="32" xfId="0" applyNumberFormat="1" applyFont="1" applyFill="1" applyBorder="1" applyAlignment="1">
      <alignment horizontal="center" vertical="center" wrapText="1"/>
    </xf>
    <xf numFmtId="3" fontId="2" fillId="2" borderId="25" xfId="0" applyNumberFormat="1" applyFont="1" applyFill="1" applyBorder="1" applyAlignment="1">
      <alignment horizontal="center" vertical="center" wrapText="1"/>
    </xf>
    <xf numFmtId="3" fontId="2" fillId="2" borderId="61" xfId="0" applyNumberFormat="1" applyFont="1" applyFill="1" applyBorder="1" applyAlignment="1">
      <alignment horizontal="center" vertical="center" wrapText="1"/>
    </xf>
    <xf numFmtId="3" fontId="2" fillId="11" borderId="0" xfId="0" applyNumberFormat="1" applyFont="1" applyFill="1" applyBorder="1" applyAlignment="1">
      <alignment horizontal="center" vertical="center" wrapText="1"/>
    </xf>
    <xf numFmtId="3" fontId="2" fillId="8" borderId="26" xfId="0" applyNumberFormat="1" applyFont="1" applyFill="1" applyBorder="1" applyAlignment="1">
      <alignment horizontal="center" vertical="center" wrapText="1"/>
    </xf>
    <xf numFmtId="0" fontId="8" fillId="12" borderId="5" xfId="0" applyFont="1" applyFill="1" applyBorder="1" applyAlignment="1">
      <alignment horizontal="center" vertical="top"/>
    </xf>
    <xf numFmtId="49" fontId="8" fillId="12" borderId="18" xfId="0" applyNumberFormat="1" applyFont="1" applyFill="1" applyBorder="1" applyAlignment="1">
      <alignment horizontal="center" vertical="top"/>
    </xf>
    <xf numFmtId="0" fontId="24" fillId="2" borderId="32" xfId="0" applyFont="1" applyFill="1" applyBorder="1" applyAlignment="1" applyProtection="1">
      <alignment horizontal="center" wrapText="1"/>
    </xf>
    <xf numFmtId="0" fontId="25" fillId="13" borderId="0" xfId="0" applyFont="1" applyFill="1"/>
    <xf numFmtId="0" fontId="0" fillId="13" borderId="0" xfId="0" applyFill="1"/>
    <xf numFmtId="0" fontId="0" fillId="13" borderId="30" xfId="0" applyFill="1" applyBorder="1"/>
    <xf numFmtId="0" fontId="0" fillId="13" borderId="0" xfId="0" applyFill="1" applyBorder="1"/>
    <xf numFmtId="0" fontId="24" fillId="13" borderId="0" xfId="0" applyFont="1" applyFill="1" applyBorder="1" applyAlignment="1">
      <alignment horizontal="center"/>
    </xf>
    <xf numFmtId="0" fontId="0" fillId="13" borderId="0" xfId="0" applyFill="1" applyBorder="1" applyAlignment="1">
      <alignment horizontal="center"/>
    </xf>
    <xf numFmtId="0" fontId="24" fillId="13" borderId="0" xfId="0" applyFont="1" applyFill="1" applyBorder="1"/>
    <xf numFmtId="0" fontId="0" fillId="13" borderId="51" xfId="0" applyFill="1" applyBorder="1"/>
    <xf numFmtId="0" fontId="0" fillId="0" borderId="25" xfId="0" applyBorder="1" applyAlignment="1">
      <alignment horizontal="right" vertical="center"/>
    </xf>
    <xf numFmtId="0" fontId="0" fillId="0" borderId="1" xfId="0" applyBorder="1" applyAlignment="1">
      <alignment horizontal="right" vertical="center"/>
    </xf>
    <xf numFmtId="0" fontId="0" fillId="0" borderId="20" xfId="0" applyBorder="1" applyAlignment="1">
      <alignment horizontal="right" vertical="center"/>
    </xf>
    <xf numFmtId="0" fontId="24" fillId="0" borderId="0" xfId="0" applyFont="1"/>
    <xf numFmtId="0" fontId="0" fillId="14" borderId="0" xfId="0" applyFill="1" applyBorder="1"/>
    <xf numFmtId="3" fontId="0" fillId="14" borderId="0" xfId="0" applyNumberFormat="1" applyFill="1" applyBorder="1"/>
    <xf numFmtId="0" fontId="2" fillId="0" borderId="0" xfId="0" applyFont="1" applyFill="1" applyBorder="1" applyAlignment="1">
      <alignment vertical="top" wrapText="1"/>
    </xf>
    <xf numFmtId="0" fontId="8" fillId="0" borderId="0" xfId="0" applyFont="1" applyFill="1" applyBorder="1" applyAlignment="1">
      <alignment horizontal="center" vertical="top"/>
    </xf>
    <xf numFmtId="49" fontId="8" fillId="0" borderId="0" xfId="0" applyNumberFormat="1" applyFont="1" applyFill="1" applyBorder="1" applyAlignment="1">
      <alignment horizontal="center" vertical="top"/>
    </xf>
    <xf numFmtId="0" fontId="2" fillId="6" borderId="2" xfId="0" applyFont="1" applyFill="1" applyBorder="1" applyAlignment="1">
      <alignment horizontal="left" vertical="top" wrapText="1" indent="3"/>
    </xf>
    <xf numFmtId="0" fontId="2" fillId="6" borderId="57" xfId="0" applyFont="1" applyFill="1" applyBorder="1" applyAlignment="1">
      <alignment horizontal="left" vertical="top" wrapText="1" indent="3"/>
    </xf>
    <xf numFmtId="0" fontId="8" fillId="0" borderId="0" xfId="0" applyFont="1" applyFill="1" applyBorder="1" applyAlignment="1">
      <alignment horizontal="center"/>
    </xf>
    <xf numFmtId="0" fontId="0" fillId="0" borderId="0" xfId="0" applyFill="1" applyBorder="1" applyAlignment="1">
      <alignment horizontal="center"/>
    </xf>
    <xf numFmtId="0" fontId="8" fillId="0" borderId="0" xfId="0" applyFont="1" applyFill="1" applyBorder="1" applyAlignment="1">
      <alignment horizontal="left"/>
    </xf>
    <xf numFmtId="2" fontId="8" fillId="0" borderId="0" xfId="0" applyNumberFormat="1" applyFont="1" applyFill="1" applyBorder="1"/>
    <xf numFmtId="0" fontId="2" fillId="6" borderId="49" xfId="0" applyFont="1" applyFill="1" applyBorder="1" applyAlignment="1">
      <alignment vertical="top" wrapText="1"/>
    </xf>
    <xf numFmtId="0" fontId="8" fillId="12" borderId="7" xfId="0" applyFont="1" applyFill="1" applyBorder="1" applyAlignment="1">
      <alignment horizontal="center" vertical="top"/>
    </xf>
    <xf numFmtId="49" fontId="8" fillId="12" borderId="23" xfId="0" applyNumberFormat="1" applyFont="1" applyFill="1" applyBorder="1" applyAlignment="1">
      <alignment horizontal="center" vertical="top"/>
    </xf>
    <xf numFmtId="0" fontId="8" fillId="12" borderId="29" xfId="0" applyFont="1" applyFill="1" applyBorder="1" applyAlignment="1">
      <alignment horizontal="center" vertical="top"/>
    </xf>
    <xf numFmtId="49" fontId="8" fillId="12" borderId="9" xfId="0" applyNumberFormat="1" applyFont="1" applyFill="1" applyBorder="1" applyAlignment="1">
      <alignment horizontal="center" vertical="top"/>
    </xf>
    <xf numFmtId="0" fontId="0" fillId="15" borderId="27" xfId="0" applyFill="1" applyBorder="1"/>
    <xf numFmtId="0" fontId="8" fillId="0" borderId="53" xfId="0" applyFont="1" applyBorder="1"/>
    <xf numFmtId="0" fontId="8" fillId="0" borderId="1" xfId="0" applyFont="1" applyBorder="1"/>
    <xf numFmtId="0" fontId="8" fillId="0" borderId="3" xfId="0" applyFont="1" applyBorder="1"/>
    <xf numFmtId="3" fontId="0" fillId="14" borderId="32" xfId="0" applyNumberFormat="1" applyFill="1" applyBorder="1" applyProtection="1">
      <protection locked="0"/>
    </xf>
    <xf numFmtId="3" fontId="0" fillId="14" borderId="68" xfId="0" applyNumberFormat="1" applyFill="1" applyBorder="1" applyProtection="1">
      <protection locked="0"/>
    </xf>
    <xf numFmtId="3" fontId="0" fillId="14" borderId="69" xfId="0" applyNumberFormat="1" applyFill="1" applyBorder="1" applyProtection="1">
      <protection locked="0"/>
    </xf>
    <xf numFmtId="168" fontId="1" fillId="0" borderId="52" xfId="0" applyNumberFormat="1" applyFont="1" applyFill="1" applyBorder="1" applyAlignment="1">
      <alignment horizontal="center"/>
    </xf>
    <xf numFmtId="4" fontId="0" fillId="0" borderId="54" xfId="0" applyNumberFormat="1" applyBorder="1" applyProtection="1"/>
    <xf numFmtId="0" fontId="8" fillId="13" borderId="0" xfId="0" applyFont="1" applyFill="1"/>
    <xf numFmtId="4" fontId="0" fillId="0" borderId="30" xfId="0" applyNumberFormat="1" applyBorder="1" applyProtection="1"/>
    <xf numFmtId="4" fontId="0" fillId="0" borderId="6" xfId="0" applyNumberFormat="1" applyBorder="1" applyProtection="1"/>
    <xf numFmtId="10" fontId="27" fillId="14" borderId="51" xfId="2" applyNumberFormat="1" applyFont="1" applyFill="1" applyBorder="1"/>
    <xf numFmtId="0" fontId="8" fillId="18" borderId="20" xfId="0" applyFont="1" applyFill="1" applyBorder="1" applyAlignment="1">
      <alignment horizontal="center" vertical="center" wrapText="1"/>
    </xf>
    <xf numFmtId="0" fontId="24" fillId="18" borderId="52" xfId="0" applyFont="1" applyFill="1" applyBorder="1" applyAlignment="1">
      <alignment horizontal="center"/>
    </xf>
    <xf numFmtId="0" fontId="0" fillId="18" borderId="52" xfId="0" applyFill="1" applyBorder="1" applyAlignment="1">
      <alignment horizontal="center" vertical="center" wrapText="1"/>
    </xf>
    <xf numFmtId="0" fontId="8" fillId="18" borderId="52" xfId="0" applyFont="1" applyFill="1" applyBorder="1" applyAlignment="1">
      <alignment horizontal="center" vertical="center" wrapText="1"/>
    </xf>
    <xf numFmtId="0" fontId="24" fillId="18" borderId="52" xfId="0" applyFont="1" applyFill="1" applyBorder="1" applyAlignment="1">
      <alignment horizontal="center" vertical="center" wrapText="1"/>
    </xf>
    <xf numFmtId="0" fontId="24" fillId="18" borderId="70" xfId="0" applyFont="1" applyFill="1" applyBorder="1" applyAlignment="1">
      <alignment horizontal="center"/>
    </xf>
    <xf numFmtId="0" fontId="15" fillId="0" borderId="25" xfId="0" applyFont="1" applyFill="1" applyBorder="1"/>
    <xf numFmtId="0" fontId="0" fillId="2" borderId="18" xfId="0" applyFill="1" applyBorder="1" applyAlignment="1">
      <alignment horizontal="center" wrapText="1"/>
    </xf>
    <xf numFmtId="0" fontId="0" fillId="3" borderId="48" xfId="0" applyFill="1" applyBorder="1" applyAlignment="1">
      <alignment horizontal="right"/>
    </xf>
    <xf numFmtId="0" fontId="0" fillId="3" borderId="9" xfId="0" applyFill="1" applyBorder="1" applyAlignment="1">
      <alignment horizontal="right"/>
    </xf>
    <xf numFmtId="0" fontId="2" fillId="0" borderId="0" xfId="0" applyFont="1" applyBorder="1"/>
    <xf numFmtId="3" fontId="2" fillId="0" borderId="0" xfId="0" applyNumberFormat="1" applyFont="1" applyBorder="1"/>
    <xf numFmtId="3" fontId="0" fillId="0" borderId="0" xfId="0" applyNumberFormat="1" applyBorder="1"/>
    <xf numFmtId="0" fontId="2" fillId="0" borderId="76" xfId="0" applyFont="1" applyBorder="1"/>
    <xf numFmtId="0" fontId="2" fillId="0" borderId="50" xfId="0" applyFont="1" applyBorder="1"/>
    <xf numFmtId="3" fontId="2" fillId="2" borderId="17" xfId="0" applyNumberFormat="1" applyFont="1" applyFill="1" applyBorder="1" applyAlignment="1">
      <alignment horizontal="center" wrapText="1"/>
    </xf>
    <xf numFmtId="3" fontId="2" fillId="2" borderId="13" xfId="0" applyNumberFormat="1" applyFont="1" applyFill="1" applyBorder="1" applyAlignment="1">
      <alignment horizontal="center" wrapText="1"/>
    </xf>
    <xf numFmtId="3" fontId="2" fillId="2" borderId="65" xfId="0" applyNumberFormat="1" applyFont="1" applyFill="1" applyBorder="1" applyAlignment="1">
      <alignment horizontal="center" wrapText="1"/>
    </xf>
    <xf numFmtId="0" fontId="2" fillId="2" borderId="27" xfId="0" applyNumberFormat="1" applyFont="1" applyFill="1" applyBorder="1" applyAlignment="1">
      <alignment horizontal="center" wrapText="1"/>
    </xf>
    <xf numFmtId="0" fontId="2" fillId="2" borderId="28" xfId="0" applyNumberFormat="1" applyFont="1" applyFill="1" applyBorder="1" applyAlignment="1">
      <alignment horizontal="center" wrapText="1"/>
    </xf>
    <xf numFmtId="0" fontId="2" fillId="2" borderId="21" xfId="0" applyNumberFormat="1" applyFont="1" applyFill="1" applyBorder="1" applyAlignment="1">
      <alignment horizontal="center" wrapText="1"/>
    </xf>
    <xf numFmtId="3" fontId="2" fillId="2" borderId="24" xfId="0" applyNumberFormat="1" applyFont="1" applyFill="1" applyBorder="1" applyAlignment="1">
      <alignment horizontal="center" wrapText="1"/>
    </xf>
    <xf numFmtId="3" fontId="2" fillId="2" borderId="28" xfId="0" applyNumberFormat="1" applyFont="1" applyFill="1" applyBorder="1" applyAlignment="1">
      <alignment horizontal="center" wrapText="1"/>
    </xf>
    <xf numFmtId="3" fontId="2" fillId="2" borderId="21" xfId="0" applyNumberFormat="1" applyFont="1" applyFill="1" applyBorder="1" applyAlignment="1">
      <alignment horizontal="center" wrapText="1"/>
    </xf>
    <xf numFmtId="0" fontId="0" fillId="2" borderId="27" xfId="0" applyFill="1" applyBorder="1" applyAlignment="1">
      <alignment horizontal="center" wrapText="1"/>
    </xf>
    <xf numFmtId="0" fontId="0" fillId="2" borderId="28" xfId="0" applyNumberFormat="1" applyFill="1" applyBorder="1" applyAlignment="1">
      <alignment horizontal="center" wrapText="1"/>
    </xf>
    <xf numFmtId="0" fontId="0" fillId="2" borderId="21" xfId="0" applyNumberFormat="1" applyFill="1" applyBorder="1" applyAlignment="1">
      <alignment horizontal="center" wrapText="1"/>
    </xf>
    <xf numFmtId="0" fontId="0" fillId="2" borderId="27" xfId="0" applyNumberFormat="1" applyFill="1" applyBorder="1" applyAlignment="1">
      <alignment horizontal="center" wrapText="1"/>
    </xf>
    <xf numFmtId="0" fontId="0" fillId="0" borderId="50" xfId="0" applyNumberFormat="1" applyFill="1" applyBorder="1" applyAlignment="1">
      <alignment horizontal="center" wrapText="1"/>
    </xf>
    <xf numFmtId="0" fontId="0" fillId="0" borderId="45" xfId="0" applyBorder="1"/>
    <xf numFmtId="3" fontId="0" fillId="0" borderId="27" xfId="0" applyNumberFormat="1" applyBorder="1"/>
    <xf numFmtId="3" fontId="0" fillId="0" borderId="28" xfId="0" applyNumberFormat="1" applyBorder="1"/>
    <xf numFmtId="3" fontId="0" fillId="0" borderId="21" xfId="0" applyNumberFormat="1" applyBorder="1"/>
    <xf numFmtId="0" fontId="0" fillId="0" borderId="24" xfId="0" applyBorder="1"/>
    <xf numFmtId="0" fontId="0" fillId="0" borderId="28" xfId="0" applyBorder="1"/>
    <xf numFmtId="0" fontId="0" fillId="0" borderId="50" xfId="0" applyBorder="1"/>
    <xf numFmtId="0" fontId="0" fillId="0" borderId="17" xfId="0" applyBorder="1"/>
    <xf numFmtId="0" fontId="0" fillId="0" borderId="13" xfId="0" applyBorder="1"/>
    <xf numFmtId="0" fontId="0" fillId="0" borderId="4" xfId="0" applyBorder="1"/>
    <xf numFmtId="3" fontId="0" fillId="0" borderId="24" xfId="0" applyNumberFormat="1" applyBorder="1"/>
    <xf numFmtId="0" fontId="1" fillId="0" borderId="11" xfId="0" applyFont="1" applyBorder="1" applyAlignment="1">
      <alignment horizontal="center"/>
    </xf>
    <xf numFmtId="3" fontId="1" fillId="10" borderId="31" xfId="0" applyNumberFormat="1" applyFont="1" applyFill="1" applyBorder="1" applyAlignment="1">
      <alignment horizontal="right"/>
    </xf>
    <xf numFmtId="3" fontId="0" fillId="10" borderId="32" xfId="0" applyNumberFormat="1" applyFill="1" applyBorder="1"/>
    <xf numFmtId="3" fontId="0" fillId="10" borderId="33" xfId="0" applyNumberFormat="1" applyFill="1" applyBorder="1"/>
    <xf numFmtId="3" fontId="0" fillId="10" borderId="31" xfId="0" applyNumberFormat="1" applyFill="1" applyBorder="1"/>
    <xf numFmtId="3" fontId="0" fillId="6" borderId="31" xfId="0" applyNumberFormat="1" applyFill="1" applyBorder="1"/>
    <xf numFmtId="3" fontId="0" fillId="6" borderId="32" xfId="0" applyNumberFormat="1" applyFill="1" applyBorder="1"/>
    <xf numFmtId="3" fontId="0" fillId="6" borderId="33" xfId="0" applyNumberFormat="1" applyFill="1" applyBorder="1"/>
    <xf numFmtId="3" fontId="0" fillId="6" borderId="44" xfId="0" applyNumberFormat="1" applyFill="1" applyBorder="1"/>
    <xf numFmtId="0" fontId="1" fillId="0" borderId="2" xfId="0" applyFont="1" applyBorder="1" applyAlignment="1">
      <alignment horizontal="center"/>
    </xf>
    <xf numFmtId="3" fontId="1" fillId="10" borderId="29" xfId="0" applyNumberFormat="1" applyFont="1" applyFill="1" applyBorder="1" applyAlignment="1">
      <alignment horizontal="right"/>
    </xf>
    <xf numFmtId="3" fontId="0" fillId="10" borderId="30" xfId="0" applyNumberFormat="1" applyFill="1" applyBorder="1"/>
    <xf numFmtId="3" fontId="0" fillId="10" borderId="9" xfId="0" applyNumberFormat="1" applyFill="1" applyBorder="1"/>
    <xf numFmtId="3" fontId="0" fillId="10" borderId="29" xfId="0" applyNumberFormat="1" applyFill="1" applyBorder="1"/>
    <xf numFmtId="3" fontId="0" fillId="6" borderId="29" xfId="0" applyNumberFormat="1" applyFill="1" applyBorder="1"/>
    <xf numFmtId="3" fontId="0" fillId="6" borderId="30" xfId="0" applyNumberFormat="1" applyFill="1" applyBorder="1"/>
    <xf numFmtId="3" fontId="0" fillId="6" borderId="9" xfId="0" applyNumberFormat="1" applyFill="1" applyBorder="1"/>
    <xf numFmtId="3" fontId="0" fillId="6" borderId="43" xfId="0" applyNumberFormat="1" applyFill="1" applyBorder="1"/>
    <xf numFmtId="0" fontId="1" fillId="0" borderId="8" xfId="0" applyFont="1" applyBorder="1" applyAlignment="1">
      <alignment horizontal="center"/>
    </xf>
    <xf numFmtId="3" fontId="1" fillId="10" borderId="5" xfId="0" applyNumberFormat="1" applyFont="1" applyFill="1" applyBorder="1" applyAlignment="1">
      <alignment horizontal="right"/>
    </xf>
    <xf numFmtId="3" fontId="0" fillId="10" borderId="6" xfId="0" applyNumberFormat="1" applyFill="1" applyBorder="1"/>
    <xf numFmtId="3" fontId="0" fillId="10" borderId="18" xfId="0" applyNumberFormat="1" applyFill="1" applyBorder="1"/>
    <xf numFmtId="3" fontId="0" fillId="10" borderId="5" xfId="0" applyNumberFormat="1" applyFill="1" applyBorder="1"/>
    <xf numFmtId="3" fontId="0" fillId="6" borderId="5" xfId="0" applyNumberFormat="1" applyFill="1" applyBorder="1"/>
    <xf numFmtId="3" fontId="0" fillId="6" borderId="6" xfId="0" applyNumberFormat="1" applyFill="1" applyBorder="1"/>
    <xf numFmtId="3" fontId="0" fillId="6" borderId="18" xfId="0" applyNumberFormat="1" applyFill="1" applyBorder="1"/>
    <xf numFmtId="3" fontId="0" fillId="6" borderId="63" xfId="0" applyNumberFormat="1" applyFill="1" applyBorder="1"/>
    <xf numFmtId="0" fontId="0" fillId="0" borderId="0" xfId="0" applyBorder="1" applyAlignment="1">
      <alignment horizontal="center"/>
    </xf>
    <xf numFmtId="0" fontId="1" fillId="0" borderId="0" xfId="0" applyFont="1" applyBorder="1" applyAlignment="1">
      <alignment horizontal="center"/>
    </xf>
    <xf numFmtId="3" fontId="2" fillId="0" borderId="26" xfId="0" applyNumberFormat="1" applyFont="1" applyBorder="1"/>
    <xf numFmtId="3" fontId="28" fillId="0" borderId="0" xfId="0" applyNumberFormat="1" applyFont="1" applyBorder="1"/>
    <xf numFmtId="3" fontId="4" fillId="0" borderId="0" xfId="0" applyNumberFormat="1" applyFont="1" applyBorder="1"/>
    <xf numFmtId="3" fontId="1" fillId="0" borderId="0" xfId="0" applyNumberFormat="1" applyFont="1" applyBorder="1"/>
    <xf numFmtId="3" fontId="2" fillId="2" borderId="52" xfId="0" applyNumberFormat="1" applyFont="1" applyFill="1" applyBorder="1"/>
    <xf numFmtId="3" fontId="2" fillId="2" borderId="31" xfId="0" applyNumberFormat="1" applyFont="1" applyFill="1" applyBorder="1"/>
    <xf numFmtId="0" fontId="1" fillId="2" borderId="32" xfId="0" applyFont="1" applyFill="1" applyBorder="1" applyAlignment="1">
      <alignment horizontal="center"/>
    </xf>
    <xf numFmtId="3" fontId="2" fillId="2" borderId="32" xfId="0" applyNumberFormat="1" applyFont="1" applyFill="1" applyBorder="1"/>
    <xf numFmtId="0" fontId="2" fillId="2" borderId="32" xfId="0" applyFont="1" applyFill="1" applyBorder="1" applyAlignment="1">
      <alignment horizontal="center"/>
    </xf>
    <xf numFmtId="0" fontId="1" fillId="2" borderId="33" xfId="0" applyFont="1" applyFill="1" applyBorder="1" applyAlignment="1">
      <alignment horizontal="center"/>
    </xf>
    <xf numFmtId="3" fontId="0" fillId="0" borderId="0" xfId="0" applyNumberFormat="1" applyFill="1" applyBorder="1"/>
    <xf numFmtId="0" fontId="1" fillId="0" borderId="0" xfId="0" applyFont="1" applyFill="1" applyBorder="1" applyAlignment="1">
      <alignment horizontal="center"/>
    </xf>
    <xf numFmtId="3" fontId="2" fillId="2" borderId="29" xfId="0" applyNumberFormat="1" applyFont="1" applyFill="1" applyBorder="1"/>
    <xf numFmtId="0" fontId="1" fillId="2" borderId="30" xfId="0" applyFont="1" applyFill="1" applyBorder="1" applyAlignment="1">
      <alignment horizontal="center"/>
    </xf>
    <xf numFmtId="3" fontId="2" fillId="2" borderId="30" xfId="0" applyNumberFormat="1" applyFont="1" applyFill="1" applyBorder="1"/>
    <xf numFmtId="0" fontId="2" fillId="2" borderId="30" xfId="0" applyFont="1" applyFill="1" applyBorder="1" applyAlignment="1">
      <alignment horizontal="center"/>
    </xf>
    <xf numFmtId="0" fontId="1" fillId="2" borderId="9" xfId="0" applyFont="1" applyFill="1" applyBorder="1" applyAlignment="1">
      <alignment horizontal="center"/>
    </xf>
    <xf numFmtId="3" fontId="2" fillId="2" borderId="5" xfId="0" applyNumberFormat="1" applyFont="1" applyFill="1" applyBorder="1"/>
    <xf numFmtId="0" fontId="1" fillId="2" borderId="6" xfId="0" applyFont="1" applyFill="1" applyBorder="1" applyAlignment="1">
      <alignment horizontal="center"/>
    </xf>
    <xf numFmtId="3" fontId="2" fillId="2" borderId="6" xfId="0" applyNumberFormat="1" applyFont="1" applyFill="1" applyBorder="1"/>
    <xf numFmtId="0" fontId="1" fillId="2" borderId="18" xfId="0" applyFont="1" applyFill="1" applyBorder="1" applyAlignment="1">
      <alignment horizontal="center"/>
    </xf>
    <xf numFmtId="0" fontId="29" fillId="0" borderId="0" xfId="0" applyFont="1" applyFill="1" applyBorder="1"/>
    <xf numFmtId="0" fontId="2" fillId="2" borderId="45" xfId="0" applyNumberFormat="1" applyFont="1" applyFill="1" applyBorder="1" applyAlignment="1">
      <alignment horizontal="center" wrapText="1"/>
    </xf>
    <xf numFmtId="0" fontId="2" fillId="2" borderId="66" xfId="0" applyNumberFormat="1" applyFont="1" applyFill="1" applyBorder="1" applyAlignment="1">
      <alignment horizontal="center" wrapText="1"/>
    </xf>
    <xf numFmtId="0" fontId="2" fillId="2" borderId="26" xfId="0" applyNumberFormat="1" applyFont="1" applyFill="1" applyBorder="1" applyAlignment="1">
      <alignment horizontal="center" wrapText="1"/>
    </xf>
    <xf numFmtId="0" fontId="2" fillId="2" borderId="24" xfId="0" applyNumberFormat="1" applyFont="1" applyFill="1" applyBorder="1" applyAlignment="1">
      <alignment horizontal="center" wrapText="1"/>
    </xf>
    <xf numFmtId="3" fontId="2" fillId="2" borderId="27" xfId="0" applyNumberFormat="1" applyFont="1" applyFill="1" applyBorder="1" applyAlignment="1">
      <alignment horizontal="center" wrapText="1"/>
    </xf>
    <xf numFmtId="0" fontId="2" fillId="2" borderId="34" xfId="0" applyNumberFormat="1" applyFont="1" applyFill="1" applyBorder="1" applyAlignment="1">
      <alignment horizontal="center" wrapText="1"/>
    </xf>
    <xf numFmtId="0" fontId="0" fillId="0" borderId="0" xfId="0" applyNumberFormat="1" applyBorder="1" applyAlignment="1">
      <alignment horizontal="center" wrapText="1"/>
    </xf>
    <xf numFmtId="0" fontId="1" fillId="2" borderId="45" xfId="0" applyNumberFormat="1" applyFont="1" applyFill="1" applyBorder="1" applyAlignment="1">
      <alignment horizontal="center" wrapText="1"/>
    </xf>
    <xf numFmtId="0" fontId="0" fillId="2" borderId="66" xfId="0" applyNumberFormat="1" applyFill="1" applyBorder="1" applyAlignment="1">
      <alignment horizontal="center" wrapText="1"/>
    </xf>
    <xf numFmtId="0" fontId="0" fillId="2" borderId="26" xfId="0" applyNumberFormat="1" applyFill="1" applyBorder="1" applyAlignment="1">
      <alignment horizontal="center" wrapText="1"/>
    </xf>
    <xf numFmtId="0" fontId="0" fillId="2" borderId="24" xfId="0" applyNumberFormat="1" applyFill="1" applyBorder="1" applyAlignment="1">
      <alignment horizontal="center" wrapText="1"/>
    </xf>
    <xf numFmtId="3" fontId="0" fillId="2" borderId="27" xfId="0" applyNumberFormat="1" applyFill="1" applyBorder="1" applyAlignment="1">
      <alignment horizontal="center" wrapText="1"/>
    </xf>
    <xf numFmtId="3" fontId="0" fillId="0" borderId="11" xfId="0" applyNumberFormat="1" applyBorder="1"/>
    <xf numFmtId="3" fontId="0" fillId="0" borderId="38" xfId="0" applyNumberFormat="1" applyBorder="1"/>
    <xf numFmtId="3" fontId="0" fillId="0" borderId="51" xfId="0" applyNumberFormat="1" applyBorder="1"/>
    <xf numFmtId="3" fontId="0" fillId="0" borderId="67" xfId="0" applyNumberFormat="1" applyBorder="1"/>
    <xf numFmtId="3" fontId="0" fillId="0" borderId="25" xfId="0" applyNumberFormat="1" applyBorder="1"/>
    <xf numFmtId="3" fontId="0" fillId="0" borderId="56" xfId="0" applyNumberFormat="1" applyBorder="1"/>
    <xf numFmtId="0" fontId="0" fillId="0" borderId="51" xfId="0" applyBorder="1"/>
    <xf numFmtId="0" fontId="0" fillId="0" borderId="78" xfId="0" applyBorder="1"/>
    <xf numFmtId="0" fontId="0" fillId="0" borderId="19" xfId="0" applyBorder="1"/>
    <xf numFmtId="3" fontId="0" fillId="0" borderId="2" xfId="0" applyNumberFormat="1" applyBorder="1"/>
    <xf numFmtId="3" fontId="0" fillId="0" borderId="29" xfId="0" applyNumberFormat="1" applyBorder="1"/>
    <xf numFmtId="3" fontId="0" fillId="0" borderId="30" xfId="0" applyNumberFormat="1" applyBorder="1"/>
    <xf numFmtId="3" fontId="0" fillId="0" borderId="68" xfId="0" applyNumberFormat="1" applyBorder="1"/>
    <xf numFmtId="3" fontId="0" fillId="0" borderId="1" xfId="0" applyNumberFormat="1" applyBorder="1"/>
    <xf numFmtId="3" fontId="0" fillId="0" borderId="43" xfId="0" applyNumberFormat="1" applyBorder="1"/>
    <xf numFmtId="0" fontId="29" fillId="0" borderId="0" xfId="0" applyFont="1"/>
    <xf numFmtId="0" fontId="0" fillId="3" borderId="5" xfId="0" applyFill="1" applyBorder="1" applyAlignment="1">
      <alignment horizontal="right"/>
    </xf>
    <xf numFmtId="0" fontId="0" fillId="3" borderId="18" xfId="0" applyFill="1" applyBorder="1"/>
    <xf numFmtId="0" fontId="0" fillId="5" borderId="20" xfId="0" applyFill="1" applyBorder="1" applyProtection="1">
      <protection locked="0"/>
    </xf>
    <xf numFmtId="0" fontId="32" fillId="0" borderId="0" xfId="0" applyFont="1" applyBorder="1" applyAlignment="1"/>
    <xf numFmtId="0" fontId="16" fillId="0" borderId="0" xfId="0" applyFont="1" applyFill="1" applyBorder="1"/>
    <xf numFmtId="0" fontId="8" fillId="3" borderId="18" xfId="0" applyFont="1" applyFill="1" applyBorder="1"/>
    <xf numFmtId="0" fontId="13" fillId="0" borderId="0" xfId="0" applyFont="1" applyBorder="1" applyAlignment="1"/>
    <xf numFmtId="0" fontId="0" fillId="0" borderId="0" xfId="0" applyFill="1" applyBorder="1" applyAlignment="1">
      <alignment horizontal="center"/>
    </xf>
    <xf numFmtId="3" fontId="0" fillId="0" borderId="32" xfId="0" applyNumberFormat="1" applyFill="1" applyBorder="1" applyProtection="1">
      <protection locked="0"/>
    </xf>
    <xf numFmtId="3" fontId="0" fillId="0" borderId="51" xfId="0" applyNumberFormat="1" applyFill="1" applyBorder="1" applyProtection="1">
      <protection locked="0"/>
    </xf>
    <xf numFmtId="3" fontId="0" fillId="0" borderId="29" xfId="0" applyNumberFormat="1" applyFill="1" applyBorder="1" applyProtection="1">
      <protection locked="0"/>
    </xf>
    <xf numFmtId="3" fontId="0" fillId="0" borderId="30" xfId="0" applyNumberFormat="1" applyFill="1" applyBorder="1" applyProtection="1">
      <protection locked="0"/>
    </xf>
    <xf numFmtId="3" fontId="0" fillId="0" borderId="68" xfId="0" applyNumberFormat="1" applyFill="1" applyBorder="1" applyProtection="1">
      <protection locked="0"/>
    </xf>
    <xf numFmtId="3" fontId="0" fillId="0" borderId="5" xfId="0" applyNumberFormat="1" applyFill="1" applyBorder="1" applyProtection="1">
      <protection locked="0"/>
    </xf>
    <xf numFmtId="3" fontId="0" fillId="0" borderId="6" xfId="0" applyNumberFormat="1" applyFill="1" applyBorder="1" applyProtection="1">
      <protection locked="0"/>
    </xf>
    <xf numFmtId="3" fontId="0" fillId="0" borderId="69" xfId="0" applyNumberFormat="1" applyFill="1" applyBorder="1" applyProtection="1">
      <protection locked="0"/>
    </xf>
    <xf numFmtId="3" fontId="0" fillId="0" borderId="13" xfId="0" applyNumberFormat="1" applyFill="1" applyBorder="1" applyProtection="1">
      <protection locked="0"/>
    </xf>
    <xf numFmtId="3" fontId="0" fillId="0" borderId="33" xfId="0" applyNumberFormat="1" applyFill="1" applyBorder="1" applyProtection="1">
      <protection locked="0"/>
    </xf>
    <xf numFmtId="3" fontId="0" fillId="0" borderId="19" xfId="0" applyNumberFormat="1" applyFill="1" applyBorder="1" applyProtection="1">
      <protection locked="0"/>
    </xf>
    <xf numFmtId="3" fontId="0" fillId="0" borderId="18" xfId="0" applyNumberFormat="1" applyFill="1" applyBorder="1" applyProtection="1">
      <protection locked="0"/>
    </xf>
    <xf numFmtId="0" fontId="0" fillId="20" borderId="15" xfId="0" applyFill="1" applyBorder="1"/>
    <xf numFmtId="0" fontId="0" fillId="20" borderId="0" xfId="0" applyFill="1"/>
    <xf numFmtId="0" fontId="2" fillId="12" borderId="0" xfId="0" applyFont="1" applyFill="1"/>
    <xf numFmtId="0" fontId="0" fillId="22" borderId="0" xfId="0" applyFill="1"/>
    <xf numFmtId="0" fontId="22" fillId="22" borderId="30" xfId="0" applyNumberFormat="1" applyFont="1" applyFill="1" applyBorder="1" applyAlignment="1" applyProtection="1">
      <alignment horizontal="center" vertical="center"/>
    </xf>
    <xf numFmtId="0" fontId="0" fillId="22" borderId="30" xfId="0" applyFill="1" applyBorder="1" applyAlignment="1">
      <alignment horizontal="center"/>
    </xf>
    <xf numFmtId="0" fontId="22" fillId="22" borderId="12" xfId="0" applyNumberFormat="1" applyFont="1" applyFill="1" applyBorder="1" applyAlignment="1" applyProtection="1">
      <alignment horizontal="center" vertical="top" wrapText="1"/>
    </xf>
    <xf numFmtId="0" fontId="0" fillId="22" borderId="15" xfId="0" applyFill="1" applyBorder="1" applyAlignment="1">
      <alignment horizontal="center"/>
    </xf>
    <xf numFmtId="0" fontId="22" fillId="22" borderId="12" xfId="0" quotePrefix="1" applyNumberFormat="1" applyFont="1" applyFill="1" applyBorder="1" applyAlignment="1" applyProtection="1">
      <alignment horizontal="center"/>
    </xf>
    <xf numFmtId="0" fontId="0" fillId="22" borderId="12" xfId="0" applyFill="1" applyBorder="1" applyAlignment="1">
      <alignment horizontal="center"/>
    </xf>
    <xf numFmtId="0" fontId="0" fillId="22" borderId="12" xfId="0" applyFill="1" applyBorder="1"/>
    <xf numFmtId="0" fontId="0" fillId="22" borderId="80" xfId="0" applyFill="1" applyBorder="1"/>
    <xf numFmtId="0" fontId="0" fillId="22" borderId="80" xfId="0" applyFill="1" applyBorder="1" applyAlignment="1">
      <alignment horizontal="center"/>
    </xf>
    <xf numFmtId="0" fontId="0" fillId="22" borderId="81" xfId="0" applyFill="1" applyBorder="1"/>
    <xf numFmtId="166" fontId="1" fillId="22" borderId="68" xfId="0" applyNumberFormat="1" applyFont="1" applyFill="1" applyBorder="1" applyAlignment="1">
      <alignment vertical="top" wrapText="1"/>
    </xf>
    <xf numFmtId="166" fontId="1" fillId="22" borderId="30" xfId="0" applyNumberFormat="1" applyFont="1" applyFill="1" applyBorder="1"/>
    <xf numFmtId="166" fontId="0" fillId="22" borderId="30" xfId="0" applyNumberFormat="1" applyFill="1" applyBorder="1"/>
    <xf numFmtId="166" fontId="2" fillId="22" borderId="30" xfId="0" applyNumberFormat="1" applyFont="1" applyFill="1" applyBorder="1"/>
    <xf numFmtId="0" fontId="0" fillId="0" borderId="41" xfId="0" applyFill="1" applyBorder="1" applyProtection="1">
      <protection locked="0"/>
    </xf>
    <xf numFmtId="0" fontId="0" fillId="0" borderId="61" xfId="0" applyFill="1" applyBorder="1" applyProtection="1">
      <protection locked="0"/>
    </xf>
    <xf numFmtId="0" fontId="0" fillId="0" borderId="42" xfId="0" applyFill="1" applyBorder="1" applyProtection="1">
      <protection locked="0"/>
    </xf>
    <xf numFmtId="0" fontId="0" fillId="0" borderId="62" xfId="0" applyFill="1" applyBorder="1" applyProtection="1">
      <protection locked="0"/>
    </xf>
    <xf numFmtId="0" fontId="0" fillId="0" borderId="24" xfId="0" applyFill="1" applyBorder="1" applyProtection="1">
      <protection locked="0"/>
    </xf>
    <xf numFmtId="9" fontId="0" fillId="0" borderId="31" xfId="0" applyNumberFormat="1" applyFill="1" applyBorder="1" applyProtection="1">
      <protection locked="0"/>
    </xf>
    <xf numFmtId="9" fontId="0" fillId="0" borderId="5" xfId="0" applyNumberFormat="1" applyFill="1" applyBorder="1" applyProtection="1">
      <protection locked="0"/>
    </xf>
    <xf numFmtId="170" fontId="2" fillId="8" borderId="26" xfId="0" applyNumberFormat="1" applyFont="1" applyFill="1" applyBorder="1" applyAlignment="1">
      <alignment horizontal="center" vertical="center" wrapText="1"/>
    </xf>
    <xf numFmtId="0" fontId="1" fillId="0" borderId="0" xfId="0" applyFont="1" applyAlignment="1">
      <alignment vertical="center"/>
    </xf>
    <xf numFmtId="0" fontId="2" fillId="0" borderId="0" xfId="0" applyFont="1" applyBorder="1" applyAlignment="1">
      <alignment vertical="center"/>
    </xf>
    <xf numFmtId="0" fontId="1" fillId="0" borderId="0" xfId="0" applyFont="1" applyBorder="1" applyAlignment="1">
      <alignment vertical="center"/>
    </xf>
    <xf numFmtId="0" fontId="2" fillId="0" borderId="0" xfId="0" applyFont="1" applyFill="1" applyBorder="1" applyAlignment="1">
      <alignment horizontal="left" vertical="center"/>
    </xf>
    <xf numFmtId="10" fontId="34" fillId="14" borderId="30" xfId="0" applyNumberFormat="1" applyFont="1" applyFill="1" applyBorder="1" applyAlignment="1">
      <alignment horizontal="center" vertical="center" wrapText="1"/>
    </xf>
    <xf numFmtId="10" fontId="1" fillId="14" borderId="27" xfId="2" applyNumberFormat="1" applyFont="1" applyFill="1" applyBorder="1" applyAlignment="1">
      <alignment vertical="center"/>
    </xf>
    <xf numFmtId="10" fontId="1" fillId="14" borderId="28" xfId="2" applyNumberFormat="1" applyFont="1" applyFill="1" applyBorder="1" applyAlignment="1">
      <alignment vertical="center"/>
    </xf>
    <xf numFmtId="9" fontId="1" fillId="0" borderId="26" xfId="2" applyFont="1" applyBorder="1" applyAlignment="1">
      <alignment vertical="center"/>
    </xf>
    <xf numFmtId="0" fontId="1" fillId="0" borderId="74" xfId="0" applyFont="1" applyBorder="1" applyAlignment="1">
      <alignment vertical="center"/>
    </xf>
    <xf numFmtId="0" fontId="1" fillId="0" borderId="74" xfId="0" applyFont="1" applyFill="1" applyBorder="1" applyAlignment="1">
      <alignment vertical="center"/>
    </xf>
    <xf numFmtId="0" fontId="1" fillId="17" borderId="26" xfId="0" applyFont="1" applyFill="1" applyBorder="1" applyAlignment="1">
      <alignment vertical="center"/>
    </xf>
    <xf numFmtId="0" fontId="1" fillId="6" borderId="34" xfId="0" applyFont="1" applyFill="1" applyBorder="1" applyAlignment="1">
      <alignment vertical="center"/>
    </xf>
    <xf numFmtId="0" fontId="2" fillId="2" borderId="26" xfId="0" applyFont="1" applyFill="1" applyBorder="1" applyAlignment="1">
      <alignment horizontal="center" vertical="center" wrapText="1"/>
    </xf>
    <xf numFmtId="0" fontId="2" fillId="0" borderId="0" xfId="0" applyFont="1" applyAlignment="1">
      <alignment horizontal="center" vertical="center" wrapText="1"/>
    </xf>
    <xf numFmtId="0" fontId="1" fillId="2" borderId="40"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2" borderId="72" xfId="0" applyFont="1" applyFill="1" applyBorder="1" applyAlignment="1">
      <alignment horizontal="center" vertical="center" wrapText="1"/>
    </xf>
    <xf numFmtId="0" fontId="1" fillId="2" borderId="73" xfId="0" applyFont="1" applyFill="1" applyBorder="1" applyAlignment="1">
      <alignment horizontal="center" vertical="center" wrapText="1"/>
    </xf>
    <xf numFmtId="0" fontId="1" fillId="2" borderId="75" xfId="0" applyFont="1" applyFill="1" applyBorder="1" applyAlignment="1">
      <alignment horizontal="center" vertical="center" wrapText="1"/>
    </xf>
    <xf numFmtId="0" fontId="1" fillId="2" borderId="70" xfId="0" applyFont="1" applyFill="1" applyBorder="1" applyAlignment="1">
      <alignment horizontal="center" vertical="center" wrapText="1"/>
    </xf>
    <xf numFmtId="0" fontId="1" fillId="0" borderId="0" xfId="0" applyFont="1" applyAlignment="1">
      <alignment horizontal="center" vertical="center" wrapText="1"/>
    </xf>
    <xf numFmtId="0" fontId="1" fillId="2" borderId="8" xfId="0" applyFont="1" applyFill="1" applyBorder="1" applyAlignment="1">
      <alignment horizontal="center" vertical="center" wrapText="1"/>
    </xf>
    <xf numFmtId="0" fontId="1" fillId="2" borderId="20" xfId="0" applyFont="1" applyFill="1" applyBorder="1" applyAlignment="1">
      <alignment horizontal="center" vertical="center" wrapText="1"/>
    </xf>
    <xf numFmtId="0" fontId="1" fillId="2" borderId="57" xfId="0" applyFont="1" applyFill="1" applyBorder="1" applyAlignment="1">
      <alignment horizontal="center" vertical="center" wrapText="1"/>
    </xf>
    <xf numFmtId="0" fontId="1" fillId="0" borderId="11" xfId="0" applyFont="1" applyFill="1" applyBorder="1" applyAlignment="1">
      <alignment vertical="center"/>
    </xf>
    <xf numFmtId="2" fontId="1" fillId="14" borderId="30" xfId="0" applyNumberFormat="1" applyFont="1" applyFill="1" applyBorder="1" applyAlignment="1">
      <alignment vertical="center"/>
    </xf>
    <xf numFmtId="9" fontId="1" fillId="16" borderId="61" xfId="2" applyFont="1" applyFill="1" applyBorder="1" applyAlignment="1" applyProtection="1">
      <alignment vertical="center"/>
      <protection locked="0"/>
    </xf>
    <xf numFmtId="9" fontId="1" fillId="5" borderId="11" xfId="2" applyFont="1" applyFill="1" applyBorder="1" applyAlignment="1" applyProtection="1">
      <alignment vertical="center"/>
      <protection locked="0"/>
    </xf>
    <xf numFmtId="9" fontId="1" fillId="0" borderId="25" xfId="2" applyFont="1" applyBorder="1" applyAlignment="1">
      <alignment vertical="center"/>
    </xf>
    <xf numFmtId="0" fontId="1" fillId="5" borderId="25" xfId="0" applyFont="1" applyFill="1" applyBorder="1" applyAlignment="1" applyProtection="1">
      <alignment vertical="center"/>
      <protection locked="0"/>
    </xf>
    <xf numFmtId="0" fontId="1" fillId="0" borderId="39" xfId="0" applyFont="1" applyFill="1" applyBorder="1" applyAlignment="1">
      <alignment vertical="center"/>
    </xf>
    <xf numFmtId="9" fontId="1" fillId="5" borderId="39" xfId="0" applyNumberFormat="1" applyFont="1" applyFill="1" applyBorder="1" applyAlignment="1" applyProtection="1">
      <alignment vertical="center"/>
      <protection locked="0"/>
    </xf>
    <xf numFmtId="0" fontId="1" fillId="0" borderId="25" xfId="0" applyFont="1" applyBorder="1" applyAlignment="1">
      <alignment vertical="center"/>
    </xf>
    <xf numFmtId="0" fontId="1" fillId="0" borderId="2" xfId="0" applyFont="1" applyBorder="1" applyAlignment="1">
      <alignment vertical="center"/>
    </xf>
    <xf numFmtId="9" fontId="1" fillId="0" borderId="1" xfId="2" applyFont="1" applyBorder="1" applyAlignment="1">
      <alignment vertical="center"/>
    </xf>
    <xf numFmtId="0" fontId="1" fillId="5" borderId="3" xfId="0" applyFont="1" applyFill="1" applyBorder="1" applyAlignment="1" applyProtection="1">
      <alignment vertical="center"/>
      <protection locked="0"/>
    </xf>
    <xf numFmtId="0" fontId="1" fillId="0" borderId="2" xfId="0" applyFont="1" applyFill="1" applyBorder="1" applyAlignment="1">
      <alignment vertical="center"/>
    </xf>
    <xf numFmtId="9" fontId="1" fillId="5" borderId="2" xfId="0" applyNumberFormat="1" applyFont="1" applyFill="1" applyBorder="1" applyAlignment="1" applyProtection="1">
      <alignment vertical="center"/>
      <protection locked="0"/>
    </xf>
    <xf numFmtId="0" fontId="1" fillId="0" borderId="1" xfId="0" applyFont="1" applyBorder="1" applyAlignment="1">
      <alignment vertical="center"/>
    </xf>
    <xf numFmtId="0" fontId="1" fillId="14" borderId="1" xfId="0" applyFont="1" applyFill="1" applyBorder="1" applyAlignment="1">
      <alignment vertical="center"/>
    </xf>
    <xf numFmtId="0" fontId="1" fillId="0" borderId="8" xfId="0" applyFont="1" applyBorder="1" applyAlignment="1">
      <alignment vertical="center"/>
    </xf>
    <xf numFmtId="0" fontId="1" fillId="14" borderId="20" xfId="0" applyFont="1" applyFill="1" applyBorder="1" applyAlignment="1">
      <alignment vertical="center"/>
    </xf>
    <xf numFmtId="9" fontId="1" fillId="5" borderId="8" xfId="2" applyFont="1" applyFill="1" applyBorder="1" applyAlignment="1" applyProtection="1">
      <alignment vertical="center"/>
      <protection locked="0"/>
    </xf>
    <xf numFmtId="9" fontId="1" fillId="5" borderId="20" xfId="2" applyFont="1" applyFill="1" applyBorder="1" applyAlignment="1" applyProtection="1">
      <alignment vertical="center"/>
      <protection locked="0"/>
    </xf>
    <xf numFmtId="9" fontId="1" fillId="0" borderId="20" xfId="2" applyFont="1" applyBorder="1" applyAlignment="1">
      <alignment vertical="center"/>
    </xf>
    <xf numFmtId="0" fontId="1" fillId="5" borderId="20" xfId="0" applyFont="1" applyFill="1" applyBorder="1" applyAlignment="1" applyProtection="1">
      <alignment vertical="center"/>
      <protection locked="0"/>
    </xf>
    <xf numFmtId="0" fontId="1" fillId="5" borderId="70" xfId="0" applyFont="1" applyFill="1" applyBorder="1" applyAlignment="1" applyProtection="1">
      <alignment vertical="center"/>
      <protection locked="0"/>
    </xf>
    <xf numFmtId="0" fontId="1" fillId="0" borderId="8" xfId="0" applyFont="1" applyFill="1" applyBorder="1" applyAlignment="1">
      <alignment vertical="center"/>
    </xf>
    <xf numFmtId="9" fontId="1" fillId="5" borderId="8" xfId="0" applyNumberFormat="1" applyFont="1" applyFill="1" applyBorder="1" applyAlignment="1" applyProtection="1">
      <alignment vertical="center"/>
      <protection locked="0"/>
    </xf>
    <xf numFmtId="0" fontId="1" fillId="0" borderId="20" xfId="0" applyFont="1" applyBorder="1" applyAlignment="1">
      <alignment vertical="center"/>
    </xf>
    <xf numFmtId="0" fontId="0" fillId="7" borderId="0" xfId="0" applyFill="1" applyBorder="1" applyAlignment="1">
      <alignment vertical="center"/>
    </xf>
    <xf numFmtId="3" fontId="0" fillId="7" borderId="0" xfId="0" applyNumberFormat="1" applyFill="1" applyAlignment="1">
      <alignment vertical="center"/>
    </xf>
    <xf numFmtId="170" fontId="0" fillId="7" borderId="0" xfId="0" applyNumberFormat="1" applyFill="1" applyAlignment="1">
      <alignment vertical="center"/>
    </xf>
    <xf numFmtId="3" fontId="0" fillId="7" borderId="0" xfId="0" applyNumberFormat="1" applyFill="1" applyBorder="1" applyAlignment="1">
      <alignment vertical="center"/>
    </xf>
    <xf numFmtId="3" fontId="0" fillId="14" borderId="0" xfId="0" applyNumberFormat="1" applyFill="1" applyAlignment="1">
      <alignment vertical="center"/>
    </xf>
    <xf numFmtId="0" fontId="0" fillId="7" borderId="0" xfId="0" applyFill="1" applyAlignment="1">
      <alignment vertical="center"/>
    </xf>
    <xf numFmtId="3" fontId="4" fillId="7" borderId="0" xfId="0" applyNumberFormat="1" applyFont="1" applyFill="1" applyAlignment="1">
      <alignment vertical="center"/>
    </xf>
    <xf numFmtId="3" fontId="2" fillId="7" borderId="0" xfId="0" applyNumberFormat="1" applyFont="1" applyFill="1" applyAlignment="1">
      <alignment vertical="center"/>
    </xf>
    <xf numFmtId="3" fontId="2" fillId="7" borderId="0" xfId="0" applyNumberFormat="1" applyFont="1" applyFill="1" applyBorder="1" applyAlignment="1">
      <alignment horizontal="left" vertical="center"/>
    </xf>
    <xf numFmtId="170" fontId="2" fillId="7" borderId="0" xfId="0" applyNumberFormat="1" applyFont="1" applyFill="1" applyBorder="1" applyAlignment="1">
      <alignment horizontal="left" vertical="center"/>
    </xf>
    <xf numFmtId="3" fontId="2" fillId="7" borderId="45" xfId="0" applyNumberFormat="1" applyFont="1" applyFill="1" applyBorder="1" applyAlignment="1">
      <alignment vertical="center"/>
    </xf>
    <xf numFmtId="3" fontId="2" fillId="7" borderId="46" xfId="0" applyNumberFormat="1" applyFont="1" applyFill="1" applyBorder="1" applyAlignment="1">
      <alignment vertical="center"/>
    </xf>
    <xf numFmtId="3" fontId="2" fillId="7" borderId="34" xfId="0" applyNumberFormat="1" applyFont="1" applyFill="1" applyBorder="1" applyAlignment="1">
      <alignment vertical="center"/>
    </xf>
    <xf numFmtId="3" fontId="15" fillId="7" borderId="0" xfId="0" applyNumberFormat="1" applyFont="1" applyFill="1" applyAlignment="1">
      <alignment vertical="center"/>
    </xf>
    <xf numFmtId="3" fontId="0" fillId="11" borderId="0" xfId="0" applyNumberFormat="1" applyFill="1" applyBorder="1" applyAlignment="1">
      <alignment vertical="center"/>
    </xf>
    <xf numFmtId="0" fontId="2" fillId="7" borderId="0" xfId="0" applyFont="1" applyFill="1" applyAlignment="1">
      <alignment vertical="center" wrapText="1"/>
    </xf>
    <xf numFmtId="0" fontId="0" fillId="14" borderId="0" xfId="0" applyFill="1" applyAlignment="1">
      <alignment vertical="center"/>
    </xf>
    <xf numFmtId="0" fontId="13" fillId="7" borderId="0" xfId="0" applyFont="1" applyFill="1" applyAlignment="1">
      <alignment vertical="center" wrapText="1"/>
    </xf>
    <xf numFmtId="3" fontId="0" fillId="0" borderId="0" xfId="0" applyNumberFormat="1" applyAlignment="1">
      <alignment vertical="center"/>
    </xf>
    <xf numFmtId="3" fontId="2" fillId="11" borderId="0" xfId="0" applyNumberFormat="1" applyFont="1" applyFill="1" applyBorder="1" applyAlignment="1">
      <alignment vertical="center"/>
    </xf>
    <xf numFmtId="170" fontId="0" fillId="11" borderId="0" xfId="0" applyNumberFormat="1" applyFill="1" applyBorder="1" applyAlignment="1">
      <alignment horizontal="center" vertical="center"/>
    </xf>
    <xf numFmtId="3" fontId="0" fillId="11" borderId="0" xfId="0" applyNumberFormat="1" applyFill="1" applyBorder="1" applyAlignment="1">
      <alignment horizontal="center" vertical="center"/>
    </xf>
    <xf numFmtId="0" fontId="0" fillId="7" borderId="0" xfId="0" applyFill="1" applyAlignment="1">
      <alignment vertical="center" wrapText="1"/>
    </xf>
    <xf numFmtId="3" fontId="13" fillId="2" borderId="49" xfId="0" applyNumberFormat="1" applyFont="1" applyFill="1" applyBorder="1" applyAlignment="1">
      <alignment horizontal="center" vertical="center" wrapText="1"/>
    </xf>
    <xf numFmtId="3" fontId="13" fillId="2" borderId="7" xfId="0" applyNumberFormat="1" applyFont="1" applyFill="1" applyBorder="1" applyAlignment="1">
      <alignment horizontal="center" vertical="center" wrapText="1"/>
    </xf>
    <xf numFmtId="3" fontId="13" fillId="2" borderId="12" xfId="0" applyNumberFormat="1" applyFont="1" applyFill="1" applyBorder="1" applyAlignment="1">
      <alignment horizontal="center" vertical="center" wrapText="1"/>
    </xf>
    <xf numFmtId="3" fontId="13" fillId="2" borderId="1" xfId="0" applyNumberFormat="1" applyFont="1" applyFill="1" applyBorder="1" applyAlignment="1">
      <alignment horizontal="center" vertical="center" wrapText="1"/>
    </xf>
    <xf numFmtId="3" fontId="13" fillId="2" borderId="22" xfId="0" applyNumberFormat="1" applyFont="1" applyFill="1" applyBorder="1" applyAlignment="1">
      <alignment horizontal="center" vertical="center" wrapText="1"/>
    </xf>
    <xf numFmtId="3" fontId="13" fillId="2" borderId="0" xfId="0" applyNumberFormat="1" applyFont="1" applyFill="1" applyBorder="1" applyAlignment="1">
      <alignment horizontal="center" vertical="center" wrapText="1"/>
    </xf>
    <xf numFmtId="3" fontId="13" fillId="11" borderId="0" xfId="0" applyNumberFormat="1" applyFont="1" applyFill="1" applyBorder="1" applyAlignment="1">
      <alignment horizontal="center" vertical="center" wrapText="1"/>
    </xf>
    <xf numFmtId="170" fontId="13" fillId="8" borderId="26" xfId="0" applyNumberFormat="1" applyFont="1" applyFill="1" applyBorder="1" applyAlignment="1">
      <alignment horizontal="center" vertical="center" wrapText="1"/>
    </xf>
    <xf numFmtId="3" fontId="13" fillId="8" borderId="26" xfId="0" applyNumberFormat="1" applyFont="1" applyFill="1" applyBorder="1" applyAlignment="1">
      <alignment horizontal="center" vertical="center" wrapText="1"/>
    </xf>
    <xf numFmtId="3" fontId="0" fillId="2" borderId="8" xfId="0" applyNumberFormat="1" applyFill="1" applyBorder="1" applyAlignment="1">
      <alignment horizontal="center" vertical="center" wrapText="1"/>
    </xf>
    <xf numFmtId="3" fontId="0" fillId="2" borderId="5" xfId="0" applyNumberFormat="1" applyFill="1" applyBorder="1" applyAlignment="1">
      <alignment horizontal="center" vertical="center" wrapText="1"/>
    </xf>
    <xf numFmtId="3" fontId="0" fillId="2" borderId="6" xfId="0" applyNumberFormat="1" applyFill="1" applyBorder="1" applyAlignment="1">
      <alignment horizontal="center" vertical="center" wrapText="1"/>
    </xf>
    <xf numFmtId="3" fontId="0" fillId="2" borderId="20" xfId="0" applyNumberFormat="1" applyFill="1" applyBorder="1" applyAlignment="1">
      <alignment horizontal="center" vertical="center" wrapText="1"/>
    </xf>
    <xf numFmtId="3" fontId="0" fillId="2" borderId="62" xfId="0" applyNumberFormat="1" applyFill="1" applyBorder="1" applyAlignment="1">
      <alignment horizontal="center" vertical="center" wrapText="1"/>
    </xf>
    <xf numFmtId="3" fontId="0" fillId="11" borderId="0" xfId="0" applyNumberFormat="1" applyFill="1" applyBorder="1" applyAlignment="1">
      <alignment horizontal="center" vertical="center" wrapText="1"/>
    </xf>
    <xf numFmtId="170" fontId="0" fillId="8" borderId="26" xfId="0" applyNumberFormat="1" applyFill="1" applyBorder="1" applyAlignment="1">
      <alignment horizontal="center" vertical="center" wrapText="1"/>
    </xf>
    <xf numFmtId="3" fontId="0" fillId="8" borderId="26" xfId="0" applyNumberFormat="1" applyFill="1" applyBorder="1" applyAlignment="1">
      <alignment horizontal="center" vertical="center" wrapText="1"/>
    </xf>
    <xf numFmtId="3" fontId="0" fillId="0" borderId="35" xfId="0" applyNumberFormat="1" applyBorder="1" applyAlignment="1">
      <alignment vertical="center" wrapText="1"/>
    </xf>
    <xf numFmtId="3" fontId="0" fillId="0" borderId="27" xfId="0" applyNumberFormat="1" applyBorder="1" applyAlignment="1">
      <alignment vertical="center" wrapText="1"/>
    </xf>
    <xf numFmtId="3" fontId="0" fillId="0" borderId="28" xfId="0" applyNumberFormat="1" applyBorder="1" applyAlignment="1">
      <alignment vertical="center" wrapText="1"/>
    </xf>
    <xf numFmtId="3" fontId="0" fillId="0" borderId="26" xfId="0" applyNumberFormat="1" applyBorder="1" applyAlignment="1">
      <alignment vertical="center" wrapText="1"/>
    </xf>
    <xf numFmtId="3" fontId="0" fillId="0" borderId="52" xfId="0" applyNumberFormat="1" applyBorder="1" applyAlignment="1">
      <alignment vertical="center" wrapText="1"/>
    </xf>
    <xf numFmtId="3" fontId="0" fillId="0" borderId="36" xfId="0" applyNumberFormat="1" applyBorder="1" applyAlignment="1">
      <alignment vertical="center" wrapText="1"/>
    </xf>
    <xf numFmtId="3" fontId="0" fillId="11" borderId="0" xfId="0" applyNumberFormat="1" applyFill="1" applyBorder="1" applyAlignment="1">
      <alignment vertical="center" wrapText="1"/>
    </xf>
    <xf numFmtId="170" fontId="0" fillId="0" borderId="22" xfId="0" applyNumberFormat="1" applyFill="1" applyBorder="1" applyAlignment="1">
      <alignment vertical="center" wrapText="1"/>
    </xf>
    <xf numFmtId="3" fontId="0" fillId="0" borderId="22" xfId="0" applyNumberFormat="1" applyFill="1" applyBorder="1" applyAlignment="1">
      <alignment vertical="center" wrapText="1"/>
    </xf>
    <xf numFmtId="1" fontId="0" fillId="0" borderId="25" xfId="0" applyNumberFormat="1" applyFill="1" applyBorder="1" applyAlignment="1" applyProtection="1">
      <alignment vertical="center"/>
      <protection locked="0"/>
    </xf>
    <xf numFmtId="3" fontId="0" fillId="0" borderId="56" xfId="0" applyNumberFormat="1" applyFill="1" applyBorder="1" applyAlignment="1">
      <alignment vertical="center"/>
    </xf>
    <xf numFmtId="3" fontId="0" fillId="0" borderId="51" xfId="0" applyNumberFormat="1" applyFill="1" applyBorder="1" applyAlignment="1">
      <alignment vertical="center"/>
    </xf>
    <xf numFmtId="3" fontId="0" fillId="0" borderId="25" xfId="0" applyNumberFormat="1" applyFill="1" applyBorder="1" applyAlignment="1">
      <alignment vertical="center"/>
    </xf>
    <xf numFmtId="3" fontId="0" fillId="0" borderId="3" xfId="0" applyNumberFormat="1" applyFill="1" applyBorder="1" applyAlignment="1">
      <alignment vertical="center"/>
    </xf>
    <xf numFmtId="3" fontId="0" fillId="0" borderId="47" xfId="0" applyNumberFormat="1" applyFill="1" applyBorder="1" applyAlignment="1">
      <alignment vertical="center"/>
    </xf>
    <xf numFmtId="3" fontId="0" fillId="0" borderId="25" xfId="0" applyNumberFormat="1" applyFill="1" applyBorder="1" applyAlignment="1" applyProtection="1">
      <alignment vertical="center"/>
    </xf>
    <xf numFmtId="170" fontId="0" fillId="8" borderId="25" xfId="0" applyNumberFormat="1" applyFill="1" applyBorder="1" applyAlignment="1">
      <alignment vertical="center"/>
    </xf>
    <xf numFmtId="171" fontId="0" fillId="7" borderId="0" xfId="0" applyNumberFormat="1" applyFill="1" applyAlignment="1">
      <alignment vertical="center"/>
    </xf>
    <xf numFmtId="3" fontId="0" fillId="8" borderId="25" xfId="0" applyNumberFormat="1" applyFill="1" applyBorder="1" applyAlignment="1">
      <alignment vertical="center"/>
    </xf>
    <xf numFmtId="1" fontId="0" fillId="0" borderId="1" xfId="0" applyNumberFormat="1" applyBorder="1" applyAlignment="1">
      <alignment vertical="center"/>
    </xf>
    <xf numFmtId="3" fontId="0" fillId="0" borderId="43" xfId="0" applyNumberFormat="1" applyFill="1" applyBorder="1" applyAlignment="1">
      <alignment vertical="center"/>
    </xf>
    <xf numFmtId="3" fontId="0" fillId="0" borderId="30" xfId="0" applyNumberFormat="1" applyFill="1" applyBorder="1" applyAlignment="1">
      <alignment vertical="center"/>
    </xf>
    <xf numFmtId="3" fontId="0" fillId="0" borderId="1" xfId="0" applyNumberFormat="1" applyFill="1" applyBorder="1" applyAlignment="1">
      <alignment vertical="center"/>
    </xf>
    <xf numFmtId="3" fontId="0" fillId="0" borderId="48" xfId="0" applyNumberFormat="1" applyFill="1" applyBorder="1" applyAlignment="1">
      <alignment vertical="center"/>
    </xf>
    <xf numFmtId="3" fontId="0" fillId="0" borderId="1" xfId="0" applyNumberFormat="1" applyFill="1" applyBorder="1" applyAlignment="1" applyProtection="1">
      <alignment vertical="center"/>
    </xf>
    <xf numFmtId="170" fontId="0" fillId="8" borderId="1" xfId="0" applyNumberFormat="1" applyFill="1" applyBorder="1" applyAlignment="1">
      <alignment vertical="center"/>
    </xf>
    <xf numFmtId="3" fontId="0" fillId="8" borderId="1" xfId="0" applyNumberFormat="1" applyFill="1" applyBorder="1" applyAlignment="1">
      <alignment vertical="center"/>
    </xf>
    <xf numFmtId="1" fontId="0" fillId="0" borderId="20" xfId="0" applyNumberFormat="1" applyBorder="1" applyAlignment="1">
      <alignment vertical="center"/>
    </xf>
    <xf numFmtId="3" fontId="0" fillId="0" borderId="63" xfId="0" applyNumberFormat="1" applyFill="1" applyBorder="1" applyAlignment="1">
      <alignment vertical="center"/>
    </xf>
    <xf numFmtId="3" fontId="0" fillId="0" borderId="6" xfId="0" applyNumberFormat="1" applyFill="1" applyBorder="1" applyAlignment="1">
      <alignment vertical="center"/>
    </xf>
    <xf numFmtId="3" fontId="0" fillId="0" borderId="20" xfId="0" applyNumberFormat="1" applyFill="1" applyBorder="1" applyAlignment="1">
      <alignment vertical="center"/>
    </xf>
    <xf numFmtId="3" fontId="0" fillId="0" borderId="20" xfId="0" applyNumberFormat="1" applyFill="1" applyBorder="1" applyAlignment="1" applyProtection="1">
      <alignment vertical="center"/>
    </xf>
    <xf numFmtId="170" fontId="0" fillId="8" borderId="20" xfId="0" applyNumberFormat="1" applyFill="1" applyBorder="1" applyAlignment="1">
      <alignment vertical="center"/>
    </xf>
    <xf numFmtId="3" fontId="0" fillId="0" borderId="64" xfId="0" applyNumberFormat="1" applyFill="1" applyBorder="1" applyAlignment="1">
      <alignment vertical="center"/>
    </xf>
    <xf numFmtId="3" fontId="0" fillId="8" borderId="20" xfId="0" applyNumberFormat="1" applyFill="1" applyBorder="1" applyAlignment="1">
      <alignment vertical="center"/>
    </xf>
    <xf numFmtId="0" fontId="2" fillId="2" borderId="25" xfId="0" applyFont="1" applyFill="1" applyBorder="1" applyAlignment="1">
      <alignment horizontal="center" vertical="center" wrapText="1"/>
    </xf>
    <xf numFmtId="0" fontId="2" fillId="2" borderId="34" xfId="0" applyFont="1" applyFill="1" applyBorder="1" applyAlignment="1">
      <alignment horizontal="center" vertical="center"/>
    </xf>
    <xf numFmtId="0" fontId="0" fillId="0" borderId="0" xfId="0" applyAlignment="1">
      <alignment vertical="center"/>
    </xf>
    <xf numFmtId="0" fontId="4" fillId="0" borderId="0" xfId="0" applyFont="1" applyAlignment="1">
      <alignment vertical="center"/>
    </xf>
    <xf numFmtId="0" fontId="2" fillId="2" borderId="26" xfId="0" applyFont="1" applyFill="1" applyBorder="1" applyAlignment="1">
      <alignment horizontal="center" vertical="center"/>
    </xf>
    <xf numFmtId="0" fontId="2" fillId="2" borderId="17"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19" borderId="17" xfId="0" applyFont="1" applyFill="1" applyBorder="1" applyAlignment="1">
      <alignment horizontal="center" vertical="center" wrapText="1"/>
    </xf>
    <xf numFmtId="0" fontId="2" fillId="19" borderId="13" xfId="0" applyFont="1" applyFill="1" applyBorder="1" applyAlignment="1">
      <alignment horizontal="center" vertical="center" wrapText="1"/>
    </xf>
    <xf numFmtId="0" fontId="2" fillId="19" borderId="4" xfId="0" applyFont="1" applyFill="1" applyBorder="1" applyAlignment="1">
      <alignment horizontal="center" vertical="center" wrapText="1"/>
    </xf>
    <xf numFmtId="0" fontId="2" fillId="0" borderId="0" xfId="0" applyFont="1" applyAlignment="1">
      <alignment vertical="center" wrapText="1"/>
    </xf>
    <xf numFmtId="0" fontId="0" fillId="2" borderId="14"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6" xfId="0" applyFill="1" applyBorder="1" applyAlignment="1">
      <alignment horizontal="center" vertical="center" wrapText="1"/>
    </xf>
    <xf numFmtId="0" fontId="0" fillId="2" borderId="20" xfId="0" applyFill="1" applyBorder="1" applyAlignment="1">
      <alignment vertical="center" wrapText="1"/>
    </xf>
    <xf numFmtId="0" fontId="0" fillId="0" borderId="0" xfId="0" applyAlignment="1">
      <alignment vertical="center" wrapText="1"/>
    </xf>
    <xf numFmtId="0" fontId="0" fillId="2" borderId="26" xfId="0" applyFill="1" applyBorder="1" applyAlignment="1">
      <alignment horizontal="center" vertical="center" wrapText="1"/>
    </xf>
    <xf numFmtId="0" fontId="0" fillId="3" borderId="17" xfId="0" applyFill="1" applyBorder="1" applyAlignment="1">
      <alignment horizontal="center" vertical="center" wrapText="1"/>
    </xf>
    <xf numFmtId="0" fontId="0" fillId="3" borderId="1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6" xfId="0" applyFill="1" applyBorder="1" applyAlignment="1">
      <alignment vertical="center" wrapText="1"/>
    </xf>
    <xf numFmtId="0" fontId="0" fillId="5" borderId="27" xfId="0" applyFill="1" applyBorder="1" applyAlignment="1" applyProtection="1">
      <alignment horizontal="center" vertical="center" wrapText="1"/>
      <protection locked="0"/>
    </xf>
    <xf numFmtId="0" fontId="0" fillId="5" borderId="28" xfId="0" applyFill="1" applyBorder="1" applyAlignment="1" applyProtection="1">
      <alignment horizontal="center" vertical="center" wrapText="1"/>
      <protection locked="0"/>
    </xf>
    <xf numFmtId="0" fontId="0" fillId="5" borderId="21" xfId="0" applyFill="1" applyBorder="1" applyAlignment="1" applyProtection="1">
      <alignment vertical="center" wrapText="1"/>
      <protection locked="0"/>
    </xf>
    <xf numFmtId="0" fontId="0" fillId="5" borderId="26" xfId="0" applyFill="1" applyBorder="1" applyAlignment="1" applyProtection="1">
      <alignment vertical="center" wrapText="1"/>
      <protection locked="0"/>
    </xf>
    <xf numFmtId="0" fontId="0" fillId="2" borderId="7"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23" xfId="0" applyFill="1" applyBorder="1" applyAlignment="1">
      <alignment horizontal="center" vertical="center" wrapText="1"/>
    </xf>
    <xf numFmtId="0" fontId="0" fillId="2" borderId="52" xfId="0" applyFill="1" applyBorder="1" applyAlignment="1">
      <alignment vertical="center" wrapText="1"/>
    </xf>
    <xf numFmtId="0" fontId="0" fillId="2" borderId="31" xfId="0" applyFill="1" applyBorder="1" applyAlignment="1">
      <alignment horizontal="center" vertical="center" wrapText="1"/>
    </xf>
    <xf numFmtId="0" fontId="0" fillId="2" borderId="25" xfId="0" applyFill="1" applyBorder="1" applyAlignment="1">
      <alignment vertical="center" wrapText="1"/>
    </xf>
    <xf numFmtId="9" fontId="0" fillId="5" borderId="29" xfId="3" applyFont="1" applyFill="1" applyBorder="1" applyAlignment="1" applyProtection="1">
      <alignment horizontal="center" vertical="center" wrapText="1"/>
      <protection locked="0"/>
    </xf>
    <xf numFmtId="9" fontId="0" fillId="5" borderId="30" xfId="3" applyFont="1" applyFill="1" applyBorder="1" applyAlignment="1" applyProtection="1">
      <alignment horizontal="center" vertical="center" wrapText="1"/>
      <protection locked="0"/>
    </xf>
    <xf numFmtId="0" fontId="0" fillId="5" borderId="1" xfId="0" applyFill="1" applyBorder="1" applyAlignment="1" applyProtection="1">
      <alignment vertical="center" wrapText="1"/>
      <protection locked="0"/>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21" xfId="0" applyFill="1" applyBorder="1" applyAlignment="1">
      <alignment horizontal="center" vertical="center" wrapText="1"/>
    </xf>
    <xf numFmtId="0" fontId="0" fillId="0" borderId="11" xfId="0" applyFill="1" applyBorder="1" applyAlignment="1">
      <alignment horizontal="center" vertical="center"/>
    </xf>
    <xf numFmtId="9" fontId="0" fillId="5" borderId="38" xfId="0" applyNumberFormat="1" applyFill="1" applyBorder="1" applyAlignment="1" applyProtection="1">
      <alignment vertical="center"/>
      <protection locked="0"/>
    </xf>
    <xf numFmtId="9" fontId="0" fillId="5" borderId="51" xfId="0" applyNumberFormat="1" applyFill="1" applyBorder="1" applyAlignment="1" applyProtection="1">
      <alignment vertical="center"/>
      <protection locked="0"/>
    </xf>
    <xf numFmtId="9" fontId="0" fillId="0" borderId="19" xfId="0" applyNumberFormat="1" applyFill="1" applyBorder="1" applyAlignment="1">
      <alignment vertical="center"/>
    </xf>
    <xf numFmtId="0" fontId="0" fillId="5" borderId="3" xfId="0" applyFill="1" applyBorder="1" applyAlignment="1" applyProtection="1">
      <alignment vertical="center"/>
      <protection locked="0"/>
    </xf>
    <xf numFmtId="2" fontId="0" fillId="0" borderId="3" xfId="0" applyNumberFormat="1" applyFill="1" applyBorder="1" applyAlignment="1">
      <alignment vertical="center"/>
    </xf>
    <xf numFmtId="2" fontId="0" fillId="0" borderId="55" xfId="0" applyNumberFormat="1" applyFill="1" applyBorder="1" applyAlignment="1">
      <alignment vertical="center"/>
    </xf>
    <xf numFmtId="0" fontId="0" fillId="0" borderId="2" xfId="0" applyBorder="1" applyAlignment="1">
      <alignment horizontal="center" vertical="center"/>
    </xf>
    <xf numFmtId="9" fontId="0" fillId="5" borderId="29" xfId="0" applyNumberFormat="1" applyFill="1" applyBorder="1" applyAlignment="1" applyProtection="1">
      <alignment vertical="center"/>
      <protection locked="0"/>
    </xf>
    <xf numFmtId="9" fontId="0" fillId="5" borderId="30" xfId="0" applyNumberFormat="1" applyFill="1" applyBorder="1" applyAlignment="1" applyProtection="1">
      <alignment vertical="center"/>
      <protection locked="0"/>
    </xf>
    <xf numFmtId="9" fontId="0" fillId="0" borderId="9" xfId="0" applyNumberFormat="1" applyFill="1" applyBorder="1" applyAlignment="1">
      <alignment vertical="center"/>
    </xf>
    <xf numFmtId="0" fontId="0" fillId="5" borderId="1" xfId="0" applyFill="1" applyBorder="1" applyAlignment="1" applyProtection="1">
      <alignment vertical="center"/>
      <protection locked="0"/>
    </xf>
    <xf numFmtId="0" fontId="0" fillId="0" borderId="8" xfId="0" applyBorder="1" applyAlignment="1">
      <alignment horizontal="center" vertical="center"/>
    </xf>
    <xf numFmtId="9" fontId="0" fillId="5" borderId="5" xfId="0" applyNumberFormat="1" applyFill="1" applyBorder="1" applyAlignment="1" applyProtection="1">
      <alignment vertical="center"/>
      <protection locked="0"/>
    </xf>
    <xf numFmtId="9" fontId="0" fillId="5" borderId="6" xfId="0" applyNumberFormat="1" applyFill="1" applyBorder="1" applyAlignment="1" applyProtection="1">
      <alignment vertical="center"/>
      <protection locked="0"/>
    </xf>
    <xf numFmtId="9" fontId="0" fillId="0" borderId="18" xfId="0" applyNumberFormat="1" applyFill="1" applyBorder="1" applyAlignment="1">
      <alignment vertical="center"/>
    </xf>
    <xf numFmtId="0" fontId="0" fillId="5" borderId="20" xfId="0" applyFill="1" applyBorder="1" applyAlignment="1" applyProtection="1">
      <alignment vertical="center"/>
      <protection locked="0"/>
    </xf>
    <xf numFmtId="2" fontId="0" fillId="0" borderId="20" xfId="0" applyNumberFormat="1" applyFill="1" applyBorder="1" applyAlignment="1">
      <alignment vertical="center"/>
    </xf>
    <xf numFmtId="0" fontId="0" fillId="0" borderId="0" xfId="0" applyFill="1" applyAlignment="1">
      <alignment vertical="center"/>
    </xf>
    <xf numFmtId="43" fontId="0" fillId="0" borderId="31" xfId="4" applyFont="1" applyFill="1" applyBorder="1" applyProtection="1">
      <protection locked="0"/>
    </xf>
    <xf numFmtId="43" fontId="0" fillId="0" borderId="29" xfId="4" applyFont="1" applyFill="1" applyBorder="1" applyProtection="1">
      <protection locked="0"/>
    </xf>
    <xf numFmtId="4" fontId="0" fillId="0" borderId="29" xfId="0" applyNumberFormat="1" applyFill="1" applyBorder="1" applyProtection="1">
      <protection locked="0"/>
    </xf>
    <xf numFmtId="10" fontId="1" fillId="14" borderId="0" xfId="2" applyNumberFormat="1" applyFont="1" applyFill="1" applyAlignment="1">
      <alignment vertical="center"/>
    </xf>
    <xf numFmtId="4" fontId="0" fillId="0" borderId="29" xfId="0" applyNumberFormat="1" applyBorder="1" applyAlignment="1" applyProtection="1">
      <alignment horizontal="right" vertical="center" wrapText="1"/>
    </xf>
    <xf numFmtId="0" fontId="0" fillId="0" borderId="0" xfId="0" applyBorder="1" applyAlignment="1" applyProtection="1">
      <alignment vertical="center"/>
    </xf>
    <xf numFmtId="0" fontId="9" fillId="0" borderId="0" xfId="0" applyFont="1" applyBorder="1" applyAlignment="1" applyProtection="1">
      <alignment vertical="center"/>
    </xf>
    <xf numFmtId="0" fontId="5" fillId="0" borderId="0" xfId="0" applyFont="1" applyBorder="1" applyAlignment="1" applyProtection="1">
      <alignment vertical="center"/>
    </xf>
    <xf numFmtId="2" fontId="5" fillId="0" borderId="0" xfId="0" applyNumberFormat="1" applyFont="1" applyBorder="1" applyAlignment="1" applyProtection="1">
      <alignment vertical="center"/>
    </xf>
    <xf numFmtId="3" fontId="5" fillId="0" borderId="0" xfId="0" applyNumberFormat="1" applyFont="1" applyBorder="1" applyAlignment="1" applyProtection="1">
      <alignment vertical="center"/>
    </xf>
    <xf numFmtId="0" fontId="0" fillId="0" borderId="0" xfId="0" applyBorder="1" applyAlignment="1">
      <alignment vertical="center"/>
    </xf>
    <xf numFmtId="0" fontId="0" fillId="14" borderId="0" xfId="0" applyFill="1" applyBorder="1" applyAlignment="1">
      <alignment vertical="center"/>
    </xf>
    <xf numFmtId="0" fontId="15" fillId="0" borderId="0" xfId="0" applyFont="1" applyFill="1" applyAlignment="1">
      <alignment vertical="center"/>
    </xf>
    <xf numFmtId="0" fontId="4" fillId="0" borderId="0" xfId="0" applyFont="1" applyBorder="1" applyAlignment="1" applyProtection="1">
      <alignment vertical="center"/>
    </xf>
    <xf numFmtId="0" fontId="2" fillId="0" borderId="0" xfId="0" applyFont="1" applyBorder="1" applyAlignment="1" applyProtection="1">
      <alignment vertical="center"/>
    </xf>
    <xf numFmtId="2" fontId="2" fillId="0" borderId="0" xfId="0" applyNumberFormat="1" applyFont="1" applyBorder="1" applyAlignment="1" applyProtection="1">
      <alignment vertical="center"/>
      <protection locked="0"/>
    </xf>
    <xf numFmtId="3" fontId="2" fillId="0" borderId="0" xfId="0" applyNumberFormat="1" applyFont="1" applyBorder="1" applyAlignment="1" applyProtection="1">
      <alignment vertical="center"/>
    </xf>
    <xf numFmtId="0" fontId="2" fillId="0" borderId="0" xfId="0" applyFont="1" applyBorder="1" applyAlignment="1" applyProtection="1">
      <alignment vertical="center" wrapText="1"/>
    </xf>
    <xf numFmtId="0" fontId="0" fillId="0" borderId="0" xfId="0" applyBorder="1" applyAlignment="1" applyProtection="1">
      <alignment vertical="center" wrapText="1"/>
    </xf>
    <xf numFmtId="2" fontId="0" fillId="0" borderId="0" xfId="0" applyNumberFormat="1" applyBorder="1" applyAlignment="1" applyProtection="1">
      <alignment vertical="center"/>
    </xf>
    <xf numFmtId="2" fontId="0" fillId="0" borderId="0" xfId="0" applyNumberFormat="1" applyBorder="1" applyAlignment="1" applyProtection="1">
      <alignment vertical="center" wrapText="1"/>
    </xf>
    <xf numFmtId="3" fontId="0" fillId="0" borderId="0" xfId="0" applyNumberFormat="1" applyBorder="1" applyAlignment="1" applyProtection="1">
      <alignment vertical="center" wrapText="1"/>
    </xf>
    <xf numFmtId="3" fontId="0" fillId="2" borderId="26" xfId="0" applyNumberFormat="1" applyFill="1" applyBorder="1" applyAlignment="1" applyProtection="1">
      <alignment horizontal="center" vertical="center" wrapText="1"/>
    </xf>
    <xf numFmtId="0" fontId="0" fillId="2" borderId="39" xfId="0" applyFill="1" applyBorder="1" applyAlignment="1" applyProtection="1">
      <alignment horizontal="left" vertical="center"/>
    </xf>
    <xf numFmtId="0" fontId="0" fillId="2" borderId="41" xfId="0" applyFill="1" applyBorder="1" applyAlignment="1" applyProtection="1">
      <alignment horizontal="left" vertical="center"/>
    </xf>
    <xf numFmtId="0" fontId="0" fillId="2" borderId="44" xfId="0" applyFill="1" applyBorder="1" applyAlignment="1" applyProtection="1">
      <alignment horizontal="left" vertical="center"/>
    </xf>
    <xf numFmtId="0" fontId="13" fillId="2" borderId="47" xfId="0" applyFont="1" applyFill="1" applyBorder="1" applyAlignment="1" applyProtection="1">
      <alignment horizontal="left" vertical="center"/>
    </xf>
    <xf numFmtId="0" fontId="1" fillId="0" borderId="52" xfId="0" applyFont="1" applyFill="1" applyBorder="1" applyAlignment="1">
      <alignment horizontal="center" vertical="center"/>
    </xf>
    <xf numFmtId="0" fontId="0" fillId="2" borderId="8" xfId="0" applyFill="1" applyBorder="1" applyAlignment="1" applyProtection="1">
      <alignment horizontal="left" vertical="center"/>
    </xf>
    <xf numFmtId="0" fontId="0" fillId="2" borderId="62" xfId="0" applyFill="1" applyBorder="1" applyAlignment="1" applyProtection="1">
      <alignment horizontal="left" vertical="center"/>
    </xf>
    <xf numFmtId="0" fontId="0" fillId="2" borderId="63" xfId="0" applyFill="1" applyBorder="1" applyAlignment="1" applyProtection="1">
      <alignment horizontal="left" vertical="center"/>
    </xf>
    <xf numFmtId="0" fontId="13" fillId="2" borderId="64" xfId="0" applyFont="1" applyFill="1" applyBorder="1" applyAlignment="1" applyProtection="1">
      <alignment horizontal="left" vertical="center"/>
    </xf>
    <xf numFmtId="166" fontId="0" fillId="0" borderId="20" xfId="0" applyNumberFormat="1" applyBorder="1" applyAlignment="1" applyProtection="1">
      <alignment horizontal="center" vertical="center"/>
    </xf>
    <xf numFmtId="166" fontId="0" fillId="0" borderId="3" xfId="0" applyNumberFormat="1" applyBorder="1" applyAlignment="1" applyProtection="1">
      <alignment horizontal="center" vertical="center"/>
    </xf>
    <xf numFmtId="0" fontId="0" fillId="2" borderId="11" xfId="0" applyFill="1" applyBorder="1" applyAlignment="1" applyProtection="1">
      <alignment horizontal="left" vertical="center"/>
    </xf>
    <xf numFmtId="0" fontId="0" fillId="2" borderId="61" xfId="0" applyFill="1" applyBorder="1" applyAlignment="1" applyProtection="1">
      <alignment horizontal="left" vertical="center"/>
    </xf>
    <xf numFmtId="0" fontId="0" fillId="2" borderId="56" xfId="0" applyFill="1" applyBorder="1" applyAlignment="1" applyProtection="1">
      <alignment horizontal="left" vertical="center"/>
    </xf>
    <xf numFmtId="0" fontId="13" fillId="2" borderId="55" xfId="0" applyFont="1" applyFill="1" applyBorder="1" applyAlignment="1" applyProtection="1">
      <alignment horizontal="left" vertical="center"/>
    </xf>
    <xf numFmtId="165" fontId="0" fillId="0" borderId="1" xfId="0" applyNumberFormat="1" applyBorder="1" applyAlignment="1" applyProtection="1">
      <alignment horizontal="center" vertical="center"/>
    </xf>
    <xf numFmtId="0" fontId="0" fillId="2" borderId="2" xfId="0" applyFill="1" applyBorder="1" applyAlignment="1" applyProtection="1">
      <alignment horizontal="left" vertical="center"/>
    </xf>
    <xf numFmtId="0" fontId="0" fillId="2" borderId="42" xfId="0" applyFill="1" applyBorder="1" applyAlignment="1" applyProtection="1">
      <alignment horizontal="left" vertical="center"/>
    </xf>
    <xf numFmtId="0" fontId="0" fillId="2" borderId="43" xfId="0" applyFill="1" applyBorder="1" applyAlignment="1" applyProtection="1">
      <alignment horizontal="left" vertical="center"/>
    </xf>
    <xf numFmtId="0" fontId="13" fillId="2" borderId="48" xfId="0" applyFont="1" applyFill="1" applyBorder="1" applyAlignment="1" applyProtection="1">
      <alignment horizontal="left" vertical="center"/>
    </xf>
    <xf numFmtId="2" fontId="0" fillId="0" borderId="1" xfId="0" applyNumberFormat="1" applyBorder="1" applyAlignment="1" applyProtection="1">
      <alignment horizontal="center" vertical="center"/>
    </xf>
    <xf numFmtId="0" fontId="0" fillId="2" borderId="57" xfId="0" applyFill="1" applyBorder="1" applyAlignment="1" applyProtection="1">
      <alignment horizontal="left" vertical="center"/>
    </xf>
    <xf numFmtId="0" fontId="0" fillId="2" borderId="58" xfId="0" applyFill="1" applyBorder="1" applyAlignment="1" applyProtection="1">
      <alignment horizontal="left" vertical="center"/>
    </xf>
    <xf numFmtId="0" fontId="0" fillId="2" borderId="59" xfId="0" applyFill="1" applyBorder="1" applyAlignment="1" applyProtection="1">
      <alignment horizontal="left" vertical="center"/>
    </xf>
    <xf numFmtId="0" fontId="13" fillId="2" borderId="60" xfId="0" applyFont="1" applyFill="1" applyBorder="1" applyAlignment="1" applyProtection="1">
      <alignment horizontal="left" vertical="center"/>
    </xf>
    <xf numFmtId="2" fontId="0" fillId="0" borderId="53" xfId="0" applyNumberFormat="1" applyBorder="1" applyAlignment="1" applyProtection="1">
      <alignment horizontal="center" vertical="center"/>
    </xf>
    <xf numFmtId="0" fontId="0" fillId="0" borderId="0" xfId="0" applyBorder="1" applyAlignment="1" applyProtection="1">
      <alignment horizontal="left" vertical="center"/>
    </xf>
    <xf numFmtId="0" fontId="0" fillId="2" borderId="45" xfId="0" applyFill="1" applyBorder="1" applyAlignment="1" applyProtection="1">
      <alignment horizontal="left" vertical="center"/>
    </xf>
    <xf numFmtId="0" fontId="0" fillId="2" borderId="46" xfId="0" applyFill="1" applyBorder="1" applyAlignment="1" applyProtection="1">
      <alignment horizontal="left" vertical="center"/>
    </xf>
    <xf numFmtId="0" fontId="0" fillId="2" borderId="24" xfId="0" applyFill="1" applyBorder="1" applyAlignment="1" applyProtection="1">
      <alignment horizontal="left" vertical="center"/>
    </xf>
    <xf numFmtId="0" fontId="13" fillId="2" borderId="34" xfId="0" applyFont="1" applyFill="1" applyBorder="1" applyAlignment="1" applyProtection="1">
      <alignment horizontal="left" vertical="center"/>
    </xf>
    <xf numFmtId="166" fontId="0" fillId="0" borderId="26" xfId="0" applyNumberFormat="1" applyBorder="1" applyAlignment="1" applyProtection="1">
      <alignment horizontal="center" vertical="center"/>
    </xf>
    <xf numFmtId="3" fontId="0" fillId="0" borderId="0" xfId="0" applyNumberFormat="1" applyBorder="1" applyAlignment="1" applyProtection="1">
      <alignment vertical="center"/>
    </xf>
    <xf numFmtId="0" fontId="0" fillId="2" borderId="31" xfId="0" applyFill="1" applyBorder="1" applyAlignment="1" applyProtection="1">
      <alignment horizontal="center" vertical="center" wrapText="1"/>
    </xf>
    <xf numFmtId="0" fontId="0" fillId="2" borderId="32" xfId="0" applyFill="1" applyBorder="1" applyAlignment="1" applyProtection="1">
      <alignment horizontal="center" vertical="center" wrapText="1"/>
    </xf>
    <xf numFmtId="0" fontId="24" fillId="2" borderId="32" xfId="0" applyFont="1" applyFill="1" applyBorder="1" applyAlignment="1" applyProtection="1">
      <alignment horizontal="center" vertical="center" wrapText="1"/>
    </xf>
    <xf numFmtId="2" fontId="0" fillId="2" borderId="32" xfId="0" applyNumberFormat="1" applyFill="1" applyBorder="1" applyAlignment="1" applyProtection="1">
      <alignment horizontal="center" vertical="center" wrapText="1"/>
    </xf>
    <xf numFmtId="3" fontId="0" fillId="2" borderId="32" xfId="0" applyNumberFormat="1" applyFill="1" applyBorder="1" applyAlignment="1" applyProtection="1">
      <alignment horizontal="center" vertical="center" wrapText="1"/>
    </xf>
    <xf numFmtId="3" fontId="17" fillId="2" borderId="33" xfId="0" applyNumberFormat="1" applyFont="1" applyFill="1" applyBorder="1" applyAlignment="1" applyProtection="1">
      <alignment horizontal="center" vertical="center" wrapText="1"/>
    </xf>
    <xf numFmtId="0" fontId="13" fillId="0" borderId="0" xfId="0" applyFont="1" applyBorder="1" applyAlignment="1" applyProtection="1">
      <alignment vertical="center"/>
    </xf>
    <xf numFmtId="0" fontId="13" fillId="2" borderId="7" xfId="0" applyFont="1" applyFill="1" applyBorder="1" applyAlignment="1" applyProtection="1">
      <alignment horizontal="center" vertical="center" wrapText="1"/>
    </xf>
    <xf numFmtId="0" fontId="13" fillId="2" borderId="12" xfId="0" applyFont="1" applyFill="1" applyBorder="1" applyAlignment="1" applyProtection="1">
      <alignment horizontal="center" vertical="center" wrapText="1"/>
    </xf>
    <xf numFmtId="2" fontId="13" fillId="2" borderId="12" xfId="0" applyNumberFormat="1" applyFont="1" applyFill="1" applyBorder="1" applyAlignment="1" applyProtection="1">
      <alignment horizontal="center" vertical="center" wrapText="1"/>
    </xf>
    <xf numFmtId="3" fontId="13" fillId="2" borderId="12" xfId="0" applyNumberFormat="1" applyFont="1" applyFill="1" applyBorder="1" applyAlignment="1" applyProtection="1">
      <alignment horizontal="center" vertical="center" wrapText="1"/>
    </xf>
    <xf numFmtId="3" fontId="13" fillId="2" borderId="23" xfId="0" applyNumberFormat="1" applyFont="1" applyFill="1" applyBorder="1" applyAlignment="1" applyProtection="1">
      <alignment horizontal="center" vertical="center" wrapText="1"/>
    </xf>
    <xf numFmtId="0" fontId="0" fillId="2" borderId="5" xfId="0" applyFill="1" applyBorder="1" applyAlignment="1" applyProtection="1">
      <alignment horizontal="center" vertical="center" wrapText="1"/>
    </xf>
    <xf numFmtId="0" fontId="0" fillId="2" borderId="6" xfId="0" applyFill="1" applyBorder="1" applyAlignment="1" applyProtection="1">
      <alignment horizontal="center" vertical="center" wrapText="1"/>
    </xf>
    <xf numFmtId="2" fontId="0" fillId="2" borderId="6" xfId="0" applyNumberFormat="1" applyFill="1" applyBorder="1" applyAlignment="1" applyProtection="1">
      <alignment horizontal="center" vertical="center" wrapText="1"/>
    </xf>
    <xf numFmtId="3" fontId="0" fillId="2" borderId="6" xfId="0" applyNumberFormat="1" applyFill="1" applyBorder="1" applyAlignment="1" applyProtection="1">
      <alignment horizontal="center" vertical="center" wrapText="1"/>
    </xf>
    <xf numFmtId="3" fontId="0" fillId="2" borderId="18" xfId="0" applyNumberFormat="1" applyFill="1" applyBorder="1" applyAlignment="1" applyProtection="1">
      <alignment horizontal="center" vertical="center" wrapText="1"/>
    </xf>
    <xf numFmtId="0" fontId="0" fillId="0" borderId="7" xfId="0" applyBorder="1" applyAlignment="1" applyProtection="1">
      <alignment vertical="center"/>
    </xf>
    <xf numFmtId="0" fontId="0" fillId="0" borderId="12" xfId="0" applyBorder="1" applyAlignment="1" applyProtection="1">
      <alignment vertical="center"/>
    </xf>
    <xf numFmtId="2" fontId="0" fillId="0" borderId="12" xfId="0" applyNumberFormat="1" applyBorder="1" applyAlignment="1" applyProtection="1">
      <alignment vertical="center"/>
    </xf>
    <xf numFmtId="3" fontId="0" fillId="0" borderId="28" xfId="0" applyNumberFormat="1" applyBorder="1" applyAlignment="1" applyProtection="1">
      <alignment vertical="center"/>
    </xf>
    <xf numFmtId="3" fontId="0" fillId="0" borderId="12" xfId="0" applyNumberFormat="1" applyBorder="1" applyAlignment="1" applyProtection="1">
      <alignment vertical="center"/>
    </xf>
    <xf numFmtId="3" fontId="0" fillId="0" borderId="23" xfId="0" applyNumberFormat="1" applyBorder="1" applyAlignment="1" applyProtection="1">
      <alignment vertical="center"/>
    </xf>
    <xf numFmtId="0" fontId="0" fillId="4" borderId="39" xfId="0" applyFill="1" applyBorder="1" applyAlignment="1" applyProtection="1">
      <alignment vertical="center"/>
    </xf>
    <xf numFmtId="43" fontId="0" fillId="0" borderId="31" xfId="4" applyFont="1" applyBorder="1" applyAlignment="1" applyProtection="1">
      <alignment vertical="center"/>
    </xf>
    <xf numFmtId="4" fontId="0" fillId="0" borderId="54" xfId="0" applyNumberFormat="1" applyBorder="1" applyAlignment="1" applyProtection="1">
      <alignment vertical="center"/>
    </xf>
    <xf numFmtId="2" fontId="0" fillId="9" borderId="32" xfId="0" applyNumberFormat="1" applyFill="1" applyBorder="1" applyAlignment="1" applyProtection="1">
      <alignment vertical="center"/>
      <protection locked="0"/>
    </xf>
    <xf numFmtId="3" fontId="0" fillId="0" borderId="51" xfId="0" applyNumberFormat="1" applyBorder="1" applyAlignment="1" applyProtection="1">
      <alignment vertical="center"/>
    </xf>
    <xf numFmtId="3" fontId="0" fillId="0" borderId="32" xfId="0" applyNumberFormat="1" applyBorder="1" applyAlignment="1" applyProtection="1">
      <alignment vertical="center"/>
    </xf>
    <xf numFmtId="3" fontId="0" fillId="0" borderId="33" xfId="0" applyNumberFormat="1" applyBorder="1" applyAlignment="1" applyProtection="1">
      <alignment vertical="center"/>
    </xf>
    <xf numFmtId="3" fontId="0" fillId="0" borderId="31" xfId="0" applyNumberFormat="1" applyBorder="1" applyAlignment="1" applyProtection="1">
      <alignment vertical="center"/>
    </xf>
    <xf numFmtId="0" fontId="0" fillId="4" borderId="11" xfId="0" applyFill="1" applyBorder="1" applyAlignment="1" applyProtection="1">
      <alignment vertical="center"/>
    </xf>
    <xf numFmtId="43" fontId="0" fillId="0" borderId="29" xfId="4" applyFont="1" applyBorder="1" applyAlignment="1" applyProtection="1">
      <alignment vertical="center"/>
    </xf>
    <xf numFmtId="4" fontId="0" fillId="0" borderId="30" xfId="0" applyNumberFormat="1" applyBorder="1" applyAlignment="1" applyProtection="1">
      <alignment vertical="center"/>
    </xf>
    <xf numFmtId="2" fontId="0" fillId="9" borderId="30" xfId="0" applyNumberFormat="1" applyFill="1" applyBorder="1" applyAlignment="1" applyProtection="1">
      <alignment vertical="center"/>
      <protection locked="0"/>
    </xf>
    <xf numFmtId="3" fontId="0" fillId="0" borderId="30" xfId="0" applyNumberFormat="1" applyBorder="1" applyAlignment="1" applyProtection="1">
      <alignment vertical="center"/>
    </xf>
    <xf numFmtId="3" fontId="0" fillId="0" borderId="9" xfId="0" applyNumberFormat="1" applyBorder="1" applyAlignment="1" applyProtection="1">
      <alignment vertical="center"/>
    </xf>
    <xf numFmtId="3" fontId="0" fillId="14" borderId="0" xfId="0" applyNumberFormat="1" applyFill="1" applyBorder="1" applyAlignment="1">
      <alignment vertical="center"/>
    </xf>
    <xf numFmtId="3" fontId="0" fillId="0" borderId="29" xfId="0" applyNumberFormat="1" applyBorder="1" applyAlignment="1" applyProtection="1">
      <alignment vertical="center"/>
    </xf>
    <xf numFmtId="0" fontId="0" fillId="0" borderId="0" xfId="0" applyFill="1" applyBorder="1" applyAlignment="1">
      <alignment vertical="center"/>
    </xf>
    <xf numFmtId="0" fontId="0" fillId="4" borderId="40" xfId="0" applyFill="1" applyBorder="1" applyAlignment="1" applyProtection="1">
      <alignment vertical="center"/>
    </xf>
    <xf numFmtId="3" fontId="0" fillId="0" borderId="5" xfId="0" applyNumberFormat="1" applyBorder="1" applyAlignment="1" applyProtection="1">
      <alignment vertical="center"/>
    </xf>
    <xf numFmtId="4" fontId="0" fillId="0" borderId="6" xfId="0" applyNumberFormat="1" applyBorder="1" applyAlignment="1" applyProtection="1">
      <alignment vertical="center"/>
    </xf>
    <xf numFmtId="2" fontId="0" fillId="9" borderId="6" xfId="0" applyNumberFormat="1" applyFill="1" applyBorder="1" applyAlignment="1" applyProtection="1">
      <alignment vertical="center"/>
      <protection locked="0"/>
    </xf>
    <xf numFmtId="3" fontId="0" fillId="0" borderId="6" xfId="0" applyNumberFormat="1" applyBorder="1" applyAlignment="1" applyProtection="1">
      <alignment vertical="center"/>
    </xf>
    <xf numFmtId="3" fontId="0" fillId="0" borderId="18" xfId="0" applyNumberFormat="1" applyBorder="1" applyAlignment="1" applyProtection="1">
      <alignment vertical="center"/>
    </xf>
    <xf numFmtId="4" fontId="0" fillId="0" borderId="1" xfId="0" applyNumberFormat="1" applyFill="1" applyBorder="1" applyAlignment="1" applyProtection="1">
      <alignment vertical="center"/>
    </xf>
    <xf numFmtId="165" fontId="0" fillId="0" borderId="43" xfId="0" applyNumberFormat="1" applyFill="1" applyBorder="1" applyAlignment="1">
      <alignment vertical="center"/>
    </xf>
    <xf numFmtId="4" fontId="0" fillId="0" borderId="48" xfId="0" applyNumberFormat="1" applyFill="1" applyBorder="1" applyAlignment="1">
      <alignment vertical="center"/>
    </xf>
    <xf numFmtId="43" fontId="0" fillId="0" borderId="56" xfId="4" applyFont="1" applyFill="1" applyBorder="1" applyAlignment="1">
      <alignment vertical="center"/>
    </xf>
    <xf numFmtId="43" fontId="0" fillId="0" borderId="51" xfId="4" applyFont="1" applyFill="1" applyBorder="1" applyAlignment="1">
      <alignment vertical="center"/>
    </xf>
    <xf numFmtId="43" fontId="0" fillId="0" borderId="25" xfId="4" applyFont="1" applyFill="1" applyBorder="1" applyAlignment="1">
      <alignment vertical="center"/>
    </xf>
    <xf numFmtId="43" fontId="0" fillId="0" borderId="3" xfId="4" applyFont="1" applyFill="1" applyBorder="1" applyAlignment="1">
      <alignment vertical="center"/>
    </xf>
    <xf numFmtId="43" fontId="0" fillId="0" borderId="47" xfId="4" applyFont="1" applyFill="1" applyBorder="1" applyAlignment="1">
      <alignment vertical="center"/>
    </xf>
    <xf numFmtId="43" fontId="0" fillId="0" borderId="25" xfId="4" applyFont="1" applyFill="1" applyBorder="1" applyAlignment="1" applyProtection="1">
      <alignment vertical="center"/>
    </xf>
    <xf numFmtId="43" fontId="0" fillId="0" borderId="43" xfId="4" applyFont="1" applyFill="1" applyBorder="1" applyAlignment="1">
      <alignment vertical="center"/>
    </xf>
    <xf numFmtId="43" fontId="0" fillId="0" borderId="30" xfId="4" applyFont="1" applyFill="1" applyBorder="1" applyAlignment="1">
      <alignment vertical="center"/>
    </xf>
    <xf numFmtId="43" fontId="0" fillId="0" borderId="1" xfId="4" applyFont="1" applyFill="1" applyBorder="1" applyAlignment="1">
      <alignment vertical="center"/>
    </xf>
    <xf numFmtId="43" fontId="0" fillId="0" borderId="48" xfId="4" applyFont="1" applyFill="1" applyBorder="1" applyAlignment="1">
      <alignment vertical="center"/>
    </xf>
    <xf numFmtId="43" fontId="0" fillId="0" borderId="1" xfId="4" applyFont="1" applyFill="1" applyBorder="1" applyAlignment="1" applyProtection="1">
      <alignment vertical="center"/>
    </xf>
    <xf numFmtId="43" fontId="0" fillId="0" borderId="32" xfId="4" applyFont="1" applyBorder="1" applyAlignment="1" applyProtection="1">
      <alignment vertical="center"/>
    </xf>
    <xf numFmtId="43" fontId="0" fillId="0" borderId="33" xfId="4" applyFont="1" applyBorder="1" applyAlignment="1" applyProtection="1">
      <alignment vertical="center"/>
    </xf>
    <xf numFmtId="43" fontId="0" fillId="0" borderId="30" xfId="4" applyFont="1" applyBorder="1" applyAlignment="1" applyProtection="1">
      <alignment vertical="center"/>
    </xf>
    <xf numFmtId="43" fontId="0" fillId="0" borderId="9" xfId="4" applyFont="1" applyBorder="1" applyAlignment="1" applyProtection="1">
      <alignment vertical="center"/>
    </xf>
    <xf numFmtId="9" fontId="0" fillId="24" borderId="29" xfId="2" applyNumberFormat="1" applyFont="1" applyFill="1" applyBorder="1" applyAlignment="1" applyProtection="1">
      <alignment horizontal="center" vertical="center" wrapText="1"/>
      <protection locked="0"/>
    </xf>
    <xf numFmtId="9" fontId="0" fillId="24" borderId="30" xfId="2" applyNumberFormat="1" applyFont="1" applyFill="1" applyBorder="1" applyAlignment="1" applyProtection="1">
      <alignment horizontal="center" vertical="center" wrapText="1"/>
      <protection locked="0"/>
    </xf>
    <xf numFmtId="0" fontId="21" fillId="2" borderId="0" xfId="0" applyFont="1" applyFill="1" applyAlignment="1">
      <alignment horizontal="center"/>
    </xf>
    <xf numFmtId="0" fontId="22" fillId="2" borderId="0" xfId="0" applyFont="1" applyFill="1" applyAlignment="1">
      <alignment horizontal="center" vertical="top" wrapText="1"/>
    </xf>
    <xf numFmtId="0" fontId="2" fillId="23" borderId="68" xfId="0" applyFont="1" applyFill="1" applyBorder="1" applyAlignment="1">
      <alignment horizontal="left"/>
    </xf>
    <xf numFmtId="0" fontId="2" fillId="23" borderId="42" xfId="0" applyFont="1" applyFill="1" applyBorder="1" applyAlignment="1">
      <alignment horizontal="left"/>
    </xf>
    <xf numFmtId="0" fontId="2" fillId="23" borderId="43" xfId="0" applyFont="1" applyFill="1" applyBorder="1" applyAlignment="1">
      <alignment horizontal="left"/>
    </xf>
    <xf numFmtId="166" fontId="2" fillId="22" borderId="30" xfId="0" applyNumberFormat="1" applyFont="1" applyFill="1" applyBorder="1" applyAlignment="1">
      <alignment horizontal="center"/>
    </xf>
    <xf numFmtId="0" fontId="33" fillId="21" borderId="30" xfId="0" applyFont="1" applyFill="1" applyBorder="1" applyAlignment="1">
      <alignment horizontal="right" wrapText="1" indent="1"/>
    </xf>
    <xf numFmtId="0" fontId="2" fillId="21" borderId="30" xfId="0" applyFont="1" applyFill="1" applyBorder="1" applyAlignment="1">
      <alignment horizontal="left" wrapText="1" indent="1"/>
    </xf>
    <xf numFmtId="0" fontId="2" fillId="22" borderId="15" xfId="0" applyFont="1" applyFill="1" applyBorder="1" applyAlignment="1">
      <alignment horizontal="center" vertical="center" wrapText="1"/>
    </xf>
    <xf numFmtId="0" fontId="2" fillId="22" borderId="12" xfId="0" applyFont="1" applyFill="1" applyBorder="1" applyAlignment="1">
      <alignment horizontal="center" vertical="center" wrapText="1"/>
    </xf>
    <xf numFmtId="0" fontId="2" fillId="22" borderId="79" xfId="0" applyFont="1" applyFill="1" applyBorder="1" applyAlignment="1">
      <alignment horizontal="center" vertical="center" wrapText="1"/>
    </xf>
    <xf numFmtId="0" fontId="2" fillId="5" borderId="45" xfId="0" applyFont="1" applyFill="1" applyBorder="1" applyAlignment="1" applyProtection="1">
      <alignment horizontal="left"/>
      <protection locked="0"/>
    </xf>
    <xf numFmtId="0" fontId="2" fillId="5" borderId="46" xfId="0" applyFont="1" applyFill="1" applyBorder="1" applyAlignment="1" applyProtection="1">
      <alignment horizontal="left"/>
      <protection locked="0"/>
    </xf>
    <xf numFmtId="0" fontId="2" fillId="5" borderId="34" xfId="0" applyFont="1" applyFill="1" applyBorder="1" applyAlignment="1" applyProtection="1">
      <alignment horizontal="left"/>
      <protection locked="0"/>
    </xf>
    <xf numFmtId="0" fontId="2" fillId="5" borderId="40" xfId="0" applyFont="1" applyFill="1" applyBorder="1" applyAlignment="1" applyProtection="1">
      <protection locked="0"/>
    </xf>
    <xf numFmtId="0" fontId="2" fillId="0" borderId="74" xfId="0" applyFont="1" applyBorder="1" applyAlignment="1" applyProtection="1">
      <protection locked="0"/>
    </xf>
    <xf numFmtId="0" fontId="2" fillId="0" borderId="76" xfId="0" applyFont="1" applyBorder="1" applyAlignment="1" applyProtection="1">
      <protection locked="0"/>
    </xf>
    <xf numFmtId="0" fontId="2" fillId="2" borderId="35" xfId="0" applyFont="1" applyFill="1" applyBorder="1" applyAlignment="1">
      <alignment horizontal="center" wrapText="1"/>
    </xf>
    <xf numFmtId="0" fontId="2" fillId="2" borderId="37" xfId="0" applyFont="1" applyFill="1" applyBorder="1" applyAlignment="1">
      <alignment horizontal="center" wrapText="1"/>
    </xf>
    <xf numFmtId="0" fontId="30" fillId="0" borderId="66" xfId="0" applyFont="1" applyFill="1" applyBorder="1" applyAlignment="1">
      <alignment horizontal="center"/>
    </xf>
    <xf numFmtId="0" fontId="30" fillId="0" borderId="46" xfId="0" applyFont="1" applyFill="1" applyBorder="1" applyAlignment="1">
      <alignment horizontal="center"/>
    </xf>
    <xf numFmtId="0" fontId="30" fillId="0" borderId="34" xfId="0" applyFont="1" applyFill="1" applyBorder="1" applyAlignment="1">
      <alignment horizontal="center"/>
    </xf>
    <xf numFmtId="0" fontId="31" fillId="0" borderId="45" xfId="0" applyFont="1" applyBorder="1" applyAlignment="1" applyProtection="1">
      <alignment horizontal="center"/>
      <protection locked="0"/>
    </xf>
    <xf numFmtId="0" fontId="31" fillId="0" borderId="34" xfId="0" applyFont="1" applyBorder="1" applyAlignment="1" applyProtection="1">
      <alignment horizontal="center"/>
      <protection locked="0"/>
    </xf>
    <xf numFmtId="0" fontId="2" fillId="2" borderId="31" xfId="0" applyFont="1" applyFill="1" applyBorder="1" applyAlignment="1">
      <alignment horizontal="center"/>
    </xf>
    <xf numFmtId="0" fontId="2" fillId="2" borderId="33" xfId="0" applyFont="1" applyFill="1" applyBorder="1" applyAlignment="1">
      <alignment horizontal="center"/>
    </xf>
    <xf numFmtId="0" fontId="2" fillId="2" borderId="39" xfId="0" applyFont="1" applyFill="1" applyBorder="1" applyAlignment="1">
      <alignment horizontal="center" vertical="center" wrapText="1"/>
    </xf>
    <xf numFmtId="0" fontId="2" fillId="2" borderId="41" xfId="0" applyFont="1" applyFill="1" applyBorder="1" applyAlignment="1">
      <alignment horizontal="center" vertical="center" wrapText="1"/>
    </xf>
    <xf numFmtId="0" fontId="2" fillId="2" borderId="47" xfId="0" applyFont="1" applyFill="1" applyBorder="1" applyAlignment="1">
      <alignment horizontal="center" vertical="center" wrapText="1"/>
    </xf>
    <xf numFmtId="0" fontId="4" fillId="0" borderId="0" xfId="0" applyFont="1" applyAlignment="1">
      <alignment horizontal="center" vertical="center"/>
    </xf>
    <xf numFmtId="0" fontId="2" fillId="2" borderId="45" xfId="0" applyFont="1" applyFill="1" applyBorder="1" applyAlignment="1">
      <alignment horizontal="center" vertical="center"/>
    </xf>
    <xf numFmtId="0" fontId="2" fillId="2" borderId="46" xfId="0" applyFont="1" applyFill="1" applyBorder="1" applyAlignment="1">
      <alignment horizontal="center" vertical="center"/>
    </xf>
    <xf numFmtId="0" fontId="2" fillId="2" borderId="34" xfId="0" applyFont="1" applyFill="1" applyBorder="1" applyAlignment="1">
      <alignment horizontal="center" vertical="center"/>
    </xf>
    <xf numFmtId="0" fontId="2" fillId="2" borderId="52" xfId="0" applyFont="1" applyFill="1" applyBorder="1" applyAlignment="1">
      <alignment horizontal="center" vertical="center" wrapText="1"/>
    </xf>
    <xf numFmtId="0" fontId="2" fillId="2" borderId="22" xfId="0" applyFont="1" applyFill="1" applyBorder="1" applyAlignment="1">
      <alignment horizontal="center" vertical="center" wrapText="1"/>
    </xf>
    <xf numFmtId="0" fontId="2" fillId="2" borderId="70"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77" xfId="0" applyFont="1" applyFill="1" applyBorder="1" applyAlignment="1">
      <alignment horizontal="center" vertical="center" wrapText="1"/>
    </xf>
    <xf numFmtId="0" fontId="2" fillId="19" borderId="45" xfId="0" applyFont="1" applyFill="1" applyBorder="1" applyAlignment="1">
      <alignment horizontal="center" vertical="center"/>
    </xf>
    <xf numFmtId="0" fontId="2" fillId="19" borderId="46" xfId="0" applyFont="1" applyFill="1" applyBorder="1" applyAlignment="1">
      <alignment horizontal="center" vertical="center"/>
    </xf>
    <xf numFmtId="0" fontId="2" fillId="19" borderId="34" xfId="0" applyFont="1" applyFill="1" applyBorder="1" applyAlignment="1">
      <alignment horizontal="center" vertical="center"/>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6" borderId="45" xfId="0" applyFont="1" applyFill="1" applyBorder="1" applyAlignment="1">
      <alignment horizontal="center" vertical="center"/>
    </xf>
    <xf numFmtId="0" fontId="2" fillId="6" borderId="46" xfId="0" applyFont="1" applyFill="1" applyBorder="1" applyAlignment="1">
      <alignment horizontal="center" vertical="center"/>
    </xf>
    <xf numFmtId="0" fontId="2" fillId="0" borderId="45" xfId="0" applyFont="1" applyBorder="1" applyAlignment="1">
      <alignment horizontal="left"/>
    </xf>
    <xf numFmtId="0" fontId="2" fillId="0" borderId="46" xfId="0" applyFont="1" applyBorder="1" applyAlignment="1">
      <alignment horizontal="left"/>
    </xf>
    <xf numFmtId="0" fontId="2" fillId="2" borderId="40" xfId="0" applyFont="1" applyFill="1" applyBorder="1" applyAlignment="1">
      <alignment horizontal="center"/>
    </xf>
    <xf numFmtId="0" fontId="2" fillId="2" borderId="74" xfId="0" applyFont="1" applyFill="1" applyBorder="1" applyAlignment="1">
      <alignment horizontal="center"/>
    </xf>
    <xf numFmtId="0" fontId="2" fillId="2" borderId="76" xfId="0" applyFont="1" applyFill="1" applyBorder="1" applyAlignment="1">
      <alignment horizontal="center"/>
    </xf>
    <xf numFmtId="0" fontId="2" fillId="2" borderId="3" xfId="0" applyFont="1" applyFill="1" applyBorder="1" applyAlignment="1">
      <alignment horizontal="center" vertical="center" wrapText="1"/>
    </xf>
    <xf numFmtId="0" fontId="2" fillId="2" borderId="45" xfId="0" applyFont="1" applyFill="1" applyBorder="1" applyAlignment="1">
      <alignment horizontal="center"/>
    </xf>
    <xf numFmtId="0" fontId="2" fillId="2" borderId="46" xfId="0" applyFont="1" applyFill="1" applyBorder="1" applyAlignment="1">
      <alignment horizontal="center"/>
    </xf>
    <xf numFmtId="0" fontId="2" fillId="2" borderId="34" xfId="0" applyFont="1" applyFill="1" applyBorder="1" applyAlignment="1">
      <alignment horizontal="center"/>
    </xf>
    <xf numFmtId="3" fontId="2" fillId="2" borderId="45" xfId="0" applyNumberFormat="1" applyFont="1" applyFill="1" applyBorder="1" applyAlignment="1">
      <alignment horizontal="center" vertical="center"/>
    </xf>
    <xf numFmtId="3" fontId="2" fillId="2" borderId="46" xfId="0" applyNumberFormat="1" applyFont="1" applyFill="1" applyBorder="1" applyAlignment="1">
      <alignment horizontal="center" vertical="center"/>
    </xf>
    <xf numFmtId="3" fontId="2" fillId="2" borderId="34" xfId="0" applyNumberFormat="1" applyFont="1" applyFill="1" applyBorder="1" applyAlignment="1">
      <alignment horizontal="center" vertical="center"/>
    </xf>
    <xf numFmtId="0" fontId="2" fillId="2" borderId="27" xfId="0" applyFont="1" applyFill="1" applyBorder="1" applyAlignment="1">
      <alignment horizontal="center"/>
    </xf>
    <xf numFmtId="0" fontId="2" fillId="2" borderId="28" xfId="0" applyFont="1" applyFill="1" applyBorder="1" applyAlignment="1">
      <alignment horizontal="center"/>
    </xf>
    <xf numFmtId="0" fontId="2" fillId="2" borderId="66" xfId="0" applyFont="1" applyFill="1" applyBorder="1" applyAlignment="1">
      <alignment horizontal="center"/>
    </xf>
    <xf numFmtId="0" fontId="2" fillId="2" borderId="21" xfId="0" applyFont="1" applyFill="1" applyBorder="1" applyAlignment="1">
      <alignment horizontal="center"/>
    </xf>
    <xf numFmtId="3" fontId="2" fillId="2" borderId="24" xfId="0" applyNumberFormat="1" applyFont="1" applyFill="1" applyBorder="1" applyAlignment="1">
      <alignment horizontal="center"/>
    </xf>
    <xf numFmtId="3" fontId="2" fillId="2" borderId="28" xfId="0" applyNumberFormat="1" applyFont="1" applyFill="1" applyBorder="1" applyAlignment="1">
      <alignment horizontal="center"/>
    </xf>
    <xf numFmtId="3" fontId="2" fillId="2" borderId="21" xfId="0" applyNumberFormat="1" applyFont="1" applyFill="1" applyBorder="1" applyAlignment="1">
      <alignment horizontal="center"/>
    </xf>
    <xf numFmtId="3" fontId="2" fillId="0" borderId="45" xfId="0" applyNumberFormat="1" applyFont="1" applyBorder="1" applyAlignment="1">
      <alignment horizontal="left"/>
    </xf>
    <xf numFmtId="3" fontId="2" fillId="0" borderId="46" xfId="0" applyNumberFormat="1" applyFont="1" applyBorder="1" applyAlignment="1">
      <alignment horizontal="left"/>
    </xf>
    <xf numFmtId="3" fontId="2" fillId="0" borderId="34" xfId="0" applyNumberFormat="1" applyFont="1" applyBorder="1" applyAlignment="1">
      <alignment horizontal="left"/>
    </xf>
    <xf numFmtId="3" fontId="0" fillId="0" borderId="0" xfId="0" applyNumberFormat="1" applyFill="1" applyBorder="1" applyAlignment="1">
      <alignment horizontal="center"/>
    </xf>
    <xf numFmtId="0" fontId="0" fillId="0" borderId="0" xfId="0" applyFill="1" applyBorder="1" applyAlignment="1">
      <alignment horizontal="center"/>
    </xf>
    <xf numFmtId="0" fontId="2" fillId="6" borderId="52" xfId="0" applyFont="1" applyFill="1" applyBorder="1" applyAlignment="1">
      <alignment horizontal="center" wrapText="1"/>
    </xf>
    <xf numFmtId="0" fontId="2" fillId="6" borderId="22" xfId="0" applyFont="1" applyFill="1" applyBorder="1" applyAlignment="1">
      <alignment horizontal="center" wrapText="1"/>
    </xf>
    <xf numFmtId="0" fontId="2" fillId="6" borderId="70" xfId="0" applyFont="1" applyFill="1" applyBorder="1" applyAlignment="1">
      <alignment horizontal="center" wrapText="1"/>
    </xf>
    <xf numFmtId="0" fontId="2" fillId="6" borderId="17" xfId="0" applyFont="1" applyFill="1" applyBorder="1" applyAlignment="1">
      <alignment horizontal="left" vertical="top" wrapText="1"/>
    </xf>
    <xf numFmtId="0" fontId="2" fillId="6" borderId="38" xfId="0" applyFont="1" applyFill="1" applyBorder="1" applyAlignment="1">
      <alignment horizontal="left" vertical="top" wrapText="1"/>
    </xf>
    <xf numFmtId="0" fontId="2" fillId="6" borderId="53" xfId="0" applyFont="1" applyFill="1" applyBorder="1" applyAlignment="1">
      <alignment horizontal="center" vertical="top" wrapText="1"/>
    </xf>
    <xf numFmtId="0" fontId="2" fillId="6" borderId="45" xfId="0" applyFont="1" applyFill="1" applyBorder="1" applyAlignment="1">
      <alignment horizontal="center"/>
    </xf>
    <xf numFmtId="0" fontId="2" fillId="6" borderId="34" xfId="0" applyFont="1" applyFill="1" applyBorder="1" applyAlignment="1">
      <alignment horizontal="center"/>
    </xf>
    <xf numFmtId="0" fontId="8" fillId="6" borderId="46" xfId="0" applyFont="1" applyFill="1" applyBorder="1" applyAlignment="1">
      <alignment horizontal="center"/>
    </xf>
    <xf numFmtId="0" fontId="2" fillId="0" borderId="0" xfId="0" applyFont="1" applyAlignment="1">
      <alignment horizontal="left" wrapText="1" shrinkToFit="1"/>
    </xf>
    <xf numFmtId="0" fontId="2" fillId="6" borderId="39" xfId="0" applyFont="1" applyFill="1" applyBorder="1" applyAlignment="1">
      <alignment horizontal="center"/>
    </xf>
    <xf numFmtId="0" fontId="2" fillId="6" borderId="41" xfId="0" applyFont="1" applyFill="1" applyBorder="1" applyAlignment="1">
      <alignment horizontal="center"/>
    </xf>
    <xf numFmtId="0" fontId="2" fillId="6" borderId="47" xfId="0" applyFont="1" applyFill="1" applyBorder="1" applyAlignment="1">
      <alignment horizontal="center"/>
    </xf>
    <xf numFmtId="0" fontId="8" fillId="0" borderId="45" xfId="0" applyFont="1" applyBorder="1" applyAlignment="1">
      <alignment horizontal="center"/>
    </xf>
    <xf numFmtId="0" fontId="8" fillId="0" borderId="34" xfId="0" applyFont="1" applyBorder="1" applyAlignment="1">
      <alignment horizontal="center"/>
    </xf>
    <xf numFmtId="0" fontId="0" fillId="0" borderId="45" xfId="0" applyBorder="1" applyAlignment="1">
      <alignment horizontal="center"/>
    </xf>
    <xf numFmtId="0" fontId="0" fillId="0" borderId="34" xfId="0" applyBorder="1" applyAlignment="1">
      <alignment horizontal="center"/>
    </xf>
    <xf numFmtId="167" fontId="8" fillId="0" borderId="69" xfId="0" applyNumberFormat="1" applyFont="1" applyBorder="1" applyAlignment="1">
      <alignment horizontal="center"/>
    </xf>
    <xf numFmtId="167" fontId="8" fillId="0" borderId="64" xfId="0" applyNumberFormat="1" applyFont="1" applyBorder="1" applyAlignment="1">
      <alignment horizontal="center"/>
    </xf>
    <xf numFmtId="0" fontId="8" fillId="0" borderId="0" xfId="0" applyFont="1" applyAlignment="1">
      <alignment wrapText="1"/>
    </xf>
    <xf numFmtId="0" fontId="0" fillId="0" borderId="0" xfId="0" applyAlignment="1">
      <alignment wrapText="1"/>
    </xf>
    <xf numFmtId="0" fontId="2" fillId="6" borderId="67" xfId="0" applyFont="1" applyFill="1" applyBorder="1" applyAlignment="1">
      <alignment horizontal="center"/>
    </xf>
    <xf numFmtId="167" fontId="2" fillId="6" borderId="68" xfId="0" applyNumberFormat="1" applyFont="1" applyFill="1" applyBorder="1" applyAlignment="1">
      <alignment horizontal="center"/>
    </xf>
    <xf numFmtId="167" fontId="2" fillId="6" borderId="48" xfId="0" applyNumberFormat="1" applyFont="1" applyFill="1" applyBorder="1" applyAlignment="1">
      <alignment horizontal="center"/>
    </xf>
    <xf numFmtId="167" fontId="8" fillId="0" borderId="68" xfId="0" applyNumberFormat="1" applyFont="1" applyBorder="1" applyAlignment="1">
      <alignment horizontal="center"/>
    </xf>
    <xf numFmtId="167" fontId="8" fillId="0" borderId="48" xfId="0" applyNumberFormat="1" applyFont="1" applyBorder="1" applyAlignment="1">
      <alignment horizontal="center"/>
    </xf>
    <xf numFmtId="0" fontId="2" fillId="6" borderId="2" xfId="0" applyFont="1" applyFill="1" applyBorder="1" applyAlignment="1">
      <alignment horizontal="left" vertical="top" wrapText="1"/>
    </xf>
    <xf numFmtId="0" fontId="2" fillId="6" borderId="42" xfId="0" applyFont="1" applyFill="1" applyBorder="1" applyAlignment="1">
      <alignment horizontal="left" vertical="top" wrapText="1"/>
    </xf>
    <xf numFmtId="0" fontId="2" fillId="6" borderId="48" xfId="0" applyFont="1" applyFill="1" applyBorder="1" applyAlignment="1">
      <alignment horizontal="left" vertical="top" wrapText="1"/>
    </xf>
  </cellXfs>
  <cellStyles count="5">
    <cellStyle name="Comma" xfId="4" builtinId="3"/>
    <cellStyle name="Comma 2" xfId="1"/>
    <cellStyle name="Normal" xfId="0" builtinId="0"/>
    <cellStyle name="Percent" xfId="2" builtinId="5"/>
    <cellStyle name="Percent 2" xfId="3"/>
  </cellStyles>
  <dxfs count="4">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
      <fill>
        <patternFill>
          <bgColor indexed="42"/>
        </patternFill>
      </fill>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C6E6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sharedStrings" Target="sharedStrings.xml"/></Relationships>
</file>

<file path=xl/ctrlProps/ctrlProp1.xml><?xml version="1.0" encoding="utf-8"?>
<formControlPr xmlns="http://schemas.microsoft.com/office/spreadsheetml/2009/9/main" objectType="Drop" dropLines="4" dropStyle="combo" dx="16" fmlaLink="selected" fmlaRange="Defaults!$B$17:$B$20" sel="4" val="0"/>
</file>

<file path=xl/ctrlProps/ctrlProp2.xml><?xml version="1.0" encoding="utf-8"?>
<formControlPr xmlns="http://schemas.microsoft.com/office/spreadsheetml/2009/9/main" objectType="Drop" dropLines="2" dropStyle="combo" dx="16" fmlaLink="Select2" fmlaRange="Defaults!$Q$22:$Q$23" sel="1" val="0"/>
</file>

<file path=xl/ctrlProps/ctrlProp3.xml><?xml version="1.0" encoding="utf-8"?>
<formControlPr xmlns="http://schemas.microsoft.com/office/spreadsheetml/2009/9/main" objectType="Drop" dropLines="41" dropStyle="combo" dx="16" fmlaLink="Select3" fmlaRange="Defaults!$V$8:$V$26" sel="3" val="0"/>
</file>

<file path=xl/ctrlProps/ctrlProp4.xml><?xml version="1.0" encoding="utf-8"?>
<formControlPr xmlns="http://schemas.microsoft.com/office/spreadsheetml/2009/9/main" objectType="Drop" dropLines="2" dropStyle="combo" dx="16" fmlaLink="Select2" fmlaRange="Defaults!$Q$22:$Q$23" sel="1" val="0"/>
</file>

<file path=xl/drawings/_rels/drawing1.x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9</xdr:col>
      <xdr:colOff>9525</xdr:colOff>
      <xdr:row>4</xdr:row>
      <xdr:rowOff>114300</xdr:rowOff>
    </xdr:to>
    <xdr:pic>
      <xdr:nvPicPr>
        <xdr:cNvPr id="11273" name="Picture 3" descr="NGGIP">
          <a:extLst>
            <a:ext uri="{FF2B5EF4-FFF2-40B4-BE49-F238E27FC236}">
              <a16:creationId xmlns:a16="http://schemas.microsoft.com/office/drawing/2014/main" xmlns="" id="{00000000-0008-0000-0000-0000092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3825" y="0"/>
          <a:ext cx="6553200" cy="7620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0</xdr:col>
          <xdr:colOff>0</xdr:colOff>
          <xdr:row>11</xdr:row>
          <xdr:rowOff>104775</xdr:rowOff>
        </xdr:from>
        <xdr:to>
          <xdr:col>9</xdr:col>
          <xdr:colOff>352425</xdr:colOff>
          <xdr:row>120</xdr:row>
          <xdr:rowOff>9525</xdr:rowOff>
        </xdr:to>
        <xdr:sp macro="" textlink="">
          <xdr:nvSpPr>
            <xdr:cNvPr id="11268" name="Object 4" hidden="1">
              <a:extLst>
                <a:ext uri="{63B3BB69-23CF-44E3-9099-C40C66FF867C}">
                  <a14:compatExt spid="_x0000_s11268"/>
                </a:ext>
                <a:ext uri="{FF2B5EF4-FFF2-40B4-BE49-F238E27FC236}">
                  <a16:creationId xmlns:a16="http://schemas.microsoft.com/office/drawing/2014/main" xmlns="" id="{00000000-0008-0000-0000-0000042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95250</xdr:colOff>
          <xdr:row>31</xdr:row>
          <xdr:rowOff>0</xdr:rowOff>
        </xdr:from>
        <xdr:to>
          <xdr:col>4</xdr:col>
          <xdr:colOff>0</xdr:colOff>
          <xdr:row>32</xdr:row>
          <xdr:rowOff>57150</xdr:rowOff>
        </xdr:to>
        <xdr:sp macro="" textlink="">
          <xdr:nvSpPr>
            <xdr:cNvPr id="14344" name="Drop Down 8" hidden="1">
              <a:extLst>
                <a:ext uri="{63B3BB69-23CF-44E3-9099-C40C66FF867C}">
                  <a14:compatExt spid="_x0000_s14344"/>
                </a:ext>
                <a:ext uri="{FF2B5EF4-FFF2-40B4-BE49-F238E27FC236}">
                  <a16:creationId xmlns:a16="http://schemas.microsoft.com/office/drawing/2014/main" xmlns="" id="{00000000-0008-0000-0100-000008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95250</xdr:colOff>
          <xdr:row>12</xdr:row>
          <xdr:rowOff>0</xdr:rowOff>
        </xdr:from>
        <xdr:to>
          <xdr:col>4</xdr:col>
          <xdr:colOff>0</xdr:colOff>
          <xdr:row>13</xdr:row>
          <xdr:rowOff>57150</xdr:rowOff>
        </xdr:to>
        <xdr:sp macro="" textlink="">
          <xdr:nvSpPr>
            <xdr:cNvPr id="14345" name="Drop Down 9" hidden="1">
              <a:extLst>
                <a:ext uri="{63B3BB69-23CF-44E3-9099-C40C66FF867C}">
                  <a14:compatExt spid="_x0000_s14345"/>
                </a:ext>
                <a:ext uri="{FF2B5EF4-FFF2-40B4-BE49-F238E27FC236}">
                  <a16:creationId xmlns:a16="http://schemas.microsoft.com/office/drawing/2014/main" xmlns="" id="{00000000-0008-0000-0100-000009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4</xdr:row>
          <xdr:rowOff>0</xdr:rowOff>
        </xdr:from>
        <xdr:to>
          <xdr:col>6</xdr:col>
          <xdr:colOff>0</xdr:colOff>
          <xdr:row>5</xdr:row>
          <xdr:rowOff>28575</xdr:rowOff>
        </xdr:to>
        <xdr:sp macro="" textlink="">
          <xdr:nvSpPr>
            <xdr:cNvPr id="14348" name="Drop Down 12" hidden="1">
              <a:extLst>
                <a:ext uri="{63B3BB69-23CF-44E3-9099-C40C66FF867C}">
                  <a14:compatExt spid="_x0000_s14348"/>
                </a:ext>
                <a:ext uri="{FF2B5EF4-FFF2-40B4-BE49-F238E27FC236}">
                  <a16:creationId xmlns:a16="http://schemas.microsoft.com/office/drawing/2014/main" xmlns="" id="{00000000-0008-0000-0100-00000C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95250</xdr:colOff>
          <xdr:row>12</xdr:row>
          <xdr:rowOff>0</xdr:rowOff>
        </xdr:from>
        <xdr:to>
          <xdr:col>8</xdr:col>
          <xdr:colOff>647700</xdr:colOff>
          <xdr:row>13</xdr:row>
          <xdr:rowOff>57150</xdr:rowOff>
        </xdr:to>
        <xdr:sp macro="" textlink="">
          <xdr:nvSpPr>
            <xdr:cNvPr id="14381" name="Drop Down 45" hidden="1">
              <a:extLst>
                <a:ext uri="{63B3BB69-23CF-44E3-9099-C40C66FF867C}">
                  <a14:compatExt spid="_x0000_s14381"/>
                </a:ext>
                <a:ext uri="{FF2B5EF4-FFF2-40B4-BE49-F238E27FC236}">
                  <a16:creationId xmlns:a16="http://schemas.microsoft.com/office/drawing/2014/main" xmlns="" id="{00000000-0008-0000-0100-00002D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12</xdr:col>
      <xdr:colOff>0</xdr:colOff>
      <xdr:row>7</xdr:row>
      <xdr:rowOff>76200</xdr:rowOff>
    </xdr:from>
    <xdr:to>
      <xdr:col>15</xdr:col>
      <xdr:colOff>9525</xdr:colOff>
      <xdr:row>10</xdr:row>
      <xdr:rowOff>114300</xdr:rowOff>
    </xdr:to>
    <xdr:sp macro="" textlink="">
      <xdr:nvSpPr>
        <xdr:cNvPr id="2" name="TextBox 1">
          <a:extLst>
            <a:ext uri="{FF2B5EF4-FFF2-40B4-BE49-F238E27FC236}">
              <a16:creationId xmlns:a16="http://schemas.microsoft.com/office/drawing/2014/main" xmlns="" id="{00000000-0008-0000-0700-000002000000}"/>
            </a:ext>
          </a:extLst>
        </xdr:cNvPr>
        <xdr:cNvSpPr txBox="1"/>
      </xdr:nvSpPr>
      <xdr:spPr>
        <a:xfrm>
          <a:off x="5953125" y="13430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28</xdr:col>
      <xdr:colOff>581025</xdr:colOff>
      <xdr:row>7</xdr:row>
      <xdr:rowOff>66675</xdr:rowOff>
    </xdr:from>
    <xdr:to>
      <xdr:col>32</xdr:col>
      <xdr:colOff>0</xdr:colOff>
      <xdr:row>10</xdr:row>
      <xdr:rowOff>104775</xdr:rowOff>
    </xdr:to>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13887450" y="1333500"/>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5</xdr:row>
      <xdr:rowOff>38100</xdr:rowOff>
    </xdr:from>
    <xdr:to>
      <xdr:col>8</xdr:col>
      <xdr:colOff>0</xdr:colOff>
      <xdr:row>95</xdr:row>
      <xdr:rowOff>19050</xdr:rowOff>
    </xdr:to>
    <xdr:sp macro="" textlink="">
      <xdr:nvSpPr>
        <xdr:cNvPr id="12289" name="Text Box 1">
          <a:extLst>
            <a:ext uri="{FF2B5EF4-FFF2-40B4-BE49-F238E27FC236}">
              <a16:creationId xmlns:a16="http://schemas.microsoft.com/office/drawing/2014/main" xmlns="" id="{00000000-0008-0000-0A00-000001300000}"/>
            </a:ext>
          </a:extLst>
        </xdr:cNvPr>
        <xdr:cNvSpPr txBox="1">
          <a:spLocks noChangeArrowheads="1"/>
        </xdr:cNvSpPr>
      </xdr:nvSpPr>
      <xdr:spPr bwMode="auto">
        <a:xfrm>
          <a:off x="47625" y="695325"/>
          <a:ext cx="5800725" cy="14554200"/>
        </a:xfrm>
        <a:prstGeom prst="rect">
          <a:avLst/>
        </a:prstGeom>
        <a:noFill/>
        <a:ln>
          <a:noFill/>
        </a:ln>
        <a:extLst/>
      </xdr:spPr>
      <xdr:txBody>
        <a:bodyPr vertOverflow="clip" wrap="square" lIns="27432" tIns="22860" rIns="0" bIns="0" anchor="t" upright="1"/>
        <a:lstStyle/>
        <a:p>
          <a:pPr algn="l" rtl="0">
            <a:defRPr sz="1000"/>
          </a:pPr>
          <a:r>
            <a:rPr lang="id-ID" sz="1000" b="1" i="0" u="none" strike="noStrike" baseline="0">
              <a:solidFill>
                <a:srgbClr val="000000"/>
              </a:solidFill>
              <a:latin typeface="Arial"/>
              <a:cs typeface="Arial"/>
            </a:rPr>
            <a:t>Theory and equations</a:t>
          </a:r>
          <a:endParaRPr lang="id-ID" sz="1000" b="0" i="0" u="none" strike="noStrike" baseline="0">
            <a:solidFill>
              <a:srgbClr val="000000"/>
            </a:solidFill>
            <a:latin typeface="Arial"/>
            <a:cs typeface="Arial"/>
          </a:endParaRP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basic equation for the first order decay model is:</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                  DDOCm = DDOCm(0) * e^-kt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where DDOCm(0) is the mass of decomposable degradable organic carbon (DOC) at the start of the reaction, when t=0 and e^-kt=1, k is the reaction constant and t is the time in years. DDOCm is the mass of DDOC at any time.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From equation (I) it is easy to see that at the end of year 1 (going from point 0 to point 1 on the time axis) the mass of DDOC left not decomposed in the SWDS is: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(2)                  DDOCm(1) = DDOCm(0)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and the mass of DDOC decomposed into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and CO</a:t>
          </a:r>
          <a:r>
            <a:rPr lang="id-ID" sz="1000" b="0" i="0" u="none" strike="noStrike" baseline="-25000">
              <a:solidFill>
                <a:srgbClr val="000000"/>
              </a:solidFill>
              <a:latin typeface="Arial"/>
              <a:cs typeface="Arial"/>
            </a:rPr>
            <a:t>2</a:t>
          </a:r>
          <a:r>
            <a:rPr lang="id-ID" sz="1000" b="0" i="0" u="none" strike="noStrike" baseline="0">
              <a:solidFill>
                <a:srgbClr val="000000"/>
              </a:solidFill>
              <a:latin typeface="Arial"/>
              <a:cs typeface="Arial"/>
            </a:rPr>
            <a:t> will be: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(3)                 DDOCmdecomp(1) = DDOCm(0) * (1 -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In a first order reaction, the amount of product (here decomposed DDOCm) is always proportional to the amount of reactant (here DDOCm). This means that it does not matter when the DDOCm was deposited. This also means that when the amount of DDOCm accumulated in the SWDS, plus last year's deposit, is known,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production can be calculated as if every year is year number one in the time series. Then all calculations can be done by equations (2) and (3) in a simple spreadsheet.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default assumption is that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from all the waste deposited each year begins on the 1st of January in the year after deposition. This is the same as an average six month delay until substantial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generation begins (the time it takes for anaerobic conditions to become well established). However, the worksheet includes the possibility of an earlier start to the reaction, in the year of deposition of the waste. This requires separate calculations for the deposition year. For longer delay times than 6 months, DDOCmd in the columns F and G cells in the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calculating sheets, have to be readdressed one cell down, and the number 13 in exp2 has to be changed to 25 (7 to 18 months delay time).</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equations used in these spreadsheets are: (As the mathematics of every waste fraction/category is the same, indexing for fraction/category is omitted for equations 4-9.)</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To calculate mass of decomposable DOC (DDOCm) from amount of waste material (W):</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(4)  DDOCmd(T), = W(T) •  DOC * DOCf    •  MCF</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remaining not decomposed at the end of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(5) DDOCmrem(T) = DDOCmd(T) •  e^(-k • ((13-M)/12)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deposited DDOCm decomposed during deposition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(6)  DDOCmdec(T) = DDOCmd(T) •  (1 – e^(-k • ((13-M)/12)))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DDOCm accumulated in the SWDS at the end of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(7) DDOCma(T) = DDOCmrem(T) + ( DDOCma(T-1) •  e^-k)</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total amount of DDOCm decomposed in year 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(8) DDOCmdecomp(T) = DDOCmdec(T)  + (DDOCma(T-1) •  (1 - e^-k)) </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from DOC decomposed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(9)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DDOCmdecomp(T)   •  F  • 16/12</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The amount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(10)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emitted in year T = (</a:t>
          </a:r>
          <a:r>
            <a:rPr lang="el-GR" sz="1000" b="0" i="0" u="none" strike="noStrike" baseline="0">
              <a:solidFill>
                <a:srgbClr val="000000"/>
              </a:solidFill>
              <a:latin typeface="Arial"/>
              <a:cs typeface="Arial"/>
            </a:rPr>
            <a:t>Σ</a:t>
          </a:r>
          <a:r>
            <a:rPr lang="id-ID" sz="1000" b="0" i="0" u="none" strike="noStrike" baseline="0">
              <a:solidFill>
                <a:srgbClr val="000000"/>
              </a:solidFill>
              <a:latin typeface="Arial"/>
              <a:cs typeface="Arial"/>
            </a:rPr>
            <a:t>xCH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(x,T) – R(T)) •  (1- OX(T))</a:t>
          </a:r>
        </a:p>
        <a:p>
          <a:pPr algn="l" rtl="0">
            <a:defRPr sz="1000"/>
          </a:pPr>
          <a:endParaRPr lang="id-ID" sz="1000" b="0" i="0" u="none" strike="noStrike" baseline="0">
            <a:solidFill>
              <a:srgbClr val="000000"/>
            </a:solidFill>
            <a:latin typeface="Arial"/>
            <a:cs typeface="Arial"/>
          </a:endParaRPr>
        </a:p>
        <a:p>
          <a:pPr algn="l" rtl="0">
            <a:defRPr sz="1000"/>
          </a:pPr>
          <a:r>
            <a:rPr lang="id-ID" sz="1000" b="0" i="0" u="none" strike="noStrike" baseline="0">
              <a:solidFill>
                <a:srgbClr val="000000"/>
              </a:solidFill>
              <a:latin typeface="Arial"/>
              <a:cs typeface="Arial"/>
            </a:rPr>
            <a:t> Where: </a:t>
          </a:r>
        </a:p>
        <a:p>
          <a:pPr algn="l" rtl="0">
            <a:defRPr sz="1000"/>
          </a:pPr>
          <a:r>
            <a:rPr lang="id-ID" sz="1000" b="0" i="0" u="none" strike="noStrike" baseline="0">
              <a:solidFill>
                <a:srgbClr val="000000"/>
              </a:solidFill>
              <a:latin typeface="Arial"/>
              <a:cs typeface="Arial"/>
            </a:rPr>
            <a:t>          T = the year of inventory</a:t>
          </a:r>
        </a:p>
        <a:p>
          <a:pPr algn="l" rtl="0">
            <a:defRPr sz="1000"/>
          </a:pPr>
          <a:r>
            <a:rPr lang="id-ID" sz="1000" b="0" i="0" u="none" strike="noStrike" baseline="0">
              <a:solidFill>
                <a:srgbClr val="000000"/>
              </a:solidFill>
              <a:latin typeface="Arial"/>
              <a:cs typeface="Arial"/>
            </a:rPr>
            <a:t>          x = material fraction/waste category</a:t>
          </a:r>
        </a:p>
        <a:p>
          <a:pPr algn="l" rtl="0">
            <a:defRPr sz="1000"/>
          </a:pPr>
          <a:r>
            <a:rPr lang="id-ID" sz="1000" b="0" i="0" u="none" strike="noStrike" baseline="0">
              <a:solidFill>
                <a:srgbClr val="000000"/>
              </a:solidFill>
              <a:latin typeface="Arial"/>
              <a:cs typeface="Arial"/>
            </a:rPr>
            <a:t>          W(T) = amount deposited in year T</a:t>
          </a:r>
        </a:p>
        <a:p>
          <a:pPr algn="l" rtl="0">
            <a:defRPr sz="1000"/>
          </a:pPr>
          <a:r>
            <a:rPr lang="id-ID" sz="1000" b="0" i="0" u="none" strike="noStrike" baseline="0">
              <a:solidFill>
                <a:srgbClr val="000000"/>
              </a:solidFill>
              <a:latin typeface="Arial"/>
              <a:cs typeface="Arial"/>
            </a:rPr>
            <a:t>          MCF = Methane Correction Factor</a:t>
          </a:r>
        </a:p>
        <a:p>
          <a:pPr algn="l" rtl="0">
            <a:defRPr sz="1000"/>
          </a:pPr>
          <a:r>
            <a:rPr lang="id-ID" sz="1000" b="0" i="0" u="none" strike="noStrike" baseline="0">
              <a:solidFill>
                <a:srgbClr val="000000"/>
              </a:solidFill>
              <a:latin typeface="Arial"/>
              <a:cs typeface="Arial"/>
            </a:rPr>
            <a:t>          DOC = Degradable organic carbon (under aerobic conditions)</a:t>
          </a:r>
        </a:p>
        <a:p>
          <a:pPr algn="l" rtl="0">
            <a:defRPr sz="1000"/>
          </a:pPr>
          <a:r>
            <a:rPr lang="id-ID" sz="1000" b="0" i="0" u="none" strike="noStrike" baseline="0">
              <a:solidFill>
                <a:srgbClr val="000000"/>
              </a:solidFill>
              <a:latin typeface="Arial"/>
              <a:cs typeface="Arial"/>
            </a:rPr>
            <a:t>          DOCf = Fraction of DOC decomposing under anaerobic conditions</a:t>
          </a:r>
        </a:p>
        <a:p>
          <a:pPr algn="l" rtl="0">
            <a:defRPr sz="1000"/>
          </a:pPr>
          <a:r>
            <a:rPr lang="id-ID" sz="1000" b="0" i="0" u="none" strike="noStrike" baseline="0">
              <a:solidFill>
                <a:srgbClr val="000000"/>
              </a:solidFill>
              <a:latin typeface="Arial"/>
              <a:cs typeface="Arial"/>
            </a:rPr>
            <a:t>          DDOC = Decomposable Degradable Organic Carbon (under anaerobic conditions)</a:t>
          </a:r>
        </a:p>
        <a:p>
          <a:pPr algn="l" rtl="0">
            <a:defRPr sz="1000"/>
          </a:pPr>
          <a:r>
            <a:rPr lang="id-ID" sz="1000" b="0" i="0" u="none" strike="noStrike" baseline="0">
              <a:solidFill>
                <a:srgbClr val="000000"/>
              </a:solidFill>
              <a:latin typeface="Arial"/>
              <a:cs typeface="Arial"/>
            </a:rPr>
            <a:t>          DDOCmd(T) = mass of DDOC deposited year T</a:t>
          </a:r>
        </a:p>
        <a:p>
          <a:pPr algn="l" rtl="0">
            <a:defRPr sz="1000"/>
          </a:pPr>
          <a:r>
            <a:rPr lang="id-ID" sz="1000" b="0" i="0" u="none" strike="noStrike" baseline="0">
              <a:solidFill>
                <a:srgbClr val="000000"/>
              </a:solidFill>
              <a:latin typeface="Arial"/>
              <a:cs typeface="Arial"/>
            </a:rPr>
            <a:t>          DDOCmrem(T) = mass of DDOC deposited in inventory year T, remaining not decomposed at the           </a:t>
          </a:r>
        </a:p>
        <a:p>
          <a:pPr algn="l" rtl="0">
            <a:defRPr sz="1000"/>
          </a:pPr>
          <a:r>
            <a:rPr lang="id-ID" sz="1000" b="0" i="0" u="none" strike="noStrike" baseline="0">
              <a:solidFill>
                <a:srgbClr val="000000"/>
              </a:solidFill>
              <a:latin typeface="Arial"/>
              <a:cs typeface="Arial"/>
            </a:rPr>
            <a:t>                                   end of year.</a:t>
          </a:r>
        </a:p>
        <a:p>
          <a:pPr algn="l" rtl="0">
            <a:defRPr sz="1000"/>
          </a:pPr>
          <a:r>
            <a:rPr lang="id-ID" sz="1000" b="0" i="0" u="none" strike="noStrike" baseline="0">
              <a:solidFill>
                <a:srgbClr val="000000"/>
              </a:solidFill>
              <a:latin typeface="Arial"/>
              <a:cs typeface="Arial"/>
            </a:rPr>
            <a:t>          DDOCmdec(T) = mass of DDOC deposited in inventory year T, decomposed during the year.</a:t>
          </a:r>
        </a:p>
        <a:p>
          <a:pPr algn="l" rtl="0">
            <a:defRPr sz="1000"/>
          </a:pPr>
          <a:r>
            <a:rPr lang="id-ID" sz="1000" b="0" i="0" u="none" strike="noStrike" baseline="0">
              <a:solidFill>
                <a:srgbClr val="000000"/>
              </a:solidFill>
              <a:latin typeface="Arial"/>
              <a:cs typeface="Arial"/>
            </a:rPr>
            <a:t>          DDOCma(T) = total mass of DDOC left not decomposed at end of year T.        </a:t>
          </a:r>
        </a:p>
        <a:p>
          <a:pPr algn="l" rtl="0">
            <a:defRPr sz="1000"/>
          </a:pPr>
          <a:r>
            <a:rPr lang="id-ID" sz="1000" b="0" i="0" u="none" strike="noStrike" baseline="0">
              <a:solidFill>
                <a:srgbClr val="000000"/>
              </a:solidFill>
              <a:latin typeface="Arial"/>
              <a:cs typeface="Arial"/>
            </a:rPr>
            <a:t>          DDOCma(T-1) = total mass of DDOC left not decomposed at end of year T-1.</a:t>
          </a:r>
        </a:p>
        <a:p>
          <a:pPr algn="l" rtl="0">
            <a:defRPr sz="1000"/>
          </a:pPr>
          <a:r>
            <a:rPr lang="id-ID" sz="1000" b="0" i="0" u="none" strike="noStrike" baseline="0">
              <a:solidFill>
                <a:srgbClr val="000000"/>
              </a:solidFill>
              <a:latin typeface="Arial"/>
              <a:cs typeface="Arial"/>
            </a:rPr>
            <a:t>          DDOCmdecomp(T) = total mass of DDOC decomposed in year T.</a:t>
          </a:r>
        </a:p>
        <a:p>
          <a:pPr algn="l" rtl="0">
            <a:defRPr sz="1000"/>
          </a:pPr>
          <a:r>
            <a:rPr lang="id-ID" sz="1000" b="0" i="0" u="none" strike="noStrike" baseline="0">
              <a:solidFill>
                <a:srgbClr val="000000"/>
              </a:solidFill>
              <a:latin typeface="Arial"/>
              <a:cs typeface="Arial"/>
            </a:rPr>
            <a:t>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generated(T) =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generated in year T</a:t>
          </a:r>
        </a:p>
        <a:p>
          <a:pPr algn="l" rtl="0">
            <a:defRPr sz="1000"/>
          </a:pPr>
          <a:r>
            <a:rPr lang="id-ID" sz="1000" b="0" i="0" u="none" strike="noStrike" baseline="0">
              <a:solidFill>
                <a:srgbClr val="000000"/>
              </a:solidFill>
              <a:latin typeface="Arial"/>
              <a:cs typeface="Arial"/>
            </a:rPr>
            <a:t>          F = Fraction of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by volume in generated landfill gas</a:t>
          </a:r>
        </a:p>
        <a:p>
          <a:pPr algn="l" rtl="0">
            <a:defRPr sz="1000"/>
          </a:pPr>
          <a:r>
            <a:rPr lang="id-ID" sz="1000" b="0" i="0" u="none" strike="noStrike" baseline="0">
              <a:solidFill>
                <a:srgbClr val="000000"/>
              </a:solidFill>
              <a:latin typeface="Arial"/>
              <a:cs typeface="Arial"/>
            </a:rPr>
            <a:t>          16/12 = Molecular weight ratio CH4/C </a:t>
          </a:r>
        </a:p>
        <a:p>
          <a:pPr algn="l" rtl="0">
            <a:defRPr sz="1000"/>
          </a:pPr>
          <a:r>
            <a:rPr lang="id-ID" sz="1000" b="0" i="0" u="none" strike="noStrike" baseline="0">
              <a:solidFill>
                <a:srgbClr val="000000"/>
              </a:solidFill>
              <a:latin typeface="Arial"/>
              <a:cs typeface="Arial"/>
            </a:rPr>
            <a:t>          R(T) = Recovered CH</a:t>
          </a:r>
          <a:r>
            <a:rPr lang="id-ID" sz="1000" b="0" i="0" u="none" strike="noStrike" baseline="-25000">
              <a:solidFill>
                <a:srgbClr val="000000"/>
              </a:solidFill>
              <a:latin typeface="Arial"/>
              <a:cs typeface="Arial"/>
            </a:rPr>
            <a:t>4</a:t>
          </a:r>
          <a:r>
            <a:rPr lang="id-ID" sz="1000" b="0" i="0" u="none" strike="noStrike" baseline="0">
              <a:solidFill>
                <a:srgbClr val="000000"/>
              </a:solidFill>
              <a:latin typeface="Arial"/>
              <a:cs typeface="Arial"/>
            </a:rPr>
            <a:t> in year T</a:t>
          </a:r>
        </a:p>
        <a:p>
          <a:pPr algn="l" rtl="0">
            <a:defRPr sz="1000"/>
          </a:pPr>
          <a:r>
            <a:rPr lang="id-ID" sz="1000" b="0" i="0" u="none" strike="noStrike" baseline="0">
              <a:solidFill>
                <a:srgbClr val="000000"/>
              </a:solidFill>
              <a:latin typeface="Arial"/>
              <a:cs typeface="Arial"/>
            </a:rPr>
            <a:t>          OX(T) = Oxidation factor in year T (fraction)</a:t>
          </a:r>
        </a:p>
        <a:p>
          <a:pPr algn="l" rtl="0">
            <a:defRPr sz="1000"/>
          </a:pPr>
          <a:r>
            <a:rPr lang="id-ID" sz="1000" b="0" i="0" u="none" strike="noStrike" baseline="0">
              <a:solidFill>
                <a:srgbClr val="000000"/>
              </a:solidFill>
              <a:latin typeface="Arial"/>
              <a:cs typeface="Arial"/>
            </a:rPr>
            <a:t>          k = rate of reaction constant </a:t>
          </a:r>
        </a:p>
        <a:p>
          <a:pPr algn="l" rtl="0">
            <a:defRPr sz="1000"/>
          </a:pPr>
          <a:r>
            <a:rPr lang="id-ID" sz="1000" b="0" i="0" u="none" strike="noStrike" baseline="0">
              <a:solidFill>
                <a:srgbClr val="000000"/>
              </a:solidFill>
              <a:latin typeface="Arial"/>
              <a:cs typeface="Arial"/>
            </a:rPr>
            <a:t>          M = Month of reaction start (= delay time + 7)</a:t>
          </a:r>
        </a:p>
        <a:p>
          <a:pPr algn="l" rtl="0">
            <a:defRPr sz="1000"/>
          </a:pPr>
          <a:endParaRPr lang="id-ID" sz="1000" b="0" i="0" u="none" strike="noStrike" baseline="0">
            <a:solidFill>
              <a:srgbClr val="000000"/>
            </a:solidFill>
            <a:latin typeface="Arial"/>
            <a:cs typeface="Aria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C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C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D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E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E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0F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0F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0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0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1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1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2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2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3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47625</xdr:colOff>
      <xdr:row>3</xdr:row>
      <xdr:rowOff>104775</xdr:rowOff>
    </xdr:from>
    <xdr:to>
      <xdr:col>3</xdr:col>
      <xdr:colOff>523875</xdr:colOff>
      <xdr:row>5</xdr:row>
      <xdr:rowOff>85725</xdr:rowOff>
    </xdr:to>
    <xdr:sp macro="" textlink="">
      <xdr:nvSpPr>
        <xdr:cNvPr id="2" name="TextBox 1">
          <a:extLst>
            <a:ext uri="{FF2B5EF4-FFF2-40B4-BE49-F238E27FC236}">
              <a16:creationId xmlns:a16="http://schemas.microsoft.com/office/drawing/2014/main" xmlns="" id="{00000000-0008-0000-1400-000002000000}"/>
            </a:ext>
          </a:extLst>
        </xdr:cNvPr>
        <xdr:cNvSpPr txBox="1"/>
      </xdr:nvSpPr>
      <xdr:spPr>
        <a:xfrm>
          <a:off x="285750" y="65722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Dry Basis</a:t>
          </a:r>
        </a:p>
      </xdr:txBody>
    </xdr:sp>
    <xdr:clientData/>
  </xdr:twoCellAnchor>
  <xdr:twoCellAnchor>
    <xdr:from>
      <xdr:col>14</xdr:col>
      <xdr:colOff>0</xdr:colOff>
      <xdr:row>3</xdr:row>
      <xdr:rowOff>47625</xdr:rowOff>
    </xdr:from>
    <xdr:to>
      <xdr:col>16</xdr:col>
      <xdr:colOff>209550</xdr:colOff>
      <xdr:row>5</xdr:row>
      <xdr:rowOff>28575</xdr:rowOff>
    </xdr:to>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8258175" y="600075"/>
          <a:ext cx="14287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2400" b="1">
              <a:solidFill>
                <a:srgbClr val="FF0000"/>
              </a:solidFill>
            </a:rPr>
            <a:t>Wet Basis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C\IPCC2006\Volume%205%20Waste\IPCC_Waste_Mode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GIZ_GELAMAI/8_RAD%20GRK%20Revisi/Perhitungan%20BAU%20Baseline%20dan%20Mitigasi_Hitung%20Ulang/Limbah/Hitungan%20Limbah_Historis_IW/Balikpapan/BPP_Hitungan%20BaU-skenario-Rekap%20Emisi_2000-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PP_Hitungan%20Mitigasi_2011-20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row r="41">
          <cell r="E41">
            <v>1.3333333333333333</v>
          </cell>
        </row>
        <row r="43">
          <cell r="E43">
            <v>0</v>
          </cell>
        </row>
      </sheetData>
      <sheetData sheetId="2"/>
      <sheetData sheetId="3"/>
      <sheetData sheetId="4"/>
      <sheetData sheetId="5"/>
      <sheetData sheetId="6"/>
      <sheetData sheetId="7"/>
      <sheetData sheetId="8"/>
      <sheetData sheetId="9"/>
      <sheetData sheetId="10">
        <row r="5">
          <cell r="W5">
            <v>13</v>
          </cell>
        </row>
        <row r="8">
          <cell r="D8">
            <v>0.04</v>
          </cell>
          <cell r="E8" t="str">
            <v>0.03–0.05</v>
          </cell>
          <cell r="F8">
            <v>0.06</v>
          </cell>
          <cell r="G8" t="str">
            <v>0.05–0.07</v>
          </cell>
          <cell r="H8">
            <v>4.4999999999999998E-2</v>
          </cell>
          <cell r="I8" t="str">
            <v>0.04–0.06</v>
          </cell>
          <cell r="J8">
            <v>7.0000000000000007E-2</v>
          </cell>
          <cell r="K8" t="str">
            <v>0.06–0.085</v>
          </cell>
          <cell r="P8">
            <v>0.15</v>
          </cell>
          <cell r="Q8" t="str">
            <v>0.08-0.20</v>
          </cell>
          <cell r="W8">
            <v>18.8</v>
          </cell>
          <cell r="X8">
            <v>3.5</v>
          </cell>
          <cell r="Y8">
            <v>26.2</v>
          </cell>
          <cell r="Z8">
            <v>3.5</v>
          </cell>
          <cell r="AD8">
            <v>1</v>
          </cell>
          <cell r="AE8">
            <v>47</v>
          </cell>
          <cell r="AF8">
            <v>0.55000000000000004</v>
          </cell>
          <cell r="AG8">
            <v>0.55000000000000004</v>
          </cell>
          <cell r="AH8">
            <v>0.14000000000000001</v>
          </cell>
        </row>
        <row r="9">
          <cell r="D9">
            <v>0.02</v>
          </cell>
          <cell r="E9" t="str">
            <v>0.01–0.03</v>
          </cell>
          <cell r="F9">
            <v>0.03</v>
          </cell>
          <cell r="G9" t="str">
            <v>0.02–0.04</v>
          </cell>
          <cell r="H9">
            <v>2.5000000000000001E-2</v>
          </cell>
          <cell r="I9" t="str">
            <v>0.02–0.04</v>
          </cell>
          <cell r="J9">
            <v>3.5000000000000003E-2</v>
          </cell>
          <cell r="K9" t="str">
            <v>0.03–0.05</v>
          </cell>
          <cell r="P9">
            <v>0.2</v>
          </cell>
          <cell r="Q9" t="str">
            <v>0.18-0.22</v>
          </cell>
          <cell r="W9">
            <v>11.3</v>
          </cell>
          <cell r="X9">
            <v>2.5</v>
          </cell>
          <cell r="Y9">
            <v>40.299999999999997</v>
          </cell>
          <cell r="Z9">
            <v>7.9</v>
          </cell>
          <cell r="AD9">
            <v>0.8</v>
          </cell>
          <cell r="AE9">
            <v>37.20000000000001</v>
          </cell>
          <cell r="AF9">
            <v>0.21</v>
          </cell>
          <cell r="AG9">
            <v>0.74</v>
          </cell>
          <cell r="AH9">
            <v>0.15</v>
          </cell>
        </row>
        <row r="10">
          <cell r="D10">
            <v>0.05</v>
          </cell>
          <cell r="E10" t="str">
            <v>0.04–0.06</v>
          </cell>
          <cell r="F10">
            <v>0.1</v>
          </cell>
          <cell r="G10" t="str">
            <v>0.06–0.1</v>
          </cell>
          <cell r="H10">
            <v>6.5000000000000002E-2</v>
          </cell>
          <cell r="I10" t="str">
            <v>0.05–0.08</v>
          </cell>
          <cell r="J10">
            <v>0.17</v>
          </cell>
          <cell r="K10" t="str">
            <v>0.15–0.2</v>
          </cell>
          <cell r="P10">
            <v>0.4</v>
          </cell>
          <cell r="Q10" t="str">
            <v>0.36-0.45</v>
          </cell>
          <cell r="W10">
            <v>12.9</v>
          </cell>
          <cell r="X10">
            <v>2.7</v>
          </cell>
          <cell r="Y10">
            <v>43.5</v>
          </cell>
          <cell r="Z10">
            <v>9.9</v>
          </cell>
          <cell r="AD10">
            <v>0.9</v>
          </cell>
          <cell r="AE10">
            <v>30.099999999999994</v>
          </cell>
          <cell r="AF10">
            <v>0.27</v>
          </cell>
          <cell r="AG10">
            <v>0.59</v>
          </cell>
          <cell r="AH10">
            <v>0.17</v>
          </cell>
        </row>
        <row r="11">
          <cell r="D11">
            <v>0.06</v>
          </cell>
          <cell r="E11" t="str">
            <v>0.05–0.08</v>
          </cell>
          <cell r="F11">
            <v>0.185</v>
          </cell>
          <cell r="G11" t="str">
            <v>0.1–0.2</v>
          </cell>
          <cell r="H11">
            <v>8.5000000000000006E-2</v>
          </cell>
          <cell r="I11" t="str">
            <v>0.07–0.1</v>
          </cell>
          <cell r="J11">
            <v>0.4</v>
          </cell>
          <cell r="K11" t="str">
            <v xml:space="preserve">0.17–0.7 </v>
          </cell>
          <cell r="P11">
            <v>0.43</v>
          </cell>
          <cell r="Q11" t="str">
            <v>0.39-0.46</v>
          </cell>
          <cell r="W11">
            <v>18</v>
          </cell>
          <cell r="X11">
            <v>2.9</v>
          </cell>
          <cell r="Y11">
            <v>41.1</v>
          </cell>
          <cell r="Z11">
            <v>9.8000000000000007</v>
          </cell>
          <cell r="AD11">
            <v>0.6</v>
          </cell>
          <cell r="AE11">
            <v>27.600000000000009</v>
          </cell>
          <cell r="AF11">
            <v>0.42055555555555557</v>
          </cell>
          <cell r="AG11">
            <v>0.676111111111111</v>
          </cell>
          <cell r="AH11">
            <v>0.19</v>
          </cell>
        </row>
        <row r="12">
          <cell r="D12">
            <v>0.05</v>
          </cell>
          <cell r="E12" t="str">
            <v>0.04–0.06</v>
          </cell>
          <cell r="F12">
            <v>0.09</v>
          </cell>
          <cell r="G12" t="str">
            <v>0.08–0.1</v>
          </cell>
          <cell r="H12">
            <v>6.5000000000000002E-2</v>
          </cell>
          <cell r="I12" t="str">
            <v>0.05–0.08</v>
          </cell>
          <cell r="J12">
            <v>0.17</v>
          </cell>
          <cell r="K12" t="str">
            <v>0.15–0.2</v>
          </cell>
          <cell r="P12">
            <v>0.24</v>
          </cell>
          <cell r="Q12" t="str">
            <v>0.20-0.40</v>
          </cell>
          <cell r="W12">
            <v>7.7</v>
          </cell>
          <cell r="X12">
            <v>1.7</v>
          </cell>
          <cell r="Y12">
            <v>53.9</v>
          </cell>
          <cell r="Z12">
            <v>7</v>
          </cell>
          <cell r="AD12">
            <v>1.1000000000000001</v>
          </cell>
          <cell r="AE12">
            <v>28.600000000000009</v>
          </cell>
          <cell r="AF12">
            <v>0.28999999999999998</v>
          </cell>
          <cell r="AG12">
            <v>0.69</v>
          </cell>
          <cell r="AH12">
            <v>0.15</v>
          </cell>
        </row>
        <row r="13">
          <cell r="P13">
            <v>0.24</v>
          </cell>
          <cell r="Q13" t="str">
            <v>0.18-0.32</v>
          </cell>
          <cell r="W13">
            <v>16.8</v>
          </cell>
          <cell r="X13">
            <v>2.5</v>
          </cell>
          <cell r="Y13">
            <v>43.4</v>
          </cell>
          <cell r="Z13">
            <v>6.5</v>
          </cell>
          <cell r="AE13">
            <v>30.799999999999997</v>
          </cell>
          <cell r="AF13">
            <v>0.28999999999999998</v>
          </cell>
          <cell r="AG13">
            <v>0.69</v>
          </cell>
          <cell r="AH13">
            <v>0.17</v>
          </cell>
        </row>
        <row r="14">
          <cell r="P14">
            <v>0.05</v>
          </cell>
          <cell r="Q14" t="str">
            <v>0.04-0.05</v>
          </cell>
          <cell r="W14">
            <v>16.5</v>
          </cell>
          <cell r="X14">
            <v>2.5</v>
          </cell>
          <cell r="Y14">
            <v>51.1</v>
          </cell>
          <cell r="Z14">
            <v>2</v>
          </cell>
          <cell r="AE14">
            <v>27.900000000000006</v>
          </cell>
          <cell r="AF14">
            <v>0.28999999999999998</v>
          </cell>
          <cell r="AG14">
            <v>0.69</v>
          </cell>
          <cell r="AH14">
            <v>0.16</v>
          </cell>
        </row>
        <row r="15">
          <cell r="P15">
            <v>0.39</v>
          </cell>
          <cell r="Q15" t="str">
            <v>0.39</v>
          </cell>
          <cell r="W15">
            <v>25</v>
          </cell>
          <cell r="Y15">
            <v>23</v>
          </cell>
          <cell r="Z15">
            <v>15</v>
          </cell>
          <cell r="AE15">
            <v>37</v>
          </cell>
          <cell r="AF15">
            <v>0.28999999999999998</v>
          </cell>
          <cell r="AG15">
            <v>0.69</v>
          </cell>
          <cell r="AH15">
            <v>0.2</v>
          </cell>
        </row>
        <row r="16">
          <cell r="P16">
            <v>0.18</v>
          </cell>
          <cell r="Q16" t="str">
            <v>0.12-0.28</v>
          </cell>
          <cell r="W16">
            <v>9.8000000000000007</v>
          </cell>
          <cell r="X16">
            <v>1</v>
          </cell>
          <cell r="Y16">
            <v>40.4</v>
          </cell>
          <cell r="Z16">
            <v>4.4000000000000004</v>
          </cell>
          <cell r="AE16">
            <v>44.4</v>
          </cell>
          <cell r="AF16">
            <v>0.28999999999999998</v>
          </cell>
          <cell r="AG16">
            <v>0.69</v>
          </cell>
          <cell r="AH16">
            <v>0.12</v>
          </cell>
        </row>
        <row r="17">
          <cell r="G17">
            <v>2</v>
          </cell>
          <cell r="P17">
            <v>0.15</v>
          </cell>
          <cell r="Q17" t="str">
            <v>0-0.54</v>
          </cell>
          <cell r="W17">
            <v>21.8</v>
          </cell>
          <cell r="X17">
            <v>4.7</v>
          </cell>
          <cell r="Y17">
            <v>30.1</v>
          </cell>
          <cell r="Z17">
            <v>7.5</v>
          </cell>
          <cell r="AD17">
            <v>1.4</v>
          </cell>
          <cell r="AE17">
            <v>34.5</v>
          </cell>
          <cell r="AF17">
            <v>0.38</v>
          </cell>
          <cell r="AG17">
            <v>0.9</v>
          </cell>
          <cell r="AH17">
            <v>0.18</v>
          </cell>
        </row>
        <row r="18">
          <cell r="W18">
            <v>30.6</v>
          </cell>
          <cell r="X18">
            <v>2</v>
          </cell>
          <cell r="Y18">
            <v>23.8</v>
          </cell>
          <cell r="Z18">
            <v>10</v>
          </cell>
          <cell r="AE18">
            <v>33.599999999999994</v>
          </cell>
          <cell r="AF18">
            <v>0.64</v>
          </cell>
          <cell r="AG18">
            <v>0.47</v>
          </cell>
          <cell r="AH18">
            <v>0.21</v>
          </cell>
        </row>
        <row r="19">
          <cell r="W19">
            <v>17</v>
          </cell>
          <cell r="Y19">
            <v>36.9</v>
          </cell>
          <cell r="Z19">
            <v>10.6</v>
          </cell>
          <cell r="AE19">
            <v>35.5</v>
          </cell>
          <cell r="AF19">
            <v>0.52</v>
          </cell>
          <cell r="AG19">
            <v>0.85</v>
          </cell>
          <cell r="AH19">
            <v>0.17</v>
          </cell>
        </row>
        <row r="20">
          <cell r="O20">
            <v>1</v>
          </cell>
          <cell r="W20">
            <v>27.5</v>
          </cell>
          <cell r="Y20">
            <v>24.2</v>
          </cell>
          <cell r="Z20">
            <v>11</v>
          </cell>
          <cell r="AE20">
            <v>37.299999999999997</v>
          </cell>
          <cell r="AF20">
            <v>0.56000000000000005</v>
          </cell>
          <cell r="AG20">
            <v>0.47</v>
          </cell>
          <cell r="AH20">
            <v>0.19</v>
          </cell>
        </row>
        <row r="21">
          <cell r="W21">
            <v>30</v>
          </cell>
          <cell r="Y21">
            <v>36</v>
          </cell>
          <cell r="Z21">
            <v>24</v>
          </cell>
          <cell r="AE21">
            <v>10</v>
          </cell>
          <cell r="AF21">
            <v>0.69</v>
          </cell>
          <cell r="AG21">
            <v>0.85</v>
          </cell>
          <cell r="AH21">
            <v>0.28000000000000003</v>
          </cell>
        </row>
        <row r="22">
          <cell r="W22">
            <v>6</v>
          </cell>
          <cell r="Y22">
            <v>67.5</v>
          </cell>
          <cell r="Z22">
            <v>2.5</v>
          </cell>
          <cell r="AE22">
            <v>24</v>
          </cell>
          <cell r="AF22">
            <v>0.69</v>
          </cell>
          <cell r="AG22">
            <v>0.85</v>
          </cell>
          <cell r="AH22">
            <v>0.14000000000000001</v>
          </cell>
        </row>
        <row r="23">
          <cell r="W23">
            <v>23.2</v>
          </cell>
          <cell r="X23">
            <v>3.9</v>
          </cell>
          <cell r="Y23">
            <v>33.9</v>
          </cell>
          <cell r="Z23">
            <v>6.2</v>
          </cell>
          <cell r="AD23">
            <v>1.4</v>
          </cell>
          <cell r="AE23">
            <v>31.399999999999991</v>
          </cell>
          <cell r="AF23">
            <v>0.65</v>
          </cell>
          <cell r="AG23">
            <v>0.57999999999999996</v>
          </cell>
          <cell r="AH23">
            <v>0.19</v>
          </cell>
        </row>
        <row r="24">
          <cell r="W24">
            <v>13.7</v>
          </cell>
          <cell r="X24">
            <v>2.6</v>
          </cell>
          <cell r="Y24">
            <v>43.8</v>
          </cell>
          <cell r="Z24">
            <v>13.5</v>
          </cell>
          <cell r="AD24">
            <v>1.8</v>
          </cell>
          <cell r="AE24">
            <v>24.600000000000009</v>
          </cell>
          <cell r="AF24">
            <v>0.21</v>
          </cell>
          <cell r="AG24">
            <v>0.5</v>
          </cell>
          <cell r="AH24">
            <v>0.19</v>
          </cell>
        </row>
        <row r="25">
          <cell r="W25">
            <v>17.100000000000001</v>
          </cell>
          <cell r="X25">
            <v>2.6</v>
          </cell>
          <cell r="Y25">
            <v>44.9</v>
          </cell>
          <cell r="Z25">
            <v>4.7</v>
          </cell>
          <cell r="AD25">
            <v>0.7</v>
          </cell>
          <cell r="AE25">
            <v>30</v>
          </cell>
          <cell r="AF25">
            <v>0.26</v>
          </cell>
          <cell r="AG25">
            <v>0.54</v>
          </cell>
          <cell r="AH25">
            <v>0.16</v>
          </cell>
        </row>
        <row r="26">
          <cell r="W26">
            <v>17</v>
          </cell>
          <cell r="X26">
            <v>5.0999999999999996</v>
          </cell>
          <cell r="Y26">
            <v>46.9</v>
          </cell>
          <cell r="Z26">
            <v>2.4</v>
          </cell>
          <cell r="AD26">
            <v>1.9</v>
          </cell>
          <cell r="AE26">
            <v>26.699999999999989</v>
          </cell>
          <cell r="AF26">
            <v>0.49</v>
          </cell>
          <cell r="AG26">
            <v>0.83</v>
          </cell>
          <cell r="AH26">
            <v>0.17</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Rekapitulasi BaU Emisi GRK"/>
      <sheetName val="Rekap BAU Emisi Industri Sawitt"/>
      <sheetName val="Frksi pengelolaan smph Mitigasi"/>
      <sheetName val="Rekaptlasi Mitigasi Emisi GRK"/>
    </sheetNames>
    <sheetDataSet>
      <sheetData sheetId="0"/>
      <sheetData sheetId="1">
        <row r="30">
          <cell r="B30">
            <v>28.291980486</v>
          </cell>
        </row>
        <row r="31">
          <cell r="B31">
            <v>28.654433389999994</v>
          </cell>
        </row>
        <row r="32">
          <cell r="B32">
            <v>29.300130859999999</v>
          </cell>
        </row>
        <row r="33">
          <cell r="B33">
            <v>29.820930898</v>
          </cell>
        </row>
        <row r="34">
          <cell r="B34">
            <v>29.980460246</v>
          </cell>
        </row>
        <row r="35">
          <cell r="B35">
            <v>33.208391259999999</v>
          </cell>
        </row>
        <row r="36">
          <cell r="B36">
            <v>33.891502326000001</v>
          </cell>
        </row>
        <row r="37">
          <cell r="B37">
            <v>34.574057056000001</v>
          </cell>
        </row>
        <row r="38">
          <cell r="B38">
            <v>35.251882930000001</v>
          </cell>
        </row>
        <row r="39">
          <cell r="B39">
            <v>35.919972924</v>
          </cell>
        </row>
        <row r="40">
          <cell r="B40">
            <v>38.775158818000001</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bulan sampah"/>
      <sheetName val="Fraksi pengelolaan sampah BaU"/>
      <sheetName val="Sheet1"/>
      <sheetName val="Rekapitulasi BaU Emisi GRK"/>
      <sheetName val="Rekap BAU Emisi Industri Sawitt"/>
      <sheetName val="Frksi pengelolaan smph Mitigasi"/>
      <sheetName val="Rekaptlasi Mitigasi Emisi GRK"/>
    </sheetNames>
    <sheetDataSet>
      <sheetData sheetId="0"/>
      <sheetData sheetId="1">
        <row r="29">
          <cell r="B29">
            <v>39.790819727999995</v>
          </cell>
        </row>
        <row r="30">
          <cell r="B30">
            <v>40.561901423999998</v>
          </cell>
        </row>
        <row r="31">
          <cell r="B31">
            <v>41.330340523999993</v>
          </cell>
        </row>
        <row r="32">
          <cell r="B32">
            <v>42.079586031999995</v>
          </cell>
        </row>
        <row r="33">
          <cell r="B33">
            <v>42.808247107999996</v>
          </cell>
        </row>
        <row r="34">
          <cell r="B34">
            <v>43.531066655999993</v>
          </cell>
        </row>
        <row r="35">
          <cell r="B35">
            <v>43.494222581468996</v>
          </cell>
        </row>
        <row r="36">
          <cell r="B36">
            <v>45.500440335085827</v>
          </cell>
        </row>
        <row r="37">
          <cell r="B37">
            <v>47.567468197220009</v>
          </cell>
        </row>
        <row r="38">
          <cell r="B38">
            <v>49.695976686486723</v>
          </cell>
        </row>
        <row r="39">
          <cell r="B39">
            <v>51.886537018497478</v>
          </cell>
        </row>
        <row r="40">
          <cell r="B40">
            <v>54.139607889387619</v>
          </cell>
        </row>
        <row r="41">
          <cell r="B41">
            <v>56.4555210240378</v>
          </cell>
        </row>
        <row r="42">
          <cell r="B42">
            <v>58.834465384329178</v>
          </cell>
        </row>
        <row r="43">
          <cell r="B43">
            <v>61.276469924235805</v>
          </cell>
        </row>
        <row r="44">
          <cell r="B44">
            <v>63.78138476933745</v>
          </cell>
        </row>
        <row r="45">
          <cell r="B45">
            <v>66.348860688377925</v>
          </cell>
        </row>
        <row r="46">
          <cell r="B46">
            <v>68.978326713739406</v>
          </cell>
        </row>
        <row r="47">
          <cell r="B47">
            <v>71.668965756089449</v>
          </cell>
        </row>
        <row r="48">
          <cell r="B48">
            <v>74.472288000000006</v>
          </cell>
        </row>
      </sheetData>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oleObject" Target="../embeddings/Microsoft_Word_97_-_2003_Document1.doc"/><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7"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7.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7.vml"/><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8.vml"/><Relationship Id="rId1" Type="http://schemas.openxmlformats.org/officeDocument/2006/relationships/drawing" Target="../drawings/drawing12.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9.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44"/>
    <pageSetUpPr fitToPage="1"/>
  </sheetPr>
  <dimension ref="B7:K135"/>
  <sheetViews>
    <sheetView workbookViewId="0">
      <selection activeCell="B7" sqref="B7:I7"/>
    </sheetView>
  </sheetViews>
  <sheetFormatPr defaultColWidth="11.42578125" defaultRowHeight="12.75"/>
  <cols>
    <col min="1" max="1" width="1.85546875" style="10" customWidth="1"/>
    <col min="2" max="7" width="11.42578125" style="10" customWidth="1"/>
    <col min="8" max="8" width="18.140625" style="10" customWidth="1"/>
    <col min="9" max="16384" width="11.42578125" style="10"/>
  </cols>
  <sheetData>
    <row r="7" spans="2:11" ht="18">
      <c r="B7" s="889" t="s">
        <v>212</v>
      </c>
      <c r="C7" s="889"/>
      <c r="D7" s="889"/>
      <c r="E7" s="889"/>
      <c r="F7" s="889"/>
      <c r="G7" s="889"/>
      <c r="H7" s="889"/>
      <c r="I7" s="889"/>
      <c r="J7" s="359"/>
      <c r="K7" s="359"/>
    </row>
    <row r="8" spans="2:11" s="9" customFormat="1">
      <c r="B8" s="10"/>
      <c r="C8" s="10"/>
      <c r="D8" s="10"/>
      <c r="E8" s="10"/>
      <c r="F8" s="10"/>
      <c r="G8" s="10"/>
      <c r="H8" s="10"/>
      <c r="I8" s="10"/>
      <c r="J8" s="10"/>
      <c r="K8" s="10"/>
    </row>
    <row r="9" spans="2:11" ht="44.1" customHeight="1">
      <c r="B9" s="890" t="s">
        <v>227</v>
      </c>
      <c r="C9" s="890"/>
      <c r="D9" s="890"/>
      <c r="E9" s="890"/>
      <c r="F9" s="890"/>
      <c r="G9" s="890"/>
      <c r="H9" s="890"/>
      <c r="I9" s="890"/>
      <c r="J9" s="360"/>
      <c r="K9" s="360"/>
    </row>
    <row r="10" spans="2:11" ht="14.45" customHeight="1">
      <c r="I10" s="361" t="s">
        <v>213</v>
      </c>
    </row>
    <row r="11" spans="2:11" ht="6.75" customHeight="1"/>
    <row r="135" spans="9:9">
      <c r="I135" s="361"/>
    </row>
  </sheetData>
  <sheetProtection password="CF65" sheet="1" objects="1" scenarios="1"/>
  <customSheetViews>
    <customSheetView guid="{B400968E-E9A7-41C3-9739-36597C9C6BC6}" showRuler="0" topLeftCell="A24">
      <selection activeCell="J28" sqref="J28"/>
      <pageMargins left="0.7" right="0.7" top="0.75" bottom="0.75" header="0.3" footer="0.3"/>
      <pageSetup paperSize="9" orientation="portrait"/>
      <headerFooter alignWithMargins="0"/>
    </customSheetView>
  </customSheetViews>
  <mergeCells count="2">
    <mergeCell ref="B7:I7"/>
    <mergeCell ref="B9:I9"/>
  </mergeCells>
  <phoneticPr fontId="16" type="noConversion"/>
  <pageMargins left="0.75" right="0.75" top="0.75" bottom="0.75" header="0.5" footer="0.5"/>
  <headerFooter alignWithMargins="0">
    <oddFooter>Page &amp;P of &amp;N</oddFooter>
  </headerFooter>
  <drawing r:id="rId1"/>
  <legacyDrawing r:id="rId2"/>
  <oleObjects>
    <mc:AlternateContent xmlns:mc="http://schemas.openxmlformats.org/markup-compatibility/2006">
      <mc:Choice Requires="x14">
        <oleObject progId="Word.Document.8" shapeId="11268" r:id="rId3">
          <objectPr defaultSize="0" autoPict="0" r:id="rId4">
            <anchor moveWithCells="1">
              <from>
                <xdr:col>0</xdr:col>
                <xdr:colOff>0</xdr:colOff>
                <xdr:row>11</xdr:row>
                <xdr:rowOff>104775</xdr:rowOff>
              </from>
              <to>
                <xdr:col>9</xdr:col>
                <xdr:colOff>352425</xdr:colOff>
                <xdr:row>120</xdr:row>
                <xdr:rowOff>9525</xdr:rowOff>
              </to>
            </anchor>
          </objectPr>
        </oleObject>
      </mc:Choice>
      <mc:Fallback>
        <oleObject progId="Word.Document.8" shapeId="11268" r:id="rId3"/>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indexed="34"/>
    <pageSetUpPr fitToPage="1"/>
  </sheetPr>
  <dimension ref="A1:R117"/>
  <sheetViews>
    <sheetView showGridLines="0" zoomScale="85" zoomScaleNormal="85" zoomScalePageLayoutView="150" workbookViewId="0">
      <pane xSplit="2" ySplit="10" topLeftCell="C14" activePane="bottomRight" state="frozen"/>
      <selection pane="topRight"/>
      <selection pane="bottomLeft"/>
      <selection pane="bottomRight" activeCell="F16" sqref="F16"/>
    </sheetView>
  </sheetViews>
  <sheetFormatPr defaultColWidth="11.42578125" defaultRowHeight="12.75"/>
  <cols>
    <col min="1" max="1" width="2.7109375" customWidth="1"/>
    <col min="2" max="2" width="37.85546875" customWidth="1"/>
    <col min="3" max="5" width="10.42578125" customWidth="1"/>
    <col min="6" max="6" width="23.7109375" customWidth="1"/>
    <col min="7" max="7" width="3.42578125" customWidth="1"/>
    <col min="8" max="9" width="11.42578125" customWidth="1"/>
    <col min="10" max="10" width="10.42578125" customWidth="1"/>
    <col min="11" max="11" width="23.7109375" bestFit="1" customWidth="1"/>
    <col min="12" max="12" width="102.7109375" bestFit="1" customWidth="1"/>
    <col min="13" max="13" width="4" customWidth="1"/>
    <col min="14" max="14" width="21" customWidth="1"/>
    <col min="16" max="16" width="4.140625" customWidth="1"/>
    <col min="17" max="17" width="19.7109375" customWidth="1"/>
    <col min="18" max="18" width="10.85546875" customWidth="1"/>
  </cols>
  <sheetData>
    <row r="1" spans="1:18" ht="13.5" thickBot="1"/>
    <row r="2" spans="1:18" ht="16.5" thickBot="1">
      <c r="B2" s="12" t="s">
        <v>14</v>
      </c>
      <c r="C2" s="5" t="s">
        <v>265</v>
      </c>
      <c r="D2" s="900" t="s">
        <v>338</v>
      </c>
      <c r="E2" s="901"/>
      <c r="F2" s="902"/>
    </row>
    <row r="3" spans="1:18" ht="16.5" thickBot="1">
      <c r="B3" s="12"/>
      <c r="C3" s="5" t="s">
        <v>276</v>
      </c>
      <c r="D3" s="900" t="s">
        <v>337</v>
      </c>
      <c r="E3" s="901"/>
      <c r="F3" s="902"/>
    </row>
    <row r="4" spans="1:18" ht="16.5" thickBot="1">
      <c r="B4" s="12"/>
      <c r="C4" s="5" t="s">
        <v>30</v>
      </c>
      <c r="D4" s="900" t="s">
        <v>266</v>
      </c>
      <c r="E4" s="901"/>
      <c r="F4" s="902"/>
    </row>
    <row r="5" spans="1:18" ht="16.5" thickBot="1">
      <c r="B5" s="12"/>
      <c r="C5" s="5" t="s">
        <v>117</v>
      </c>
      <c r="D5" s="903"/>
      <c r="E5" s="904"/>
      <c r="F5" s="905"/>
    </row>
    <row r="6" spans="1:18">
      <c r="B6" s="13" t="s">
        <v>201</v>
      </c>
    </row>
    <row r="7" spans="1:18">
      <c r="B7" s="20" t="s">
        <v>31</v>
      </c>
    </row>
    <row r="8" spans="1:18" ht="13.5" thickBot="1">
      <c r="B8" s="20"/>
    </row>
    <row r="9" spans="1:18" ht="12.75" customHeight="1">
      <c r="A9" s="1"/>
      <c r="C9" s="906" t="s">
        <v>18</v>
      </c>
      <c r="D9" s="907"/>
      <c r="E9" s="913" t="s">
        <v>100</v>
      </c>
      <c r="F9" s="914"/>
      <c r="H9" s="906" t="s">
        <v>18</v>
      </c>
      <c r="I9" s="907"/>
      <c r="J9" s="913" t="s">
        <v>100</v>
      </c>
      <c r="K9" s="914"/>
    </row>
    <row r="10" spans="1:18" ht="13.5" thickBot="1">
      <c r="C10" s="123"/>
      <c r="D10" s="124"/>
      <c r="E10" s="241" t="s">
        <v>13</v>
      </c>
      <c r="F10" s="148" t="s">
        <v>19</v>
      </c>
      <c r="H10" s="123"/>
      <c r="I10" s="124"/>
      <c r="J10" s="241" t="s">
        <v>13</v>
      </c>
      <c r="K10" s="148" t="s">
        <v>19</v>
      </c>
      <c r="L10" s="358" t="s">
        <v>211</v>
      </c>
    </row>
    <row r="11" spans="1:18" ht="13.5" thickBot="1">
      <c r="B11" s="35" t="s">
        <v>90</v>
      </c>
      <c r="C11" s="125"/>
      <c r="D11" s="126">
        <v>1950</v>
      </c>
      <c r="E11" s="128">
        <v>2000</v>
      </c>
      <c r="F11" s="127"/>
      <c r="H11" s="125"/>
      <c r="I11" s="126">
        <f>D11</f>
        <v>1950</v>
      </c>
      <c r="J11" s="128">
        <f>year</f>
        <v>2000</v>
      </c>
      <c r="K11" s="127"/>
    </row>
    <row r="12" spans="1:18" ht="13.5" thickBot="1">
      <c r="B12" s="22"/>
      <c r="C12" s="911" t="s">
        <v>250</v>
      </c>
      <c r="D12" s="912"/>
      <c r="E12" s="911" t="s">
        <v>250</v>
      </c>
      <c r="F12" s="912"/>
      <c r="H12" s="911" t="s">
        <v>251</v>
      </c>
      <c r="I12" s="912"/>
      <c r="J12" s="911" t="s">
        <v>251</v>
      </c>
      <c r="K12" s="912"/>
      <c r="N12" t="s">
        <v>132</v>
      </c>
    </row>
    <row r="13" spans="1:18" ht="13.5" thickBot="1">
      <c r="B13" s="35" t="s">
        <v>131</v>
      </c>
      <c r="C13" s="294"/>
      <c r="D13" s="295"/>
      <c r="E13" s="296"/>
      <c r="F13" s="36"/>
      <c r="H13" s="294"/>
      <c r="I13" s="295"/>
      <c r="J13" s="296"/>
      <c r="K13" s="36"/>
    </row>
    <row r="14" spans="1:18" ht="13.5" thickBot="1">
      <c r="B14" s="35" t="s">
        <v>249</v>
      </c>
      <c r="C14" s="297" t="s">
        <v>113</v>
      </c>
      <c r="D14" s="298" t="s">
        <v>115</v>
      </c>
      <c r="E14" s="350"/>
      <c r="F14" s="151"/>
      <c r="H14" s="297" t="s">
        <v>113</v>
      </c>
      <c r="I14" s="298" t="s">
        <v>115</v>
      </c>
      <c r="J14" s="350"/>
      <c r="K14" s="151"/>
      <c r="N14" s="390" t="s">
        <v>252</v>
      </c>
      <c r="Q14" s="390" t="s">
        <v>253</v>
      </c>
    </row>
    <row r="15" spans="1:18">
      <c r="B15" s="8" t="str">
        <f>IF(Select2=1,"Food waste","Bulk MSW")</f>
        <v>Food waste</v>
      </c>
      <c r="C15" s="158" t="str">
        <f>INDEX(DOC_table,IF(Select2=1,1,14),2)</f>
        <v>0.20-0.50</v>
      </c>
      <c r="D15" s="32">
        <f>INDEX(DOC_table,IF(Select2=1,1,14),1)</f>
        <v>0.38</v>
      </c>
      <c r="E15" s="349">
        <f>D15</f>
        <v>0.38</v>
      </c>
      <c r="F15" s="132"/>
      <c r="H15" s="158" t="str">
        <f>INDEX(DOC_table,IF(Select2=1,1,14),4)</f>
        <v>0.08-0.20</v>
      </c>
      <c r="I15" s="32">
        <f>INDEX(DOC_table,IF(Select2=1,1,14),3)</f>
        <v>0.15</v>
      </c>
      <c r="J15" s="349">
        <f>I15</f>
        <v>0.15</v>
      </c>
      <c r="K15" s="132"/>
      <c r="L15" s="348" t="str">
        <f>IF(Select2=1,"May include garden waste provided that a suitable value of DOC is used","")</f>
        <v>May include garden waste provided that a suitable value of DOC is used</v>
      </c>
      <c r="N15" s="40" t="s">
        <v>6</v>
      </c>
      <c r="O15" s="40">
        <f>IF(Select2=1,E15,0)</f>
        <v>0.38</v>
      </c>
      <c r="Q15" s="40" t="s">
        <v>6</v>
      </c>
      <c r="R15" s="387">
        <f>IF(Select2=1,J15,0)</f>
        <v>0.15</v>
      </c>
    </row>
    <row r="16" spans="1:18">
      <c r="B16" s="8" t="str">
        <f>IF(Select2=1,"Paper/cardboard","Sewage sludge")</f>
        <v>Paper/cardboard</v>
      </c>
      <c r="C16" s="158" t="str">
        <f>INDEX(DOC_table,IF(Select2=1,2,13),2)</f>
        <v>0.40-0.50</v>
      </c>
      <c r="D16" s="32">
        <f>INDEX(DOC_table,IF(Select2=1,2,13),1)</f>
        <v>0.44</v>
      </c>
      <c r="E16" s="258">
        <f>D16</f>
        <v>0.44</v>
      </c>
      <c r="F16" s="238"/>
      <c r="H16" s="158" t="str">
        <f>INDEX(DOC_table,IF(Select2=1,2,13),4)</f>
        <v>0.36-0.45</v>
      </c>
      <c r="I16" s="32">
        <f>INDEX(DOC_table,IF(Select2=1,2,13),3)</f>
        <v>0.4</v>
      </c>
      <c r="J16" s="258">
        <f>I16</f>
        <v>0.4</v>
      </c>
      <c r="K16" s="238"/>
      <c r="L16" s="348"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16" s="410" t="s">
        <v>262</v>
      </c>
      <c r="O16" s="2">
        <f>IF(Select2=1,E16,E63)</f>
        <v>0.44</v>
      </c>
      <c r="Q16" s="410" t="s">
        <v>262</v>
      </c>
      <c r="R16" s="388">
        <f>IF(Select2=1,J16,J63)</f>
        <v>0.4</v>
      </c>
    </row>
    <row r="17" spans="2:18">
      <c r="B17" s="2" t="str">
        <f>IF(Select2=1,"Garden and Park waste","Industrial waste")</f>
        <v>Garden and Park waste</v>
      </c>
      <c r="C17" s="158" t="str">
        <f>INDEX(DOC_table,IF(Select2=1,3,15),2)</f>
        <v>0.45-0.55</v>
      </c>
      <c r="D17" s="32">
        <f>INDEX(DOC_table,IF(Select2=1,3,15),1)</f>
        <v>0.49</v>
      </c>
      <c r="E17" s="258">
        <f t="shared" ref="E17:E25" si="0">D17</f>
        <v>0.49</v>
      </c>
      <c r="F17" s="238"/>
      <c r="H17" s="158" t="str">
        <f>INDEX(DOC_table,IF(Select2=1,3,15),4)</f>
        <v>0.18-0.22</v>
      </c>
      <c r="I17" s="32">
        <f>INDEX(DOC_table,IF(Select2=1,3,15),3)</f>
        <v>0.2</v>
      </c>
      <c r="J17" s="258">
        <f>I17</f>
        <v>0.2</v>
      </c>
      <c r="K17" s="238"/>
      <c r="L17" s="6"/>
      <c r="N17" s="409" t="s">
        <v>261</v>
      </c>
      <c r="O17" s="2">
        <f>IF(Select2=1,E17,E62)</f>
        <v>0.49</v>
      </c>
      <c r="Q17" s="409" t="s">
        <v>261</v>
      </c>
      <c r="R17" s="388">
        <f>IF(Select2=1,J17,J62)</f>
        <v>0.2</v>
      </c>
    </row>
    <row r="18" spans="2:18">
      <c r="B18" s="2" t="str">
        <f>IF(Select2=1,"Textiles","")</f>
        <v>Textiles</v>
      </c>
      <c r="C18" s="159" t="str">
        <f>IF(Select2=1,INDEX(DOC_table,4,2),"")</f>
        <v>0.25-0.50</v>
      </c>
      <c r="D18" s="16">
        <f>IF(Select2=1,INDEX(DOC_table,4,1),"")</f>
        <v>0.3</v>
      </c>
      <c r="E18" s="258">
        <f t="shared" si="0"/>
        <v>0.3</v>
      </c>
      <c r="F18" s="238"/>
      <c r="H18" s="159" t="str">
        <f>IF(Select2=1,INDEX(DOC_table,4,4),"")</f>
        <v>0.20-0.40</v>
      </c>
      <c r="I18" s="16">
        <f>IF(Select2=1,INDEX(DOC_table,4,3),"")</f>
        <v>0.24</v>
      </c>
      <c r="J18" s="258">
        <f>I18</f>
        <v>0.24</v>
      </c>
      <c r="K18" s="238"/>
      <c r="L18" s="6"/>
      <c r="N18" s="2" t="s">
        <v>16</v>
      </c>
      <c r="O18" s="2">
        <f>IF(Select2=1,E18,0)</f>
        <v>0.3</v>
      </c>
      <c r="Q18" s="2" t="s">
        <v>16</v>
      </c>
      <c r="R18" s="388">
        <f>IF(Select2=1,J18,0)</f>
        <v>0.24</v>
      </c>
    </row>
    <row r="19" spans="2:18">
      <c r="B19" s="2" t="str">
        <f>IF(Select2=1,"Rubber and Leather","")</f>
        <v>Rubber and Leather</v>
      </c>
      <c r="C19" s="159" t="str">
        <f>IF(Select2=1,INDEX(DOC_table,5,2),"")</f>
        <v>0.47</v>
      </c>
      <c r="D19" s="16">
        <f>IF(Select2=1,INDEX(DOC_table,5,1),"")</f>
        <v>0.47</v>
      </c>
      <c r="E19" s="258">
        <f t="shared" si="0"/>
        <v>0.47</v>
      </c>
      <c r="F19" s="238"/>
      <c r="H19" s="159" t="str">
        <f>IF(Select2=1,INDEX(DOC_table,5,4),"")</f>
        <v>0.39</v>
      </c>
      <c r="I19" s="16">
        <f>IF(Select2=1,INDEX(DOC_table,5,3),"")</f>
        <v>0.39</v>
      </c>
      <c r="J19" s="258">
        <f t="shared" ref="J19:J25" si="1">I19</f>
        <v>0.39</v>
      </c>
      <c r="K19" s="238"/>
      <c r="L19" s="348" t="str">
        <f>IF(Select2=1,"Natural textiles such as wool and cotton. The default DOC value assumes 40% of textiles are synthetic materials that do not contain DOC","")</f>
        <v>Natural textiles such as wool and cotton. The default DOC value assumes 40% of textiles are synthetic materials that do not contain DOC</v>
      </c>
      <c r="N19" s="2" t="s">
        <v>229</v>
      </c>
      <c r="O19" s="2">
        <f>IF(Select2=1,E19,0)</f>
        <v>0.47</v>
      </c>
      <c r="Q19" s="2" t="s">
        <v>229</v>
      </c>
      <c r="R19" s="388">
        <f>IF(Select2=1,J19,0)</f>
        <v>0.39</v>
      </c>
    </row>
    <row r="20" spans="2:18">
      <c r="B20" s="2" t="str">
        <f>IF(Select2=1,"Wood","")</f>
        <v>Wood</v>
      </c>
      <c r="C20" s="159" t="str">
        <f>IF(Select2=1,INDEX(DOC_table,6,2),"")</f>
        <v>0.46-0.54</v>
      </c>
      <c r="D20" s="16">
        <f>IF(Select2=1,INDEX(DOC_table,6,1),"")</f>
        <v>0.5</v>
      </c>
      <c r="E20" s="258">
        <f t="shared" si="0"/>
        <v>0.5</v>
      </c>
      <c r="F20" s="238"/>
      <c r="H20" s="159" t="str">
        <f>IF(Select2=1,INDEX(DOC_table,6,4),"")</f>
        <v>0.39-0.46</v>
      </c>
      <c r="I20" s="16">
        <f>IF(Select2=1,INDEX(DOC_table,6,3),"")</f>
        <v>0.43</v>
      </c>
      <c r="J20" s="258">
        <f t="shared" si="1"/>
        <v>0.43</v>
      </c>
      <c r="K20" s="238"/>
      <c r="L20" s="543"/>
      <c r="N20" s="408" t="s">
        <v>2</v>
      </c>
      <c r="O20" s="2">
        <f>IF(Select2=1,E20,E64)</f>
        <v>0.5</v>
      </c>
      <c r="Q20" s="408" t="s">
        <v>2</v>
      </c>
      <c r="R20" s="388">
        <f>IF(Select2=1,J20,J64)</f>
        <v>0.43</v>
      </c>
    </row>
    <row r="21" spans="2:18">
      <c r="B21" s="2" t="str">
        <f>IF(Select2=1,"Nappies","")</f>
        <v>Nappies</v>
      </c>
      <c r="C21" s="159" t="str">
        <f>IF(Select2=1,INDEX(DOC_table,7,2),"")</f>
        <v>0.44-0.80</v>
      </c>
      <c r="D21" s="16">
        <f>IF(Select2=1,INDEX(DOC_table,7,1),"")</f>
        <v>0.6</v>
      </c>
      <c r="E21" s="258">
        <f t="shared" si="0"/>
        <v>0.6</v>
      </c>
      <c r="F21" s="238"/>
      <c r="H21" s="159" t="str">
        <f>IF(Select2=1,INDEX(DOC_table,7,4),"")</f>
        <v>0.18-0.32</v>
      </c>
      <c r="I21" s="16">
        <f>IF(Select2=1,INDEX(DOC_table,7,3),"")</f>
        <v>0.24</v>
      </c>
      <c r="J21" s="258">
        <f t="shared" si="1"/>
        <v>0.24</v>
      </c>
      <c r="K21" s="238"/>
      <c r="L21" s="543"/>
      <c r="N21" s="408" t="s">
        <v>267</v>
      </c>
      <c r="O21" s="2">
        <f>IF(Select2=1,E21,0)</f>
        <v>0.6</v>
      </c>
      <c r="Q21" s="408" t="s">
        <v>267</v>
      </c>
      <c r="R21" s="388">
        <f>IF(Select2=1,J21,0)</f>
        <v>0.24</v>
      </c>
    </row>
    <row r="22" spans="2:18">
      <c r="B22" s="146" t="str">
        <f>IF(Select2=1,"Plastics","")</f>
        <v>Plastics</v>
      </c>
      <c r="C22" s="160">
        <f>IF(Select2=1,INDEX(DOC_table,9,2),"")</f>
        <v>0</v>
      </c>
      <c r="D22" s="193">
        <f>IF(Select2=1,INDEX(DOC_table,9,1),"")</f>
        <v>0</v>
      </c>
      <c r="E22" s="258">
        <f t="shared" si="0"/>
        <v>0</v>
      </c>
      <c r="F22" s="238"/>
      <c r="H22" s="160">
        <f>IF(Select2=1,INDEX(DOC_table,9,4),"")</f>
        <v>0</v>
      </c>
      <c r="I22" s="193">
        <f>IF(Select2=1,INDEX(DOC_table,9,3),"")</f>
        <v>0</v>
      </c>
      <c r="J22" s="258">
        <f t="shared" si="1"/>
        <v>0</v>
      </c>
      <c r="K22" s="238"/>
      <c r="L22" s="257"/>
      <c r="N22" s="146" t="s">
        <v>230</v>
      </c>
      <c r="O22" s="2">
        <f>IF(Select2=1,E22,0)</f>
        <v>0</v>
      </c>
      <c r="Q22" s="146" t="s">
        <v>230</v>
      </c>
      <c r="R22" s="388">
        <f>IF(Select2=1,J22,0)</f>
        <v>0</v>
      </c>
    </row>
    <row r="23" spans="2:18">
      <c r="B23" s="146" t="str">
        <f>IF(Select2=1,"Metal","")</f>
        <v>Metal</v>
      </c>
      <c r="C23" s="160">
        <f>IF(Select2=1,INDEX(DOC_table,10,2),"")</f>
        <v>0</v>
      </c>
      <c r="D23" s="193">
        <f>IF(Select2=1,INDEX(DOC_table,10,1),"")</f>
        <v>0</v>
      </c>
      <c r="E23" s="258">
        <f t="shared" si="0"/>
        <v>0</v>
      </c>
      <c r="F23" s="238"/>
      <c r="H23" s="160">
        <f>IF(Select2=1,INDEX(DOC_table,10,4),"")</f>
        <v>0</v>
      </c>
      <c r="I23" s="193">
        <f>IF(Select2=1,INDEX(DOC_table,10,3),"")</f>
        <v>0</v>
      </c>
      <c r="J23" s="258">
        <f t="shared" si="1"/>
        <v>0</v>
      </c>
      <c r="K23" s="238"/>
      <c r="L23" s="257"/>
      <c r="N23" s="146" t="s">
        <v>231</v>
      </c>
      <c r="O23" s="2">
        <f>IF(Select2=1,E23,0)</f>
        <v>0</v>
      </c>
      <c r="Q23" s="146" t="s">
        <v>231</v>
      </c>
      <c r="R23" s="388">
        <f>IF(Select2=1,J23,0)</f>
        <v>0</v>
      </c>
    </row>
    <row r="24" spans="2:18">
      <c r="B24" s="146" t="str">
        <f>IF(Select2=1,"Glass","")</f>
        <v>Glass</v>
      </c>
      <c r="C24" s="160">
        <f>IF(Select2=1,INDEX(DOC_table,11,2),"")</f>
        <v>0</v>
      </c>
      <c r="D24" s="193">
        <f>IF(Select2=1,INDEX(DOC_table,11,1),"")</f>
        <v>0</v>
      </c>
      <c r="E24" s="258">
        <f t="shared" si="0"/>
        <v>0</v>
      </c>
      <c r="F24" s="238"/>
      <c r="H24" s="160">
        <f>IF(Select2=1,INDEX(DOC_table,11,4),"")</f>
        <v>0</v>
      </c>
      <c r="I24" s="193">
        <f>IF(Select2=1,INDEX(DOC_table,11,3),"")</f>
        <v>0</v>
      </c>
      <c r="J24" s="258">
        <f t="shared" si="1"/>
        <v>0</v>
      </c>
      <c r="K24" s="238"/>
      <c r="L24" s="257"/>
      <c r="N24" s="146" t="s">
        <v>232</v>
      </c>
      <c r="O24" s="2">
        <f>IF(Select2=1,E24,0)</f>
        <v>0</v>
      </c>
      <c r="Q24" s="146" t="s">
        <v>232</v>
      </c>
      <c r="R24" s="388">
        <f>IF(Select2=1,J24,0)</f>
        <v>0</v>
      </c>
    </row>
    <row r="25" spans="2:18">
      <c r="B25" s="146" t="str">
        <f>IF(Select2=1,"Other","")</f>
        <v>Other</v>
      </c>
      <c r="C25" s="160">
        <f>IF(Select2=1,INDEX(DOC_table,12,2),"")</f>
        <v>0</v>
      </c>
      <c r="D25" s="193">
        <f>IF(Select2=1,INDEX(DOC_table,12,1),"")</f>
        <v>0</v>
      </c>
      <c r="E25" s="258">
        <f t="shared" si="0"/>
        <v>0</v>
      </c>
      <c r="F25" s="238"/>
      <c r="H25" s="160">
        <f>IF(Select2=1,INDEX(DOC_table,12,4),"")</f>
        <v>0</v>
      </c>
      <c r="I25" s="193">
        <f>IF(Select2=1,INDEX(DOC_table,12,3),"")</f>
        <v>0</v>
      </c>
      <c r="J25" s="258">
        <f t="shared" si="1"/>
        <v>0</v>
      </c>
      <c r="K25" s="238"/>
      <c r="L25" s="257"/>
      <c r="N25" s="146" t="s">
        <v>233</v>
      </c>
      <c r="O25" s="2">
        <f>IF(Select2=1,E25,0)</f>
        <v>0</v>
      </c>
      <c r="Q25" s="146" t="s">
        <v>233</v>
      </c>
      <c r="R25" s="388">
        <f>IF(Select2=1,J25,0)</f>
        <v>0</v>
      </c>
    </row>
    <row r="26" spans="2:18">
      <c r="B26" s="146"/>
      <c r="C26" s="160"/>
      <c r="D26" s="193"/>
      <c r="E26" s="258"/>
      <c r="F26" s="238"/>
      <c r="H26" s="160"/>
      <c r="I26" s="193"/>
      <c r="J26" s="258"/>
      <c r="K26" s="238"/>
      <c r="L26" s="257"/>
      <c r="N26" s="408" t="s">
        <v>204</v>
      </c>
      <c r="O26" s="2">
        <f>IF(Select2=1,0,E15)</f>
        <v>0</v>
      </c>
      <c r="Q26" s="408" t="s">
        <v>204</v>
      </c>
      <c r="R26" s="388">
        <f>IF(Select2=1,0,J15)</f>
        <v>0</v>
      </c>
    </row>
    <row r="27" spans="2:18" ht="13.5" thickBot="1">
      <c r="B27" s="2" t="str">
        <f>IF(Select2=1,"Sewage sludge","")</f>
        <v>Sewage sludge</v>
      </c>
      <c r="C27" s="159" t="str">
        <f>IF(Select2=1,INDEX(DOC_table,13,2),"")</f>
        <v>N.A</v>
      </c>
      <c r="D27" s="429">
        <f>IF(Select2=1,INDEX(DOC_table,13,1),"")</f>
        <v>0</v>
      </c>
      <c r="E27" s="258">
        <f t="shared" ref="E27:E28" si="2">D27</f>
        <v>0</v>
      </c>
      <c r="F27" s="238"/>
      <c r="H27" s="159" t="str">
        <f>IF(Select2=1,INDEX(DOC_table,13,4),"")</f>
        <v>0.04-0.05</v>
      </c>
      <c r="I27" s="16">
        <f>IF(Select2=1,INDEX(DOC_table,13,3),"")</f>
        <v>0.05</v>
      </c>
      <c r="J27" s="258">
        <f>I27</f>
        <v>0.05</v>
      </c>
      <c r="K27" s="238"/>
      <c r="L27" s="6"/>
      <c r="N27" s="19" t="s">
        <v>135</v>
      </c>
      <c r="O27" s="19">
        <f>IF(Select2=1,E27,E16)</f>
        <v>0</v>
      </c>
      <c r="Q27" s="19" t="s">
        <v>135</v>
      </c>
      <c r="R27" s="389">
        <f>IF(Select2=1,J27,J16)</f>
        <v>0.05</v>
      </c>
    </row>
    <row r="28" spans="2:18" ht="13.5" thickBot="1">
      <c r="B28" s="19" t="str">
        <f>IF(Select2=1,"Industrial waste","")</f>
        <v>Industrial waste</v>
      </c>
      <c r="C28" s="539" t="str">
        <f>IF(Select2=1,INDEX(DOC_table,15,2),"")</f>
        <v>N.A</v>
      </c>
      <c r="D28" s="540">
        <f>IF(Select2=1,INDEX(DOC_table,15,1),"")</f>
        <v>0</v>
      </c>
      <c r="E28" s="259">
        <f t="shared" si="2"/>
        <v>0</v>
      </c>
      <c r="F28" s="541"/>
      <c r="H28" s="539" t="str">
        <f>IF(Select2=1,INDEX(DOC_table,15,4),"")</f>
        <v>0-0.54</v>
      </c>
      <c r="I28" s="540">
        <f>IF(Select2=1,INDEX(DOC_table,15,3),"")</f>
        <v>0.15</v>
      </c>
      <c r="J28" s="259">
        <f t="shared" ref="J28" si="3">I28</f>
        <v>0.15</v>
      </c>
      <c r="K28" s="541"/>
      <c r="L28" s="542"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28" s="19" t="s">
        <v>23</v>
      </c>
      <c r="O28" s="19">
        <f>IF(Select2=1,E28,E$17)</f>
        <v>0</v>
      </c>
      <c r="Q28" s="19" t="s">
        <v>23</v>
      </c>
      <c r="R28" s="19">
        <f>IF(Select2=1,J28,J$17)</f>
        <v>0.15</v>
      </c>
    </row>
    <row r="29" spans="2:18" ht="13.5" thickBot="1">
      <c r="B29" s="22"/>
      <c r="C29" s="14"/>
      <c r="D29" s="23"/>
      <c r="E29" s="6"/>
      <c r="F29" s="22"/>
      <c r="L29" s="6"/>
    </row>
    <row r="30" spans="2:18" ht="13.5" thickBot="1">
      <c r="B30" s="35" t="s">
        <v>43</v>
      </c>
      <c r="C30" s="407"/>
      <c r="D30" s="31">
        <v>0.5</v>
      </c>
      <c r="E30" s="351">
        <f>D30</f>
        <v>0.5</v>
      </c>
      <c r="F30" s="355"/>
      <c r="L30" s="6"/>
    </row>
    <row r="31" spans="2:18" ht="13.5" thickBot="1">
      <c r="B31" s="22"/>
      <c r="C31" s="292"/>
      <c r="D31" s="293"/>
      <c r="E31" s="352"/>
      <c r="F31" s="22"/>
      <c r="L31" s="6"/>
    </row>
    <row r="32" spans="2:18" ht="13.5" thickBot="1">
      <c r="B32" s="35" t="s">
        <v>208</v>
      </c>
      <c r="C32" s="294"/>
      <c r="D32" s="295"/>
      <c r="E32" s="353"/>
      <c r="F32" s="356"/>
      <c r="L32" s="6"/>
    </row>
    <row r="33" spans="2:15" ht="15" thickBot="1">
      <c r="B33" s="147" t="s">
        <v>193</v>
      </c>
      <c r="C33" s="299" t="s">
        <v>113</v>
      </c>
      <c r="D33" s="300" t="s">
        <v>115</v>
      </c>
      <c r="E33" s="354"/>
      <c r="F33" s="357"/>
      <c r="L33" s="6"/>
      <c r="N33" t="s">
        <v>130</v>
      </c>
    </row>
    <row r="34" spans="2:15">
      <c r="B34" s="8" t="str">
        <f>IF(Select2=1,"Food waste","Bulk MSW")</f>
        <v>Food waste</v>
      </c>
      <c r="C34" s="157" t="str">
        <f>INDEX(half_life,IF(Select2=1,4,5),selected*2)</f>
        <v xml:space="preserve">0.17–0.7 </v>
      </c>
      <c r="D34" s="93">
        <f>INDEX(half_life,IF(Select2=1,4,5),selected*2-1)</f>
        <v>0.4</v>
      </c>
      <c r="E34" s="577">
        <f t="shared" ref="E34:E39" si="4">D34</f>
        <v>0.4</v>
      </c>
      <c r="F34" s="132"/>
      <c r="L34" s="348" t="str">
        <f>IF(Select2=1,"May include garden waste provided that a suitable value of DOC is used","")</f>
        <v>May include garden waste provided that a suitable value of DOC is used</v>
      </c>
      <c r="N34" s="40" t="s">
        <v>6</v>
      </c>
      <c r="O34" s="40">
        <f t="shared" ref="O34:O44" si="5">IF(Select2=1,E34,0)</f>
        <v>0.4</v>
      </c>
    </row>
    <row r="35" spans="2:15">
      <c r="B35" s="8" t="str">
        <f>IF(Select2=1,"Paper/cardboard","Sewage sludge")</f>
        <v>Paper/cardboard</v>
      </c>
      <c r="C35" s="158" t="str">
        <f>INDEX(half_life,IF(Select2=1,1,4),selected*2)</f>
        <v>0.06–0.085</v>
      </c>
      <c r="D35" s="70">
        <f>INDEX(half_life,IF(Select2=1,1,4),selected*2-1)</f>
        <v>7.0000000000000007E-2</v>
      </c>
      <c r="E35" s="578">
        <f t="shared" si="4"/>
        <v>7.0000000000000007E-2</v>
      </c>
      <c r="F35" s="43"/>
      <c r="L35" s="348" t="str">
        <f>IF(Select2=1,"Garden (yard) and park waste and other moderately fast degrading waste","The composition of industrial waste will vary significantly by country. This DOC value should match the amounts entered (see guidelines).")</f>
        <v>Garden (yard) and park waste and other moderately fast degrading waste</v>
      </c>
      <c r="N35" s="410" t="s">
        <v>262</v>
      </c>
      <c r="O35" s="2">
        <f t="shared" si="5"/>
        <v>7.0000000000000007E-2</v>
      </c>
    </row>
    <row r="36" spans="2:15">
      <c r="B36" s="2" t="str">
        <f>IF(Select2=1,"Garden and Park waste","Industrial waste")</f>
        <v>Garden and Park waste</v>
      </c>
      <c r="C36" s="158" t="str">
        <f>INDEX(half_life,IF(Select2=1,3,5),selected*2)</f>
        <v>0.15–0.2</v>
      </c>
      <c r="D36" s="70">
        <f>INDEX(half_life,IF(Select2=1,3,5),selected*2-1)</f>
        <v>0.17</v>
      </c>
      <c r="E36" s="578">
        <f t="shared" si="4"/>
        <v>0.17</v>
      </c>
      <c r="F36" s="43"/>
      <c r="L36" s="6"/>
      <c r="N36" s="409" t="s">
        <v>261</v>
      </c>
      <c r="O36" s="2">
        <f t="shared" si="5"/>
        <v>0.17</v>
      </c>
    </row>
    <row r="37" spans="2:15">
      <c r="B37" s="2" t="str">
        <f>IF(Select2=1,"Textiles","")</f>
        <v>Textiles</v>
      </c>
      <c r="C37" s="159" t="str">
        <f>IF(Select2=1,INDEX(half_life,1,selected*2),"")</f>
        <v>0.06–0.085</v>
      </c>
      <c r="D37" s="70">
        <f>IF(Select2=1,INDEX(half_life,1,selected*2-1),"")</f>
        <v>7.0000000000000007E-2</v>
      </c>
      <c r="E37" s="578">
        <f t="shared" si="4"/>
        <v>7.0000000000000007E-2</v>
      </c>
      <c r="F37" s="43"/>
      <c r="L37" s="6"/>
      <c r="N37" s="2" t="s">
        <v>16</v>
      </c>
      <c r="O37" s="2">
        <f t="shared" si="5"/>
        <v>7.0000000000000007E-2</v>
      </c>
    </row>
    <row r="38" spans="2:15">
      <c r="B38" s="2" t="str">
        <f>IF(Select2=1,"Rubber and Leather","")</f>
        <v>Rubber and Leather</v>
      </c>
      <c r="C38" s="159" t="str">
        <f>IF(Select2=1,INDEX(half_life,2,selected*2),"")</f>
        <v>0.03–0.05</v>
      </c>
      <c r="D38" s="70">
        <f>IF(Select2=1,INDEX(half_life,2,selected*2-1),"")</f>
        <v>3.5000000000000003E-2</v>
      </c>
      <c r="E38" s="579">
        <f t="shared" si="4"/>
        <v>3.5000000000000003E-2</v>
      </c>
      <c r="F38" s="238"/>
      <c r="L38" s="348" t="str">
        <f>IF(Select2=1,"Natural textiles such as wool and cotton. Synthetic textiles are assumed not to contain DOC","")</f>
        <v>Natural textiles such as wool and cotton. Synthetic textiles are assumed not to contain DOC</v>
      </c>
      <c r="N38" s="2" t="s">
        <v>229</v>
      </c>
      <c r="O38" s="2">
        <f t="shared" si="5"/>
        <v>3.5000000000000003E-2</v>
      </c>
    </row>
    <row r="39" spans="2:15">
      <c r="B39" s="2" t="str">
        <f>IF(Select2=1,"Wood","")</f>
        <v>Wood</v>
      </c>
      <c r="C39" s="159" t="str">
        <f>IF(Select2=1,INDEX(half_life,2,selected*2),"")</f>
        <v>0.03–0.05</v>
      </c>
      <c r="D39" s="70">
        <f>IF(Select2=1,INDEX(half_life,2,selected*2-1),"")</f>
        <v>3.5000000000000003E-2</v>
      </c>
      <c r="E39" s="579">
        <f t="shared" si="4"/>
        <v>3.5000000000000003E-2</v>
      </c>
      <c r="F39" s="238"/>
      <c r="N39" s="408" t="s">
        <v>2</v>
      </c>
      <c r="O39" s="2">
        <f t="shared" si="5"/>
        <v>3.5000000000000003E-2</v>
      </c>
    </row>
    <row r="40" spans="2:15">
      <c r="B40" s="2" t="str">
        <f>IF(Select2=1,"Nappies","")</f>
        <v>Nappies</v>
      </c>
      <c r="C40" s="159" t="str">
        <f>IF(Select2=1,INDEX(half_life,3,selected*2),"")</f>
        <v>0.15–0.2</v>
      </c>
      <c r="D40" s="70">
        <f>IF(Select2=1,INDEX(half_life,3,selected*2-1),"")</f>
        <v>0.17</v>
      </c>
      <c r="E40" s="579">
        <f>D40</f>
        <v>0.17</v>
      </c>
      <c r="F40" s="238"/>
      <c r="N40" s="408" t="s">
        <v>267</v>
      </c>
      <c r="O40" s="2">
        <f t="shared" si="5"/>
        <v>0.17</v>
      </c>
    </row>
    <row r="41" spans="2:15">
      <c r="B41" s="146" t="str">
        <f>IF(Select2=1,"Plastics","")</f>
        <v>Plastics</v>
      </c>
      <c r="C41" s="159">
        <f t="shared" ref="C41:D44" si="6">IF(Select2=1,0,"")</f>
        <v>0</v>
      </c>
      <c r="D41" s="428">
        <f t="shared" si="6"/>
        <v>0</v>
      </c>
      <c r="E41" s="579">
        <f>D41</f>
        <v>0</v>
      </c>
      <c r="F41" s="238"/>
      <c r="N41" s="146" t="s">
        <v>230</v>
      </c>
      <c r="O41" s="2">
        <f t="shared" si="5"/>
        <v>0</v>
      </c>
    </row>
    <row r="42" spans="2:15">
      <c r="B42" s="146" t="str">
        <f>IF(Select2=1,"Metal","")</f>
        <v>Metal</v>
      </c>
      <c r="C42" s="159">
        <f t="shared" si="6"/>
        <v>0</v>
      </c>
      <c r="D42" s="428">
        <f t="shared" si="6"/>
        <v>0</v>
      </c>
      <c r="E42" s="579">
        <f>D42</f>
        <v>0</v>
      </c>
      <c r="F42" s="238"/>
      <c r="N42" s="146" t="s">
        <v>231</v>
      </c>
      <c r="O42" s="2">
        <f t="shared" si="5"/>
        <v>0</v>
      </c>
    </row>
    <row r="43" spans="2:15">
      <c r="B43" s="146" t="str">
        <f>IF(Select2=1,"Glass","")</f>
        <v>Glass</v>
      </c>
      <c r="C43" s="159">
        <f t="shared" si="6"/>
        <v>0</v>
      </c>
      <c r="D43" s="428">
        <f t="shared" si="6"/>
        <v>0</v>
      </c>
      <c r="E43" s="579">
        <f>D43</f>
        <v>0</v>
      </c>
      <c r="F43" s="238"/>
      <c r="N43" s="146" t="s">
        <v>232</v>
      </c>
      <c r="O43" s="2">
        <f t="shared" si="5"/>
        <v>0</v>
      </c>
    </row>
    <row r="44" spans="2:15">
      <c r="B44" s="146" t="str">
        <f>IF(Select2=1,"Other","")</f>
        <v>Other</v>
      </c>
      <c r="C44" s="159">
        <f t="shared" si="6"/>
        <v>0</v>
      </c>
      <c r="D44" s="428">
        <f t="shared" si="6"/>
        <v>0</v>
      </c>
      <c r="E44" s="579">
        <f>D44</f>
        <v>0</v>
      </c>
      <c r="F44" s="238"/>
      <c r="N44" s="146" t="s">
        <v>233</v>
      </c>
      <c r="O44" s="2">
        <f t="shared" si="5"/>
        <v>0</v>
      </c>
    </row>
    <row r="45" spans="2:15">
      <c r="B45" s="146"/>
      <c r="C45" s="159"/>
      <c r="D45" s="70"/>
      <c r="E45" s="579"/>
      <c r="F45" s="238"/>
      <c r="N45" s="408" t="s">
        <v>204</v>
      </c>
      <c r="O45" s="2">
        <f>IF(Select2=1,0,E$34)</f>
        <v>0</v>
      </c>
    </row>
    <row r="46" spans="2:15" ht="13.5" thickBot="1">
      <c r="B46" s="2" t="str">
        <f>IF(Select2=1,"Sewage sludge","")</f>
        <v>Sewage sludge</v>
      </c>
      <c r="C46" s="159" t="str">
        <f>IF(Select2=1,INDEX(half_life,4,selected*2),"")</f>
        <v xml:space="preserve">0.17–0.7 </v>
      </c>
      <c r="D46" s="70">
        <f>IF(Select2=1,INDEX(half_life,4,selected*2-1),"")</f>
        <v>0.4</v>
      </c>
      <c r="E46" s="579">
        <f>D46</f>
        <v>0.4</v>
      </c>
      <c r="F46" s="238"/>
      <c r="N46" s="19" t="s">
        <v>135</v>
      </c>
      <c r="O46" s="19">
        <f>IF(Select2=1,E46,E$35)</f>
        <v>0.4</v>
      </c>
    </row>
    <row r="47" spans="2:15" ht="13.5" thickBot="1">
      <c r="B47" s="19" t="str">
        <f>IF(Select2=1,"Industrial waste","")</f>
        <v>Industrial waste</v>
      </c>
      <c r="C47" s="539" t="str">
        <f>IF(Select2=1,INDEX(half_life,5,selected*2),"")</f>
        <v>0.15–0.2</v>
      </c>
      <c r="D47" s="544">
        <f>IF(Select2=1,INDEX(half_life,5,selected*2-1),"")</f>
        <v>0.17</v>
      </c>
      <c r="E47" s="580">
        <f t="shared" ref="E47" si="7">D47</f>
        <v>0.17</v>
      </c>
      <c r="F47" s="541"/>
      <c r="L47" s="545" t="str">
        <f>IF(Select2=1,"The composition of industrial waste will vary significantly by country. This DOC value should match the amounts entered (see Guidelines).","")</f>
        <v>The composition of industrial waste will vary significantly by country. This DOC value should match the amounts entered (see Guidelines).</v>
      </c>
      <c r="N47" s="19" t="s">
        <v>23</v>
      </c>
      <c r="O47" s="19">
        <f>IF(Select2=1,E47,E$36)</f>
        <v>0.17</v>
      </c>
    </row>
    <row r="48" spans="2:15" ht="13.5" thickBot="1">
      <c r="B48" s="22"/>
      <c r="C48" s="14"/>
      <c r="D48" s="23"/>
      <c r="E48" s="17"/>
      <c r="F48" s="23"/>
    </row>
    <row r="49" spans="1:18" ht="13.5" thickBot="1">
      <c r="B49" s="35" t="s">
        <v>42</v>
      </c>
      <c r="C49" s="38"/>
      <c r="D49" s="31">
        <v>6</v>
      </c>
      <c r="E49" s="581">
        <v>6</v>
      </c>
      <c r="F49" s="42"/>
    </row>
    <row r="50" spans="1:18" ht="13.5" thickBot="1">
      <c r="B50" s="22"/>
      <c r="C50" s="14"/>
      <c r="D50" s="23"/>
      <c r="E50" s="24"/>
      <c r="F50" s="23"/>
    </row>
    <row r="51" spans="1:18" ht="13.5" thickBot="1">
      <c r="B51" s="35" t="s">
        <v>207</v>
      </c>
      <c r="C51" s="38"/>
      <c r="D51" s="21">
        <v>0.5</v>
      </c>
      <c r="E51" s="581">
        <f>D51</f>
        <v>0.5</v>
      </c>
      <c r="F51" s="42"/>
    </row>
    <row r="52" spans="1:18" ht="13.5" thickBot="1">
      <c r="B52" s="22"/>
      <c r="C52" s="14"/>
      <c r="D52" s="23"/>
      <c r="E52" s="17"/>
      <c r="F52" s="23"/>
    </row>
    <row r="53" spans="1:18" ht="16.5" thickBot="1">
      <c r="B53" s="35" t="s">
        <v>21</v>
      </c>
      <c r="C53" s="38"/>
      <c r="D53" s="26">
        <f>16/12</f>
        <v>1.3333333333333333</v>
      </c>
      <c r="E53" s="27">
        <f>16/12</f>
        <v>1.3333333333333333</v>
      </c>
      <c r="F53" s="28"/>
    </row>
    <row r="54" spans="1:18" ht="13.5" thickBot="1">
      <c r="B54" s="22"/>
      <c r="C54" s="14"/>
      <c r="D54" s="23"/>
      <c r="E54" s="17"/>
      <c r="F54" s="23"/>
    </row>
    <row r="55" spans="1:18" ht="13.5" thickBot="1">
      <c r="B55" s="35" t="s">
        <v>22</v>
      </c>
      <c r="C55" s="38"/>
      <c r="D55" s="21">
        <v>0</v>
      </c>
      <c r="E55" s="581">
        <f>D55</f>
        <v>0</v>
      </c>
      <c r="F55" s="42"/>
    </row>
    <row r="56" spans="1:18" ht="13.5" thickBot="1">
      <c r="B56" s="29"/>
      <c r="C56" s="14"/>
      <c r="D56" s="30"/>
      <c r="E56" s="25"/>
      <c r="F56" s="23"/>
    </row>
    <row r="57" spans="1:18" ht="13.5" thickBot="1">
      <c r="A57" s="18"/>
      <c r="B57" s="35" t="s">
        <v>80</v>
      </c>
      <c r="C57" s="38"/>
      <c r="D57" s="36"/>
      <c r="E57" s="37"/>
      <c r="F57" s="36"/>
      <c r="L57" s="18"/>
    </row>
    <row r="58" spans="1:18">
      <c r="A58" s="18"/>
      <c r="B58" s="279" t="s">
        <v>195</v>
      </c>
      <c r="C58" s="271"/>
      <c r="D58" s="276">
        <v>0</v>
      </c>
      <c r="E58" s="582">
        <f>D58</f>
        <v>0</v>
      </c>
      <c r="F58" s="94"/>
      <c r="L58" s="18"/>
    </row>
    <row r="59" spans="1:18" ht="13.5" thickBot="1">
      <c r="B59" s="280" t="s">
        <v>196</v>
      </c>
      <c r="C59" s="277"/>
      <c r="D59" s="278">
        <v>0</v>
      </c>
      <c r="E59" s="583">
        <f>D59</f>
        <v>0</v>
      </c>
      <c r="F59" s="41"/>
    </row>
    <row r="60" spans="1:18" ht="13.5" thickBot="1">
      <c r="B60" s="138"/>
      <c r="C60" s="261"/>
      <c r="D60" s="262"/>
      <c r="E60" s="264"/>
      <c r="F60" s="263"/>
    </row>
    <row r="61" spans="1:18" s="18" customFormat="1" ht="26.25" thickBot="1">
      <c r="A61"/>
      <c r="B61" s="267" t="s">
        <v>209</v>
      </c>
      <c r="C61" s="150"/>
      <c r="D61" s="908" t="s">
        <v>250</v>
      </c>
      <c r="E61" s="909"/>
      <c r="F61" s="910"/>
      <c r="H61" s="38"/>
      <c r="I61" s="908" t="s">
        <v>251</v>
      </c>
      <c r="J61" s="909"/>
      <c r="K61" s="910"/>
      <c r="L61"/>
      <c r="N61"/>
      <c r="O61"/>
      <c r="P61"/>
    </row>
    <row r="62" spans="1:18" s="18" customFormat="1" ht="13.5" thickBot="1">
      <c r="A62"/>
      <c r="B62" s="268" t="str">
        <f>IF(Select2=1,"","DOC for garden waste")</f>
        <v/>
      </c>
      <c r="C62" s="271"/>
      <c r="D62" s="274" t="str">
        <f>IF(Select2=1,"",INDEX(DOC_table,3,1))</f>
        <v/>
      </c>
      <c r="E62" s="286" t="str">
        <f>D62</f>
        <v/>
      </c>
      <c r="F62" s="287"/>
      <c r="H62" s="271"/>
      <c r="I62" s="274" t="str">
        <f>IF(Select2=1,"",INDEX(DOC_table,3,3))</f>
        <v/>
      </c>
      <c r="J62" s="286" t="str">
        <f>I62</f>
        <v/>
      </c>
      <c r="K62" s="287"/>
      <c r="L62"/>
      <c r="N62" s="426" t="s">
        <v>278</v>
      </c>
      <c r="O62" s="40" t="str">
        <f>IF(Select2=2,E62,"")</f>
        <v/>
      </c>
      <c r="Q62" s="426" t="s">
        <v>278</v>
      </c>
      <c r="R62" s="40" t="str">
        <f>IF(Select2=2,J62,"")</f>
        <v/>
      </c>
    </row>
    <row r="63" spans="1:18" ht="13.5" thickBot="1">
      <c r="B63" s="269" t="str">
        <f>IF(Select2=1,"","DOC for paper and cardboard")</f>
        <v/>
      </c>
      <c r="C63" s="272"/>
      <c r="D63" s="275" t="str">
        <f>IF(Select2=1,"",INDEX(DOC_table,2,1))</f>
        <v/>
      </c>
      <c r="E63" s="288" t="str">
        <f>D63</f>
        <v/>
      </c>
      <c r="F63" s="289"/>
      <c r="H63" s="272"/>
      <c r="I63" s="275" t="str">
        <f>IF(Select2=1,"",INDEX(DOC_table,2,3))</f>
        <v/>
      </c>
      <c r="J63" s="288" t="str">
        <f>I63</f>
        <v/>
      </c>
      <c r="K63" s="289"/>
      <c r="N63" s="426" t="s">
        <v>279</v>
      </c>
      <c r="O63" s="2" t="str">
        <f>IF(Select2=2,E63,"")</f>
        <v/>
      </c>
      <c r="P63" s="18"/>
      <c r="Q63" s="426" t="s">
        <v>279</v>
      </c>
      <c r="R63" s="2" t="str">
        <f>IF(Select2=2,J63,"")</f>
        <v/>
      </c>
    </row>
    <row r="64" spans="1:18" ht="13.5" thickBot="1">
      <c r="B64" s="270" t="str">
        <f>IF(Select2=1,"","DOC for wood and straw")</f>
        <v/>
      </c>
      <c r="C64" s="273"/>
      <c r="D64" s="281" t="str">
        <f>IF(Select2=1,"",INDEX(DOC_table,6,1))</f>
        <v/>
      </c>
      <c r="E64" s="290" t="str">
        <f>D64</f>
        <v/>
      </c>
      <c r="F64" s="291"/>
      <c r="H64" s="273"/>
      <c r="I64" s="281" t="str">
        <f>IF(Select2=1,"",INDEX(DOC_table,6,3))</f>
        <v/>
      </c>
      <c r="J64" s="290" t="str">
        <f>I64</f>
        <v/>
      </c>
      <c r="K64" s="291"/>
      <c r="N64" s="426" t="s">
        <v>280</v>
      </c>
      <c r="O64" s="19" t="str">
        <f>IF(Select2=2,E64,"")</f>
        <v/>
      </c>
      <c r="Q64" s="426" t="s">
        <v>280</v>
      </c>
      <c r="R64" s="19" t="str">
        <f>IF(Select2=2,J64,"")</f>
        <v/>
      </c>
    </row>
    <row r="69" spans="2:8">
      <c r="B69" s="561" t="s">
        <v>336</v>
      </c>
    </row>
    <row r="71" spans="2:8">
      <c r="B71" s="895" t="s">
        <v>317</v>
      </c>
      <c r="C71" s="895"/>
      <c r="D71" s="896" t="s">
        <v>318</v>
      </c>
      <c r="E71" s="896"/>
      <c r="F71" s="896"/>
      <c r="G71" s="896"/>
      <c r="H71" s="896"/>
    </row>
    <row r="72" spans="2:8">
      <c r="B72" s="895" t="s">
        <v>319</v>
      </c>
      <c r="C72" s="895"/>
      <c r="D72" s="896" t="s">
        <v>320</v>
      </c>
      <c r="E72" s="896"/>
      <c r="F72" s="896"/>
      <c r="G72" s="896"/>
      <c r="H72" s="896"/>
    </row>
    <row r="73" spans="2:8">
      <c r="B73" s="895" t="s">
        <v>321</v>
      </c>
      <c r="C73" s="895"/>
      <c r="D73" s="896" t="s">
        <v>322</v>
      </c>
      <c r="E73" s="896"/>
      <c r="F73" s="896"/>
      <c r="G73" s="896"/>
      <c r="H73" s="896"/>
    </row>
    <row r="74" spans="2:8">
      <c r="B74" s="895" t="s">
        <v>323</v>
      </c>
      <c r="C74" s="895"/>
      <c r="D74" s="896" t="s">
        <v>324</v>
      </c>
      <c r="E74" s="896"/>
      <c r="F74" s="896"/>
      <c r="G74" s="896"/>
      <c r="H74" s="896"/>
    </row>
    <row r="75" spans="2:8">
      <c r="B75" s="559"/>
      <c r="C75" s="560"/>
      <c r="D75" s="560"/>
      <c r="E75" s="560"/>
      <c r="F75" s="560"/>
      <c r="G75" s="560"/>
      <c r="H75" s="560"/>
    </row>
    <row r="76" spans="2:8">
      <c r="B76" s="562"/>
      <c r="C76" s="563" t="s">
        <v>325</v>
      </c>
      <c r="D76" s="564" t="s">
        <v>87</v>
      </c>
      <c r="E76" s="564" t="s">
        <v>88</v>
      </c>
    </row>
    <row r="77" spans="2:8">
      <c r="B77" s="897" t="s">
        <v>133</v>
      </c>
      <c r="C77" s="565" t="s">
        <v>326</v>
      </c>
      <c r="D77" s="566" t="s">
        <v>327</v>
      </c>
      <c r="E77" s="566" t="s">
        <v>9</v>
      </c>
      <c r="F77" s="487"/>
      <c r="G77" s="546"/>
      <c r="H77" s="6"/>
    </row>
    <row r="78" spans="2:8">
      <c r="B78" s="898"/>
      <c r="C78" s="567"/>
      <c r="D78" s="568"/>
      <c r="E78" s="569"/>
      <c r="F78" s="6"/>
      <c r="G78" s="487"/>
      <c r="H78" s="6"/>
    </row>
    <row r="79" spans="2:8">
      <c r="B79" s="898"/>
      <c r="C79" s="567"/>
      <c r="D79" s="568"/>
      <c r="E79" s="569"/>
      <c r="F79" s="6"/>
      <c r="G79" s="487"/>
      <c r="H79" s="6"/>
    </row>
    <row r="80" spans="2:8">
      <c r="B80" s="898"/>
      <c r="C80" s="567"/>
      <c r="D80" s="568"/>
      <c r="E80" s="569"/>
      <c r="F80" s="6"/>
      <c r="G80" s="487"/>
      <c r="H80" s="6"/>
    </row>
    <row r="81" spans="2:8">
      <c r="B81" s="898"/>
      <c r="C81" s="567"/>
      <c r="D81" s="568"/>
      <c r="E81" s="569"/>
      <c r="F81" s="6"/>
      <c r="G81" s="487"/>
      <c r="H81" s="6"/>
    </row>
    <row r="82" spans="2:8">
      <c r="B82" s="898"/>
      <c r="C82" s="567"/>
      <c r="D82" s="568" t="s">
        <v>328</v>
      </c>
      <c r="E82" s="569"/>
      <c r="F82" s="6"/>
      <c r="G82" s="487"/>
      <c r="H82" s="6"/>
    </row>
    <row r="83" spans="2:8" ht="13.5" thickBot="1">
      <c r="B83" s="899"/>
      <c r="C83" s="570"/>
      <c r="D83" s="570"/>
      <c r="E83" s="571" t="s">
        <v>329</v>
      </c>
      <c r="F83" s="6"/>
      <c r="G83" s="6"/>
      <c r="H83" s="6"/>
    </row>
    <row r="84" spans="2:8" ht="13.5" thickTop="1">
      <c r="B84" s="562"/>
      <c r="C84" s="569"/>
      <c r="D84" s="562"/>
      <c r="E84" s="572"/>
      <c r="F84" s="6"/>
      <c r="G84" s="6"/>
      <c r="H84" s="6"/>
    </row>
    <row r="85" spans="2:8">
      <c r="B85" s="891" t="s">
        <v>330</v>
      </c>
      <c r="C85" s="892"/>
      <c r="D85" s="892"/>
      <c r="E85" s="893"/>
      <c r="F85" s="6"/>
      <c r="G85" s="6"/>
      <c r="H85" s="6"/>
    </row>
    <row r="86" spans="2:8">
      <c r="B86" s="573" t="s">
        <v>6</v>
      </c>
      <c r="C86" s="574">
        <v>0.63560000000000005</v>
      </c>
      <c r="D86" s="575">
        <v>0.15</v>
      </c>
      <c r="E86" s="575">
        <f>C86*D86</f>
        <v>9.5340000000000008E-2</v>
      </c>
      <c r="F86" s="6"/>
      <c r="G86" s="6"/>
      <c r="H86" s="6"/>
    </row>
    <row r="87" spans="2:8">
      <c r="B87" s="573" t="s">
        <v>256</v>
      </c>
      <c r="C87" s="574">
        <v>0.1042</v>
      </c>
      <c r="D87" s="575">
        <v>0.4</v>
      </c>
      <c r="E87" s="575">
        <f t="shared" ref="E87:E94" si="8">C87*D87</f>
        <v>4.1680000000000002E-2</v>
      </c>
      <c r="F87" s="6"/>
      <c r="G87" s="6"/>
      <c r="H87" s="6"/>
    </row>
    <row r="88" spans="2:8">
      <c r="B88" s="573" t="s">
        <v>2</v>
      </c>
      <c r="C88" s="574">
        <v>0</v>
      </c>
      <c r="D88" s="575">
        <v>0.43</v>
      </c>
      <c r="E88" s="575">
        <f t="shared" si="8"/>
        <v>0</v>
      </c>
      <c r="F88" s="6"/>
      <c r="G88" s="6"/>
      <c r="H88" s="6"/>
    </row>
    <row r="89" spans="2:8">
      <c r="B89" s="573" t="s">
        <v>16</v>
      </c>
      <c r="C89" s="574">
        <v>0</v>
      </c>
      <c r="D89" s="575">
        <v>0.24</v>
      </c>
      <c r="E89" s="575">
        <f t="shared" si="8"/>
        <v>0</v>
      </c>
      <c r="F89" s="6"/>
      <c r="G89" s="6"/>
      <c r="H89" s="6"/>
    </row>
    <row r="90" spans="2:8">
      <c r="B90" s="573" t="s">
        <v>331</v>
      </c>
      <c r="C90" s="574">
        <v>0</v>
      </c>
      <c r="D90" s="575">
        <v>0.39</v>
      </c>
      <c r="E90" s="575">
        <f t="shared" si="8"/>
        <v>0</v>
      </c>
    </row>
    <row r="91" spans="2:8">
      <c r="B91" s="573" t="s">
        <v>332</v>
      </c>
      <c r="C91" s="574">
        <v>1.4500000000000001E-2</v>
      </c>
      <c r="D91" s="575">
        <v>0</v>
      </c>
      <c r="E91" s="575">
        <f t="shared" si="8"/>
        <v>0</v>
      </c>
    </row>
    <row r="92" spans="2:8">
      <c r="B92" s="573" t="s">
        <v>231</v>
      </c>
      <c r="C92" s="574">
        <v>9.7600000000000006E-2</v>
      </c>
      <c r="D92" s="575">
        <v>0</v>
      </c>
      <c r="E92" s="575">
        <f t="shared" si="8"/>
        <v>0</v>
      </c>
    </row>
    <row r="93" spans="2:8">
      <c r="B93" s="573" t="s">
        <v>232</v>
      </c>
      <c r="C93" s="574">
        <v>1.7000000000000001E-2</v>
      </c>
      <c r="D93" s="575">
        <v>0</v>
      </c>
      <c r="E93" s="575">
        <f t="shared" si="8"/>
        <v>0</v>
      </c>
    </row>
    <row r="94" spans="2:8">
      <c r="B94" s="573" t="s">
        <v>233</v>
      </c>
      <c r="C94" s="574">
        <f>(0.95+12.16)/100</f>
        <v>0.13109999999999999</v>
      </c>
      <c r="D94" s="575">
        <v>0</v>
      </c>
      <c r="E94" s="575">
        <f t="shared" si="8"/>
        <v>0</v>
      </c>
    </row>
    <row r="95" spans="2:8">
      <c r="B95" s="894" t="s">
        <v>333</v>
      </c>
      <c r="C95" s="894"/>
      <c r="D95" s="894"/>
      <c r="E95" s="576">
        <f>SUM(E86:E94)</f>
        <v>0.13702</v>
      </c>
    </row>
    <row r="96" spans="2:8">
      <c r="B96" s="891" t="s">
        <v>334</v>
      </c>
      <c r="C96" s="892"/>
      <c r="D96" s="892"/>
      <c r="E96" s="893"/>
    </row>
    <row r="97" spans="2:5">
      <c r="B97" s="573" t="s">
        <v>6</v>
      </c>
      <c r="C97" s="574">
        <f>79.37/100</f>
        <v>0.79370000000000007</v>
      </c>
      <c r="D97" s="575">
        <v>0.15</v>
      </c>
      <c r="E97" s="575">
        <f>C97*D97</f>
        <v>0.11905500000000001</v>
      </c>
    </row>
    <row r="98" spans="2:5">
      <c r="B98" s="573" t="s">
        <v>256</v>
      </c>
      <c r="C98" s="574">
        <f>8.57/100</f>
        <v>8.5699999999999998E-2</v>
      </c>
      <c r="D98" s="575">
        <v>0.4</v>
      </c>
      <c r="E98" s="575">
        <f t="shared" ref="E98:E105" si="9">C98*D98</f>
        <v>3.4279999999999998E-2</v>
      </c>
    </row>
    <row r="99" spans="2:5">
      <c r="B99" s="573" t="s">
        <v>2</v>
      </c>
      <c r="C99" s="574">
        <f>0.75/100</f>
        <v>7.4999999999999997E-3</v>
      </c>
      <c r="D99" s="575">
        <v>0.43</v>
      </c>
      <c r="E99" s="575">
        <f t="shared" si="9"/>
        <v>3.225E-3</v>
      </c>
    </row>
    <row r="100" spans="2:5">
      <c r="B100" s="573" t="s">
        <v>16</v>
      </c>
      <c r="C100" s="574">
        <f>0.79/100</f>
        <v>7.9000000000000008E-3</v>
      </c>
      <c r="D100" s="575">
        <v>0.24</v>
      </c>
      <c r="E100" s="575">
        <f t="shared" si="9"/>
        <v>1.8960000000000001E-3</v>
      </c>
    </row>
    <row r="101" spans="2:5">
      <c r="B101" s="573" t="s">
        <v>331</v>
      </c>
      <c r="C101" s="574">
        <f>0.35/100</f>
        <v>3.4999999999999996E-3</v>
      </c>
      <c r="D101" s="575">
        <v>0.39</v>
      </c>
      <c r="E101" s="575">
        <f t="shared" si="9"/>
        <v>1.3649999999999999E-3</v>
      </c>
    </row>
    <row r="102" spans="2:5">
      <c r="B102" s="573" t="s">
        <v>332</v>
      </c>
      <c r="C102" s="574">
        <f>6.51/100</f>
        <v>6.5099999999999991E-2</v>
      </c>
      <c r="D102" s="575">
        <v>0</v>
      </c>
      <c r="E102" s="575">
        <f t="shared" si="9"/>
        <v>0</v>
      </c>
    </row>
    <row r="103" spans="2:5">
      <c r="B103" s="573" t="s">
        <v>231</v>
      </c>
      <c r="C103" s="574">
        <f>1.45/100</f>
        <v>1.4499999999999999E-2</v>
      </c>
      <c r="D103" s="575">
        <v>0</v>
      </c>
      <c r="E103" s="575">
        <f t="shared" si="9"/>
        <v>0</v>
      </c>
    </row>
    <row r="104" spans="2:5">
      <c r="B104" s="573" t="s">
        <v>232</v>
      </c>
      <c r="C104" s="574">
        <f>1.54/100</f>
        <v>1.54E-2</v>
      </c>
      <c r="D104" s="575">
        <v>0</v>
      </c>
      <c r="E104" s="575">
        <f t="shared" si="9"/>
        <v>0</v>
      </c>
    </row>
    <row r="105" spans="2:5">
      <c r="B105" s="573" t="s">
        <v>233</v>
      </c>
      <c r="C105" s="574">
        <f>0.67/100</f>
        <v>6.7000000000000002E-3</v>
      </c>
      <c r="D105" s="575">
        <v>0</v>
      </c>
      <c r="E105" s="575">
        <f t="shared" si="9"/>
        <v>0</v>
      </c>
    </row>
    <row r="106" spans="2:5">
      <c r="B106" s="894" t="s">
        <v>333</v>
      </c>
      <c r="C106" s="894"/>
      <c r="D106" s="894"/>
      <c r="E106" s="576">
        <f>SUM(E97:E105)</f>
        <v>0.15982100000000002</v>
      </c>
    </row>
    <row r="107" spans="2:5">
      <c r="B107" s="891" t="s">
        <v>335</v>
      </c>
      <c r="C107" s="892"/>
      <c r="D107" s="892"/>
      <c r="E107" s="893"/>
    </row>
    <row r="108" spans="2:5">
      <c r="B108" s="573" t="s">
        <v>6</v>
      </c>
      <c r="C108" s="574">
        <f>(59.47+6.92)/100</f>
        <v>0.66390000000000005</v>
      </c>
      <c r="D108" s="575">
        <v>0.15</v>
      </c>
      <c r="E108" s="575">
        <f>C108*D108</f>
        <v>9.9585000000000007E-2</v>
      </c>
    </row>
    <row r="109" spans="2:5">
      <c r="B109" s="573" t="s">
        <v>256</v>
      </c>
      <c r="C109" s="574">
        <f>12.85/100</f>
        <v>0.1285</v>
      </c>
      <c r="D109" s="575">
        <v>0.4</v>
      </c>
      <c r="E109" s="575">
        <f t="shared" ref="E109:E116" si="10">C109*D109</f>
        <v>5.1400000000000001E-2</v>
      </c>
    </row>
    <row r="110" spans="2:5">
      <c r="B110" s="573" t="s">
        <v>2</v>
      </c>
      <c r="C110" s="574">
        <v>0</v>
      </c>
      <c r="D110" s="575">
        <v>0.43</v>
      </c>
      <c r="E110" s="575">
        <f t="shared" si="10"/>
        <v>0</v>
      </c>
    </row>
    <row r="111" spans="2:5">
      <c r="B111" s="573" t="s">
        <v>16</v>
      </c>
      <c r="C111" s="574">
        <f>0.81/100</f>
        <v>8.1000000000000013E-3</v>
      </c>
      <c r="D111" s="575">
        <v>0.24</v>
      </c>
      <c r="E111" s="575">
        <f t="shared" si="10"/>
        <v>1.9440000000000002E-3</v>
      </c>
    </row>
    <row r="112" spans="2:5">
      <c r="B112" s="573" t="s">
        <v>331</v>
      </c>
      <c r="C112" s="574">
        <v>0</v>
      </c>
      <c r="D112" s="575">
        <v>0.39</v>
      </c>
      <c r="E112" s="575">
        <f t="shared" si="10"/>
        <v>0</v>
      </c>
    </row>
    <row r="113" spans="2:5">
      <c r="B113" s="573" t="s">
        <v>332</v>
      </c>
      <c r="C113" s="574">
        <f>10.71/100</f>
        <v>0.10710000000000001</v>
      </c>
      <c r="D113" s="575">
        <v>0</v>
      </c>
      <c r="E113" s="575">
        <f t="shared" si="10"/>
        <v>0</v>
      </c>
    </row>
    <row r="114" spans="2:5">
      <c r="B114" s="573" t="s">
        <v>231</v>
      </c>
      <c r="C114" s="574">
        <f>1.77/100</f>
        <v>1.77E-2</v>
      </c>
      <c r="D114" s="575">
        <v>0</v>
      </c>
      <c r="E114" s="575">
        <f t="shared" si="10"/>
        <v>0</v>
      </c>
    </row>
    <row r="115" spans="2:5">
      <c r="B115" s="573" t="s">
        <v>232</v>
      </c>
      <c r="C115" s="574">
        <f>1.33/100</f>
        <v>1.3300000000000001E-2</v>
      </c>
      <c r="D115" s="575">
        <v>0</v>
      </c>
      <c r="E115" s="575">
        <f t="shared" si="10"/>
        <v>0</v>
      </c>
    </row>
    <row r="116" spans="2:5">
      <c r="B116" s="573" t="s">
        <v>233</v>
      </c>
      <c r="C116" s="574">
        <f>6.21/100</f>
        <v>6.2100000000000002E-2</v>
      </c>
      <c r="D116" s="575">
        <v>0</v>
      </c>
      <c r="E116" s="575">
        <f t="shared" si="10"/>
        <v>0</v>
      </c>
    </row>
    <row r="117" spans="2:5">
      <c r="B117" s="894" t="s">
        <v>333</v>
      </c>
      <c r="C117" s="894"/>
      <c r="D117" s="894"/>
      <c r="E117" s="576">
        <f>SUM(E108:E116)</f>
        <v>0.15292900000000001</v>
      </c>
    </row>
  </sheetData>
  <customSheetViews>
    <customSheetView guid="{B400968E-E9A7-41C3-9739-36597C9C6BC6}" showGridLines="0" showRuler="0">
      <pane xSplit="2" ySplit="8" topLeftCell="C28" activePane="bottomRight" state="frozenSplit"/>
      <selection pane="bottomRight" activeCell="B30" sqref="B30"/>
      <pageMargins left="0.7" right="0.7" top="0.75" bottom="0.75" header="0.3" footer="0.3"/>
      <pageSetup paperSize="9" orientation="portrait"/>
      <headerFooter alignWithMargins="0"/>
    </customSheetView>
  </customSheetViews>
  <mergeCells count="29">
    <mergeCell ref="D61:F61"/>
    <mergeCell ref="I61:K61"/>
    <mergeCell ref="C12:D12"/>
    <mergeCell ref="E12:F12"/>
    <mergeCell ref="J9:K9"/>
    <mergeCell ref="H12:I12"/>
    <mergeCell ref="J12:K12"/>
    <mergeCell ref="C9:D9"/>
    <mergeCell ref="E9:F9"/>
    <mergeCell ref="D3:F3"/>
    <mergeCell ref="D4:F4"/>
    <mergeCell ref="D2:F2"/>
    <mergeCell ref="D5:F5"/>
    <mergeCell ref="H9:I9"/>
    <mergeCell ref="B71:C71"/>
    <mergeCell ref="D71:H71"/>
    <mergeCell ref="B72:C72"/>
    <mergeCell ref="D72:H72"/>
    <mergeCell ref="B73:C73"/>
    <mergeCell ref="D73:H73"/>
    <mergeCell ref="B96:E96"/>
    <mergeCell ref="B106:D106"/>
    <mergeCell ref="B107:E107"/>
    <mergeCell ref="B117:D117"/>
    <mergeCell ref="B74:C74"/>
    <mergeCell ref="D74:H74"/>
    <mergeCell ref="B77:B83"/>
    <mergeCell ref="B85:E85"/>
    <mergeCell ref="B95:D95"/>
  </mergeCells>
  <phoneticPr fontId="16" type="noConversion"/>
  <conditionalFormatting sqref="L38 L34 L19:L21 L15">
    <cfRule type="expression" dxfId="3" priority="3" stopIfTrue="1">
      <formula>IF(Select2=1,TRUE,FALSE)</formula>
    </cfRule>
  </conditionalFormatting>
  <conditionalFormatting sqref="L35 L16">
    <cfRule type="expression" dxfId="2" priority="4" stopIfTrue="1">
      <formula>IF(Select2=1,TRUE,FALSE)</formula>
    </cfRule>
    <cfRule type="expression" dxfId="1" priority="5" stopIfTrue="1">
      <formula>IF(Select2=2,TRUE,FALSE)</formula>
    </cfRule>
  </conditionalFormatting>
  <conditionalFormatting sqref="L28 L47">
    <cfRule type="expression" dxfId="0" priority="2" stopIfTrue="1">
      <formula>IF(Select2=1,TRUE,FALSE)</formula>
    </cfRule>
  </conditionalFormatting>
  <dataValidations xWindow="517" yWindow="449" count="5">
    <dataValidation type="whole" allowBlank="1" showInputMessage="1" showErrorMessage="1" errorTitle="Error in delay time" error="Please enter a whole number of months between 0 and 24" sqref="E49">
      <formula1>0</formula1>
      <formula2>24</formula2>
    </dataValidation>
    <dataValidation type="decimal" allowBlank="1" showInputMessage="1" showErrorMessage="1" error="Please enter a number between 0 and 1" sqref="E51 E55">
      <formula1>0</formula1>
      <formula2>1</formula2>
    </dataValidation>
    <dataValidation type="decimal" allowBlank="1" showInputMessage="1" showErrorMessage="1" error="Please enter a number between 0 and 10000" sqref="E34:E47">
      <formula1>0</formula1>
      <formula2>10000</formula2>
    </dataValidation>
    <dataValidation type="decimal" allowBlank="1" showInputMessage="1" showErrorMessage="1" errorTitle="Error in DOCf" error="Please enter a number between 0 and 1" promptTitle="DOCf" prompt="Please enter the fraction of the DOC which will dissimilate in the SWDS" sqref="E30">
      <formula1>0</formula1>
      <formula2>1</formula2>
    </dataValidation>
    <dataValidation type="decimal" allowBlank="1" showInputMessage="1" showErrorMessage="1" errorTitle="Error in DOC" error="Please enter a number between 0 and 1" promptTitle="DOC" prompt="Please enter the fraction of the waste by weight which is degradable organic carbon" sqref="J15:J28 E15:E28">
      <formula1>0</formula1>
      <formula2>1</formula2>
    </dataValidation>
  </dataValidations>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4344" r:id="rId3" name="Drop Down 8">
              <controlPr defaultSize="0" autoLine="0" autoPict="0">
                <anchor moveWithCells="1">
                  <from>
                    <xdr:col>2</xdr:col>
                    <xdr:colOff>95250</xdr:colOff>
                    <xdr:row>31</xdr:row>
                    <xdr:rowOff>0</xdr:rowOff>
                  </from>
                  <to>
                    <xdr:col>4</xdr:col>
                    <xdr:colOff>0</xdr:colOff>
                    <xdr:row>32</xdr:row>
                    <xdr:rowOff>57150</xdr:rowOff>
                  </to>
                </anchor>
              </controlPr>
            </control>
          </mc:Choice>
        </mc:AlternateContent>
        <mc:AlternateContent xmlns:mc="http://schemas.openxmlformats.org/markup-compatibility/2006">
          <mc:Choice Requires="x14">
            <control shapeId="14345" r:id="rId4" name="Drop Down 9">
              <controlPr defaultSize="0" autoLine="0" autoPict="0">
                <anchor moveWithCells="1">
                  <from>
                    <xdr:col>2</xdr:col>
                    <xdr:colOff>95250</xdr:colOff>
                    <xdr:row>12</xdr:row>
                    <xdr:rowOff>0</xdr:rowOff>
                  </from>
                  <to>
                    <xdr:col>4</xdr:col>
                    <xdr:colOff>0</xdr:colOff>
                    <xdr:row>13</xdr:row>
                    <xdr:rowOff>57150</xdr:rowOff>
                  </to>
                </anchor>
              </controlPr>
            </control>
          </mc:Choice>
        </mc:AlternateContent>
        <mc:AlternateContent xmlns:mc="http://schemas.openxmlformats.org/markup-compatibility/2006">
          <mc:Choice Requires="x14">
            <control shapeId="14348" r:id="rId5" name="Drop Down 12">
              <controlPr defaultSize="0" autoLine="0" autoPict="0">
                <anchor moveWithCells="1">
                  <from>
                    <xdr:col>3</xdr:col>
                    <xdr:colOff>28575</xdr:colOff>
                    <xdr:row>4</xdr:row>
                    <xdr:rowOff>0</xdr:rowOff>
                  </from>
                  <to>
                    <xdr:col>6</xdr:col>
                    <xdr:colOff>0</xdr:colOff>
                    <xdr:row>5</xdr:row>
                    <xdr:rowOff>28575</xdr:rowOff>
                  </to>
                </anchor>
              </controlPr>
            </control>
          </mc:Choice>
        </mc:AlternateContent>
        <mc:AlternateContent xmlns:mc="http://schemas.openxmlformats.org/markup-compatibility/2006">
          <mc:Choice Requires="x14">
            <control shapeId="14381" r:id="rId6" name="Drop Down 45">
              <controlPr defaultSize="0" autoLine="0" autoPict="0">
                <anchor moveWithCells="1">
                  <from>
                    <xdr:col>7</xdr:col>
                    <xdr:colOff>95250</xdr:colOff>
                    <xdr:row>12</xdr:row>
                    <xdr:rowOff>0</xdr:rowOff>
                  </from>
                  <to>
                    <xdr:col>8</xdr:col>
                    <xdr:colOff>647700</xdr:colOff>
                    <xdr:row>13</xdr:row>
                    <xdr:rowOff>57150</xdr:rowOff>
                  </to>
                </anchor>
              </controlPr>
            </control>
          </mc:Choice>
        </mc:AlternateContent>
      </controls>
    </mc:Choice>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indexed="13"/>
  </sheetPr>
  <dimension ref="B2:T100"/>
  <sheetViews>
    <sheetView showGridLines="0" zoomScale="85" zoomScaleNormal="85" zoomScalePageLayoutView="150" workbookViewId="0">
      <selection activeCell="E16" sqref="E16"/>
    </sheetView>
  </sheetViews>
  <sheetFormatPr defaultColWidth="11.42578125" defaultRowHeight="12.75"/>
  <cols>
    <col min="1" max="1" width="3.42578125" style="712" customWidth="1"/>
    <col min="2" max="2" width="15.28515625" style="712" customWidth="1"/>
    <col min="3" max="4" width="10.140625" style="712" bestFit="1" customWidth="1"/>
    <col min="5" max="5" width="9.42578125" style="712" customWidth="1"/>
    <col min="6" max="6" width="11.28515625" style="712" customWidth="1"/>
    <col min="7" max="7" width="9.42578125" style="712" customWidth="1"/>
    <col min="8" max="8" width="8.42578125" style="712" customWidth="1"/>
    <col min="9" max="10" width="10.85546875" style="712" customWidth="1"/>
    <col min="11" max="11" width="9.42578125" style="712" bestFit="1" customWidth="1"/>
    <col min="12" max="12" width="10.28515625" style="712" customWidth="1"/>
    <col min="13" max="13" width="10.140625" style="712" customWidth="1"/>
    <col min="14" max="14" width="8.42578125" style="712" customWidth="1"/>
    <col min="15" max="15" width="23.7109375" style="712" customWidth="1"/>
    <col min="16" max="16" width="9.28515625" style="712" customWidth="1"/>
    <col min="17" max="17" width="3.85546875" style="712" customWidth="1"/>
    <col min="18" max="19" width="13" style="712" customWidth="1"/>
    <col min="20" max="20" width="9.42578125" style="712" customWidth="1"/>
    <col min="21" max="16384" width="11.42578125" style="712"/>
  </cols>
  <sheetData>
    <row r="2" spans="2:20" ht="15.75">
      <c r="C2" s="713" t="s">
        <v>106</v>
      </c>
      <c r="Q2" s="918" t="s">
        <v>107</v>
      </c>
      <c r="R2" s="918"/>
      <c r="S2" s="918"/>
      <c r="T2" s="918"/>
    </row>
    <row r="4" spans="2:20">
      <c r="C4" s="712" t="s">
        <v>26</v>
      </c>
    </row>
    <row r="5" spans="2:20">
      <c r="C5" s="712" t="s">
        <v>281</v>
      </c>
    </row>
    <row r="6" spans="2:20">
      <c r="C6" s="712" t="s">
        <v>29</v>
      </c>
    </row>
    <row r="7" spans="2:20">
      <c r="C7" s="712" t="s">
        <v>109</v>
      </c>
    </row>
    <row r="8" spans="2:20" ht="13.5" thickBot="1"/>
    <row r="9" spans="2:20" ht="13.5" thickBot="1">
      <c r="C9" s="919" t="s">
        <v>95</v>
      </c>
      <c r="D9" s="920"/>
      <c r="E9" s="920"/>
      <c r="F9" s="920"/>
      <c r="G9" s="920"/>
      <c r="H9" s="921"/>
      <c r="I9" s="927" t="s">
        <v>308</v>
      </c>
      <c r="J9" s="928"/>
      <c r="K9" s="928"/>
      <c r="L9" s="928"/>
      <c r="M9" s="928"/>
      <c r="N9" s="929"/>
      <c r="R9" s="714" t="s">
        <v>95</v>
      </c>
      <c r="S9" s="711" t="s">
        <v>308</v>
      </c>
    </row>
    <row r="10" spans="2:20" s="721" customFormat="1" ht="38.25" customHeight="1">
      <c r="B10" s="715"/>
      <c r="C10" s="715" t="s">
        <v>104</v>
      </c>
      <c r="D10" s="716" t="s">
        <v>105</v>
      </c>
      <c r="E10" s="716" t="s">
        <v>0</v>
      </c>
      <c r="F10" s="716" t="s">
        <v>206</v>
      </c>
      <c r="G10" s="716" t="s">
        <v>103</v>
      </c>
      <c r="H10" s="717" t="s">
        <v>161</v>
      </c>
      <c r="I10" s="718" t="s">
        <v>104</v>
      </c>
      <c r="J10" s="719" t="s">
        <v>105</v>
      </c>
      <c r="K10" s="719" t="s">
        <v>0</v>
      </c>
      <c r="L10" s="719" t="s">
        <v>206</v>
      </c>
      <c r="M10" s="719" t="s">
        <v>103</v>
      </c>
      <c r="N10" s="720" t="s">
        <v>161</v>
      </c>
      <c r="O10" s="710" t="s">
        <v>28</v>
      </c>
      <c r="R10" s="922" t="s">
        <v>147</v>
      </c>
      <c r="S10" s="922" t="s">
        <v>315</v>
      </c>
    </row>
    <row r="11" spans="2:20" s="726" customFormat="1" ht="13.5" thickBot="1">
      <c r="B11" s="722"/>
      <c r="C11" s="722" t="s">
        <v>11</v>
      </c>
      <c r="D11" s="723" t="s">
        <v>11</v>
      </c>
      <c r="E11" s="723" t="s">
        <v>11</v>
      </c>
      <c r="F11" s="723" t="s">
        <v>11</v>
      </c>
      <c r="G11" s="723" t="s">
        <v>11</v>
      </c>
      <c r="H11" s="724"/>
      <c r="I11" s="722" t="s">
        <v>11</v>
      </c>
      <c r="J11" s="723" t="s">
        <v>11</v>
      </c>
      <c r="K11" s="723" t="s">
        <v>11</v>
      </c>
      <c r="L11" s="723" t="s">
        <v>11</v>
      </c>
      <c r="M11" s="723" t="s">
        <v>11</v>
      </c>
      <c r="N11" s="724"/>
      <c r="O11" s="725"/>
      <c r="R11" s="923"/>
      <c r="S11" s="923"/>
    </row>
    <row r="12" spans="2:20" s="726" customFormat="1" ht="13.5" thickBot="1">
      <c r="B12" s="727" t="s">
        <v>25</v>
      </c>
      <c r="C12" s="728">
        <v>0.4</v>
      </c>
      <c r="D12" s="729">
        <v>0.8</v>
      </c>
      <c r="E12" s="729">
        <v>1</v>
      </c>
      <c r="F12" s="729">
        <v>0.5</v>
      </c>
      <c r="G12" s="729">
        <v>0.6</v>
      </c>
      <c r="H12" s="730"/>
      <c r="I12" s="728">
        <v>0.4</v>
      </c>
      <c r="J12" s="729">
        <v>0.8</v>
      </c>
      <c r="K12" s="729">
        <v>1</v>
      </c>
      <c r="L12" s="729">
        <v>0.5</v>
      </c>
      <c r="M12" s="729">
        <v>0.6</v>
      </c>
      <c r="N12" s="730"/>
      <c r="O12" s="731"/>
      <c r="R12" s="923"/>
      <c r="S12" s="923"/>
    </row>
    <row r="13" spans="2:20" s="726" customFormat="1" ht="26.25" thickBot="1">
      <c r="B13" s="727" t="s">
        <v>159</v>
      </c>
      <c r="C13" s="732">
        <f>C12</f>
        <v>0.4</v>
      </c>
      <c r="D13" s="733">
        <f>D12</f>
        <v>0.8</v>
      </c>
      <c r="E13" s="733">
        <f>E12</f>
        <v>1</v>
      </c>
      <c r="F13" s="733">
        <f>F12</f>
        <v>0.5</v>
      </c>
      <c r="G13" s="733">
        <f>G12</f>
        <v>0.6</v>
      </c>
      <c r="H13" s="734"/>
      <c r="I13" s="732">
        <v>0.4</v>
      </c>
      <c r="J13" s="733">
        <v>0.8</v>
      </c>
      <c r="K13" s="733">
        <v>1</v>
      </c>
      <c r="L13" s="733">
        <v>0.5</v>
      </c>
      <c r="M13" s="733">
        <v>0.6</v>
      </c>
      <c r="N13" s="734"/>
      <c r="O13" s="735"/>
      <c r="R13" s="923"/>
      <c r="S13" s="923"/>
    </row>
    <row r="14" spans="2:20" s="726" customFormat="1" ht="13.5" thickBot="1">
      <c r="B14" s="736"/>
      <c r="C14" s="736"/>
      <c r="D14" s="737"/>
      <c r="E14" s="737"/>
      <c r="F14" s="737"/>
      <c r="G14" s="737"/>
      <c r="H14" s="738"/>
      <c r="I14" s="736"/>
      <c r="J14" s="737"/>
      <c r="K14" s="737"/>
      <c r="L14" s="737"/>
      <c r="M14" s="737"/>
      <c r="N14" s="738"/>
      <c r="O14" s="739"/>
      <c r="R14" s="923"/>
      <c r="S14" s="923"/>
    </row>
    <row r="15" spans="2:20" s="726" customFormat="1" ht="12.75" customHeight="1" thickBot="1">
      <c r="B15" s="740"/>
      <c r="C15" s="915" t="s">
        <v>158</v>
      </c>
      <c r="D15" s="916"/>
      <c r="E15" s="916"/>
      <c r="F15" s="916"/>
      <c r="G15" s="916"/>
      <c r="H15" s="917"/>
      <c r="I15" s="915" t="s">
        <v>158</v>
      </c>
      <c r="J15" s="916"/>
      <c r="K15" s="916"/>
      <c r="L15" s="916"/>
      <c r="M15" s="916"/>
      <c r="N15" s="917"/>
      <c r="O15" s="741"/>
      <c r="R15" s="923"/>
      <c r="S15" s="923"/>
    </row>
    <row r="16" spans="2:20" s="726" customFormat="1" ht="26.25" thickBot="1">
      <c r="B16" s="727" t="s">
        <v>160</v>
      </c>
      <c r="C16" s="887">
        <v>0</v>
      </c>
      <c r="D16" s="888">
        <v>0</v>
      </c>
      <c r="E16" s="888">
        <v>1</v>
      </c>
      <c r="F16" s="888">
        <v>0</v>
      </c>
      <c r="G16" s="888">
        <v>0</v>
      </c>
      <c r="H16" s="925" t="s">
        <v>36</v>
      </c>
      <c r="I16" s="742">
        <v>0.2</v>
      </c>
      <c r="J16" s="743">
        <v>0.3</v>
      </c>
      <c r="K16" s="743">
        <v>0.25</v>
      </c>
      <c r="L16" s="743">
        <v>0.05</v>
      </c>
      <c r="M16" s="743">
        <v>0.2</v>
      </c>
      <c r="N16" s="925" t="s">
        <v>36</v>
      </c>
      <c r="O16" s="744"/>
      <c r="R16" s="924"/>
      <c r="S16" s="924"/>
    </row>
    <row r="17" spans="2:19" s="726" customFormat="1" ht="13.5" thickBot="1">
      <c r="B17" s="745" t="s">
        <v>1</v>
      </c>
      <c r="C17" s="745" t="s">
        <v>24</v>
      </c>
      <c r="D17" s="746" t="s">
        <v>24</v>
      </c>
      <c r="E17" s="746" t="s">
        <v>24</v>
      </c>
      <c r="F17" s="746" t="s">
        <v>24</v>
      </c>
      <c r="G17" s="746" t="s">
        <v>24</v>
      </c>
      <c r="H17" s="926"/>
      <c r="I17" s="745" t="s">
        <v>24</v>
      </c>
      <c r="J17" s="746" t="s">
        <v>24</v>
      </c>
      <c r="K17" s="746" t="s">
        <v>24</v>
      </c>
      <c r="L17" s="746" t="s">
        <v>24</v>
      </c>
      <c r="M17" s="746" t="s">
        <v>24</v>
      </c>
      <c r="N17" s="926"/>
      <c r="O17" s="725"/>
      <c r="R17" s="727" t="s">
        <v>157</v>
      </c>
      <c r="S17" s="747" t="s">
        <v>157</v>
      </c>
    </row>
    <row r="18" spans="2:19">
      <c r="B18" s="748">
        <f>year</f>
        <v>2000</v>
      </c>
      <c r="C18" s="749">
        <f>C$16</f>
        <v>0</v>
      </c>
      <c r="D18" s="750">
        <f t="shared" ref="D18:G33" si="0">D$16</f>
        <v>0</v>
      </c>
      <c r="E18" s="750">
        <f t="shared" si="0"/>
        <v>1</v>
      </c>
      <c r="F18" s="750">
        <f t="shared" si="0"/>
        <v>0</v>
      </c>
      <c r="G18" s="750">
        <f t="shared" si="0"/>
        <v>0</v>
      </c>
      <c r="H18" s="751">
        <f>SUM(C18:G18)</f>
        <v>1</v>
      </c>
      <c r="I18" s="749">
        <f>I$16</f>
        <v>0.2</v>
      </c>
      <c r="J18" s="750">
        <f t="shared" ref="J18:M33" si="1">J$16</f>
        <v>0.3</v>
      </c>
      <c r="K18" s="750">
        <f t="shared" si="1"/>
        <v>0.25</v>
      </c>
      <c r="L18" s="750">
        <f t="shared" si="1"/>
        <v>0.05</v>
      </c>
      <c r="M18" s="750">
        <f t="shared" si="1"/>
        <v>0.2</v>
      </c>
      <c r="N18" s="751">
        <f>SUM(I18:M18)</f>
        <v>1</v>
      </c>
      <c r="O18" s="752"/>
      <c r="R18" s="753">
        <f>C18*C$13+D18*D$13+E18*E$13+F18*F$13+G18*G$13</f>
        <v>1</v>
      </c>
      <c r="S18" s="754">
        <f>I18*I$13+J18*J$13+K18*K$13+L18*L$13+M18*M$13</f>
        <v>0.71500000000000008</v>
      </c>
    </row>
    <row r="19" spans="2:19">
      <c r="B19" s="755">
        <f t="shared" ref="B19:B50" si="2">B18+1</f>
        <v>2001</v>
      </c>
      <c r="C19" s="756">
        <f t="shared" ref="C19:G50" si="3">C$16</f>
        <v>0</v>
      </c>
      <c r="D19" s="757">
        <f t="shared" si="0"/>
        <v>0</v>
      </c>
      <c r="E19" s="757">
        <f t="shared" si="0"/>
        <v>1</v>
      </c>
      <c r="F19" s="757">
        <f t="shared" si="0"/>
        <v>0</v>
      </c>
      <c r="G19" s="757">
        <f t="shared" si="0"/>
        <v>0</v>
      </c>
      <c r="H19" s="758">
        <f t="shared" ref="H19:H82" si="4">SUM(C19:G19)</f>
        <v>1</v>
      </c>
      <c r="I19" s="756">
        <f t="shared" ref="I19:M50" si="5">I$16</f>
        <v>0.2</v>
      </c>
      <c r="J19" s="757">
        <f t="shared" si="1"/>
        <v>0.3</v>
      </c>
      <c r="K19" s="757">
        <f t="shared" si="1"/>
        <v>0.25</v>
      </c>
      <c r="L19" s="757">
        <f t="shared" si="1"/>
        <v>0.05</v>
      </c>
      <c r="M19" s="757">
        <f t="shared" si="1"/>
        <v>0.2</v>
      </c>
      <c r="N19" s="758">
        <f t="shared" ref="N19:N82" si="6">SUM(I19:M19)</f>
        <v>1</v>
      </c>
      <c r="O19" s="759"/>
      <c r="R19" s="753">
        <f t="shared" ref="R19:R82" si="7">C19*C$13+D19*D$13+E19*E$13+F19*F$13+G19*G$13</f>
        <v>1</v>
      </c>
      <c r="S19" s="754">
        <f t="shared" ref="S19:S82" si="8">I19*I$13+J19*J$13+K19*K$13+L19*L$13+M19*M$13</f>
        <v>0.71500000000000008</v>
      </c>
    </row>
    <row r="20" spans="2:19">
      <c r="B20" s="755">
        <f t="shared" si="2"/>
        <v>2002</v>
      </c>
      <c r="C20" s="756">
        <f t="shared" si="3"/>
        <v>0</v>
      </c>
      <c r="D20" s="757">
        <f t="shared" si="0"/>
        <v>0</v>
      </c>
      <c r="E20" s="757">
        <f t="shared" si="0"/>
        <v>1</v>
      </c>
      <c r="F20" s="757">
        <f t="shared" si="0"/>
        <v>0</v>
      </c>
      <c r="G20" s="757">
        <f t="shared" si="0"/>
        <v>0</v>
      </c>
      <c r="H20" s="758">
        <f t="shared" si="4"/>
        <v>1</v>
      </c>
      <c r="I20" s="756">
        <f t="shared" si="5"/>
        <v>0.2</v>
      </c>
      <c r="J20" s="757">
        <f t="shared" si="1"/>
        <v>0.3</v>
      </c>
      <c r="K20" s="757">
        <f t="shared" si="1"/>
        <v>0.25</v>
      </c>
      <c r="L20" s="757">
        <f t="shared" si="1"/>
        <v>0.05</v>
      </c>
      <c r="M20" s="757">
        <f t="shared" si="1"/>
        <v>0.2</v>
      </c>
      <c r="N20" s="758">
        <f t="shared" si="6"/>
        <v>1</v>
      </c>
      <c r="O20" s="759"/>
      <c r="R20" s="753">
        <f t="shared" si="7"/>
        <v>1</v>
      </c>
      <c r="S20" s="754">
        <f t="shared" si="8"/>
        <v>0.71500000000000008</v>
      </c>
    </row>
    <row r="21" spans="2:19">
      <c r="B21" s="755">
        <f t="shared" si="2"/>
        <v>2003</v>
      </c>
      <c r="C21" s="756">
        <f t="shared" si="3"/>
        <v>0</v>
      </c>
      <c r="D21" s="757">
        <f t="shared" si="0"/>
        <v>0</v>
      </c>
      <c r="E21" s="757">
        <f t="shared" si="0"/>
        <v>1</v>
      </c>
      <c r="F21" s="757">
        <f t="shared" si="0"/>
        <v>0</v>
      </c>
      <c r="G21" s="757">
        <f t="shared" si="0"/>
        <v>0</v>
      </c>
      <c r="H21" s="758">
        <f t="shared" si="4"/>
        <v>1</v>
      </c>
      <c r="I21" s="756">
        <f t="shared" si="5"/>
        <v>0.2</v>
      </c>
      <c r="J21" s="757">
        <f t="shared" si="1"/>
        <v>0.3</v>
      </c>
      <c r="K21" s="757">
        <f t="shared" si="1"/>
        <v>0.25</v>
      </c>
      <c r="L21" s="757">
        <f t="shared" si="1"/>
        <v>0.05</v>
      </c>
      <c r="M21" s="757">
        <f t="shared" si="1"/>
        <v>0.2</v>
      </c>
      <c r="N21" s="758">
        <f t="shared" si="6"/>
        <v>1</v>
      </c>
      <c r="O21" s="759"/>
      <c r="R21" s="753">
        <f t="shared" si="7"/>
        <v>1</v>
      </c>
      <c r="S21" s="754">
        <f t="shared" si="8"/>
        <v>0.71500000000000008</v>
      </c>
    </row>
    <row r="22" spans="2:19">
      <c r="B22" s="755">
        <f t="shared" si="2"/>
        <v>2004</v>
      </c>
      <c r="C22" s="756">
        <f t="shared" si="3"/>
        <v>0</v>
      </c>
      <c r="D22" s="757">
        <f t="shared" si="0"/>
        <v>0</v>
      </c>
      <c r="E22" s="757">
        <f t="shared" si="0"/>
        <v>1</v>
      </c>
      <c r="F22" s="757">
        <f t="shared" si="0"/>
        <v>0</v>
      </c>
      <c r="G22" s="757">
        <f t="shared" si="0"/>
        <v>0</v>
      </c>
      <c r="H22" s="758">
        <f t="shared" si="4"/>
        <v>1</v>
      </c>
      <c r="I22" s="756">
        <f t="shared" si="5"/>
        <v>0.2</v>
      </c>
      <c r="J22" s="757">
        <f t="shared" si="1"/>
        <v>0.3</v>
      </c>
      <c r="K22" s="757">
        <f t="shared" si="1"/>
        <v>0.25</v>
      </c>
      <c r="L22" s="757">
        <f t="shared" si="1"/>
        <v>0.05</v>
      </c>
      <c r="M22" s="757">
        <f t="shared" si="1"/>
        <v>0.2</v>
      </c>
      <c r="N22" s="758">
        <f t="shared" si="6"/>
        <v>1</v>
      </c>
      <c r="O22" s="759"/>
      <c r="R22" s="753">
        <f t="shared" si="7"/>
        <v>1</v>
      </c>
      <c r="S22" s="754">
        <f t="shared" si="8"/>
        <v>0.71500000000000008</v>
      </c>
    </row>
    <row r="23" spans="2:19">
      <c r="B23" s="755">
        <f t="shared" si="2"/>
        <v>2005</v>
      </c>
      <c r="C23" s="756">
        <f t="shared" si="3"/>
        <v>0</v>
      </c>
      <c r="D23" s="757">
        <f t="shared" si="0"/>
        <v>0</v>
      </c>
      <c r="E23" s="757">
        <f t="shared" si="0"/>
        <v>1</v>
      </c>
      <c r="F23" s="757">
        <f t="shared" si="0"/>
        <v>0</v>
      </c>
      <c r="G23" s="757">
        <f t="shared" si="0"/>
        <v>0</v>
      </c>
      <c r="H23" s="758">
        <f t="shared" si="4"/>
        <v>1</v>
      </c>
      <c r="I23" s="756">
        <f t="shared" si="5"/>
        <v>0.2</v>
      </c>
      <c r="J23" s="757">
        <f t="shared" si="1"/>
        <v>0.3</v>
      </c>
      <c r="K23" s="757">
        <f t="shared" si="1"/>
        <v>0.25</v>
      </c>
      <c r="L23" s="757">
        <f t="shared" si="1"/>
        <v>0.05</v>
      </c>
      <c r="M23" s="757">
        <f t="shared" si="1"/>
        <v>0.2</v>
      </c>
      <c r="N23" s="758">
        <f t="shared" si="6"/>
        <v>1</v>
      </c>
      <c r="O23" s="759"/>
      <c r="R23" s="753">
        <f t="shared" si="7"/>
        <v>1</v>
      </c>
      <c r="S23" s="754">
        <f t="shared" si="8"/>
        <v>0.71500000000000008</v>
      </c>
    </row>
    <row r="24" spans="2:19">
      <c r="B24" s="755">
        <f t="shared" si="2"/>
        <v>2006</v>
      </c>
      <c r="C24" s="756">
        <f t="shared" si="3"/>
        <v>0</v>
      </c>
      <c r="D24" s="757">
        <f t="shared" si="0"/>
        <v>0</v>
      </c>
      <c r="E24" s="757">
        <f t="shared" si="0"/>
        <v>1</v>
      </c>
      <c r="F24" s="757">
        <f t="shared" si="0"/>
        <v>0</v>
      </c>
      <c r="G24" s="757">
        <f t="shared" si="0"/>
        <v>0</v>
      </c>
      <c r="H24" s="758">
        <f t="shared" si="4"/>
        <v>1</v>
      </c>
      <c r="I24" s="756">
        <f t="shared" si="5"/>
        <v>0.2</v>
      </c>
      <c r="J24" s="757">
        <f t="shared" si="1"/>
        <v>0.3</v>
      </c>
      <c r="K24" s="757">
        <f t="shared" si="1"/>
        <v>0.25</v>
      </c>
      <c r="L24" s="757">
        <f t="shared" si="1"/>
        <v>0.05</v>
      </c>
      <c r="M24" s="757">
        <f t="shared" si="1"/>
        <v>0.2</v>
      </c>
      <c r="N24" s="758">
        <f t="shared" si="6"/>
        <v>1</v>
      </c>
      <c r="O24" s="759"/>
      <c r="R24" s="753">
        <f t="shared" si="7"/>
        <v>1</v>
      </c>
      <c r="S24" s="754">
        <f t="shared" si="8"/>
        <v>0.71500000000000008</v>
      </c>
    </row>
    <row r="25" spans="2:19">
      <c r="B25" s="755">
        <f t="shared" si="2"/>
        <v>2007</v>
      </c>
      <c r="C25" s="756">
        <f t="shared" si="3"/>
        <v>0</v>
      </c>
      <c r="D25" s="757">
        <f t="shared" si="0"/>
        <v>0</v>
      </c>
      <c r="E25" s="757">
        <f t="shared" si="0"/>
        <v>1</v>
      </c>
      <c r="F25" s="757">
        <f t="shared" si="0"/>
        <v>0</v>
      </c>
      <c r="G25" s="757">
        <f t="shared" si="0"/>
        <v>0</v>
      </c>
      <c r="H25" s="758">
        <f t="shared" si="4"/>
        <v>1</v>
      </c>
      <c r="I25" s="756">
        <f t="shared" si="5"/>
        <v>0.2</v>
      </c>
      <c r="J25" s="757">
        <f t="shared" si="1"/>
        <v>0.3</v>
      </c>
      <c r="K25" s="757">
        <f t="shared" si="1"/>
        <v>0.25</v>
      </c>
      <c r="L25" s="757">
        <f t="shared" si="1"/>
        <v>0.05</v>
      </c>
      <c r="M25" s="757">
        <f t="shared" si="1"/>
        <v>0.2</v>
      </c>
      <c r="N25" s="758">
        <f t="shared" si="6"/>
        <v>1</v>
      </c>
      <c r="O25" s="759"/>
      <c r="R25" s="753">
        <f t="shared" si="7"/>
        <v>1</v>
      </c>
      <c r="S25" s="754">
        <f t="shared" si="8"/>
        <v>0.71500000000000008</v>
      </c>
    </row>
    <row r="26" spans="2:19">
      <c r="B26" s="755">
        <f t="shared" si="2"/>
        <v>2008</v>
      </c>
      <c r="C26" s="756">
        <f t="shared" si="3"/>
        <v>0</v>
      </c>
      <c r="D26" s="757">
        <f t="shared" si="0"/>
        <v>0</v>
      </c>
      <c r="E26" s="757">
        <f t="shared" si="0"/>
        <v>1</v>
      </c>
      <c r="F26" s="757">
        <f t="shared" si="0"/>
        <v>0</v>
      </c>
      <c r="G26" s="757">
        <f t="shared" si="0"/>
        <v>0</v>
      </c>
      <c r="H26" s="758">
        <f t="shared" si="4"/>
        <v>1</v>
      </c>
      <c r="I26" s="756">
        <f t="shared" si="5"/>
        <v>0.2</v>
      </c>
      <c r="J26" s="757">
        <f t="shared" si="1"/>
        <v>0.3</v>
      </c>
      <c r="K26" s="757">
        <f t="shared" si="1"/>
        <v>0.25</v>
      </c>
      <c r="L26" s="757">
        <f t="shared" si="1"/>
        <v>0.05</v>
      </c>
      <c r="M26" s="757">
        <f t="shared" si="1"/>
        <v>0.2</v>
      </c>
      <c r="N26" s="758">
        <f t="shared" si="6"/>
        <v>1</v>
      </c>
      <c r="O26" s="759"/>
      <c r="R26" s="753">
        <f t="shared" si="7"/>
        <v>1</v>
      </c>
      <c r="S26" s="754">
        <f t="shared" si="8"/>
        <v>0.71500000000000008</v>
      </c>
    </row>
    <row r="27" spans="2:19">
      <c r="B27" s="755">
        <f t="shared" si="2"/>
        <v>2009</v>
      </c>
      <c r="C27" s="756">
        <f t="shared" si="3"/>
        <v>0</v>
      </c>
      <c r="D27" s="757">
        <f t="shared" si="0"/>
        <v>0</v>
      </c>
      <c r="E27" s="757">
        <f t="shared" si="0"/>
        <v>1</v>
      </c>
      <c r="F27" s="757">
        <f t="shared" si="0"/>
        <v>0</v>
      </c>
      <c r="G27" s="757">
        <f t="shared" si="0"/>
        <v>0</v>
      </c>
      <c r="H27" s="758">
        <f t="shared" si="4"/>
        <v>1</v>
      </c>
      <c r="I27" s="756">
        <f t="shared" si="5"/>
        <v>0.2</v>
      </c>
      <c r="J27" s="757">
        <f t="shared" si="1"/>
        <v>0.3</v>
      </c>
      <c r="K27" s="757">
        <f t="shared" si="1"/>
        <v>0.25</v>
      </c>
      <c r="L27" s="757">
        <f t="shared" si="1"/>
        <v>0.05</v>
      </c>
      <c r="M27" s="757">
        <f t="shared" si="1"/>
        <v>0.2</v>
      </c>
      <c r="N27" s="758">
        <f t="shared" si="6"/>
        <v>1</v>
      </c>
      <c r="O27" s="759"/>
      <c r="R27" s="753">
        <f t="shared" si="7"/>
        <v>1</v>
      </c>
      <c r="S27" s="754">
        <f t="shared" si="8"/>
        <v>0.71500000000000008</v>
      </c>
    </row>
    <row r="28" spans="2:19">
      <c r="B28" s="755">
        <f t="shared" si="2"/>
        <v>2010</v>
      </c>
      <c r="C28" s="756">
        <f t="shared" si="3"/>
        <v>0</v>
      </c>
      <c r="D28" s="757">
        <f t="shared" si="0"/>
        <v>0</v>
      </c>
      <c r="E28" s="757">
        <f t="shared" si="0"/>
        <v>1</v>
      </c>
      <c r="F28" s="757">
        <f t="shared" si="0"/>
        <v>0</v>
      </c>
      <c r="G28" s="757">
        <f t="shared" si="0"/>
        <v>0</v>
      </c>
      <c r="H28" s="758">
        <f t="shared" si="4"/>
        <v>1</v>
      </c>
      <c r="I28" s="756">
        <f t="shared" si="5"/>
        <v>0.2</v>
      </c>
      <c r="J28" s="757">
        <f t="shared" si="1"/>
        <v>0.3</v>
      </c>
      <c r="K28" s="757">
        <f t="shared" si="1"/>
        <v>0.25</v>
      </c>
      <c r="L28" s="757">
        <f t="shared" si="1"/>
        <v>0.05</v>
      </c>
      <c r="M28" s="757">
        <f t="shared" si="1"/>
        <v>0.2</v>
      </c>
      <c r="N28" s="758">
        <f t="shared" si="6"/>
        <v>1</v>
      </c>
      <c r="O28" s="759"/>
      <c r="R28" s="753">
        <f t="shared" si="7"/>
        <v>1</v>
      </c>
      <c r="S28" s="754">
        <f t="shared" si="8"/>
        <v>0.71500000000000008</v>
      </c>
    </row>
    <row r="29" spans="2:19">
      <c r="B29" s="755">
        <f t="shared" si="2"/>
        <v>2011</v>
      </c>
      <c r="C29" s="756">
        <f t="shared" si="3"/>
        <v>0</v>
      </c>
      <c r="D29" s="757">
        <f t="shared" si="0"/>
        <v>0</v>
      </c>
      <c r="E29" s="757">
        <f t="shared" si="0"/>
        <v>1</v>
      </c>
      <c r="F29" s="757">
        <f t="shared" si="0"/>
        <v>0</v>
      </c>
      <c r="G29" s="757">
        <f t="shared" si="0"/>
        <v>0</v>
      </c>
      <c r="H29" s="758">
        <f t="shared" si="4"/>
        <v>1</v>
      </c>
      <c r="I29" s="756">
        <f t="shared" si="5"/>
        <v>0.2</v>
      </c>
      <c r="J29" s="757">
        <f t="shared" si="1"/>
        <v>0.3</v>
      </c>
      <c r="K29" s="757">
        <f t="shared" si="1"/>
        <v>0.25</v>
      </c>
      <c r="L29" s="757">
        <f t="shared" si="1"/>
        <v>0.05</v>
      </c>
      <c r="M29" s="757">
        <f t="shared" si="1"/>
        <v>0.2</v>
      </c>
      <c r="N29" s="758">
        <f t="shared" si="6"/>
        <v>1</v>
      </c>
      <c r="O29" s="759"/>
      <c r="R29" s="753">
        <f>C29*C$13+D29*D$13+E29*E$13+F29*F$13+G29*G$13</f>
        <v>1</v>
      </c>
      <c r="S29" s="754">
        <f t="shared" si="8"/>
        <v>0.71500000000000008</v>
      </c>
    </row>
    <row r="30" spans="2:19">
      <c r="B30" s="755">
        <f t="shared" si="2"/>
        <v>2012</v>
      </c>
      <c r="C30" s="756">
        <f t="shared" si="3"/>
        <v>0</v>
      </c>
      <c r="D30" s="757">
        <f t="shared" si="0"/>
        <v>0</v>
      </c>
      <c r="E30" s="757">
        <f t="shared" si="0"/>
        <v>1</v>
      </c>
      <c r="F30" s="757">
        <f t="shared" si="0"/>
        <v>0</v>
      </c>
      <c r="G30" s="757">
        <f t="shared" si="0"/>
        <v>0</v>
      </c>
      <c r="H30" s="758">
        <f t="shared" si="4"/>
        <v>1</v>
      </c>
      <c r="I30" s="756">
        <f t="shared" si="5"/>
        <v>0.2</v>
      </c>
      <c r="J30" s="757">
        <f t="shared" si="1"/>
        <v>0.3</v>
      </c>
      <c r="K30" s="757">
        <f t="shared" si="1"/>
        <v>0.25</v>
      </c>
      <c r="L30" s="757">
        <f t="shared" si="1"/>
        <v>0.05</v>
      </c>
      <c r="M30" s="757">
        <f t="shared" si="1"/>
        <v>0.2</v>
      </c>
      <c r="N30" s="758">
        <f t="shared" si="6"/>
        <v>1</v>
      </c>
      <c r="O30" s="759"/>
      <c r="R30" s="753">
        <f t="shared" si="7"/>
        <v>1</v>
      </c>
      <c r="S30" s="754">
        <f t="shared" si="8"/>
        <v>0.71500000000000008</v>
      </c>
    </row>
    <row r="31" spans="2:19">
      <c r="B31" s="755">
        <f t="shared" si="2"/>
        <v>2013</v>
      </c>
      <c r="C31" s="756">
        <f t="shared" si="3"/>
        <v>0</v>
      </c>
      <c r="D31" s="757">
        <f t="shared" si="0"/>
        <v>0</v>
      </c>
      <c r="E31" s="757">
        <f t="shared" si="0"/>
        <v>1</v>
      </c>
      <c r="F31" s="757">
        <f t="shared" si="0"/>
        <v>0</v>
      </c>
      <c r="G31" s="757">
        <f t="shared" si="0"/>
        <v>0</v>
      </c>
      <c r="H31" s="758">
        <f t="shared" si="4"/>
        <v>1</v>
      </c>
      <c r="I31" s="756">
        <f t="shared" si="5"/>
        <v>0.2</v>
      </c>
      <c r="J31" s="757">
        <f t="shared" si="1"/>
        <v>0.3</v>
      </c>
      <c r="K31" s="757">
        <f t="shared" si="1"/>
        <v>0.25</v>
      </c>
      <c r="L31" s="757">
        <f t="shared" si="1"/>
        <v>0.05</v>
      </c>
      <c r="M31" s="757">
        <f t="shared" si="1"/>
        <v>0.2</v>
      </c>
      <c r="N31" s="758">
        <f t="shared" si="6"/>
        <v>1</v>
      </c>
      <c r="O31" s="759"/>
      <c r="R31" s="753">
        <f t="shared" si="7"/>
        <v>1</v>
      </c>
      <c r="S31" s="754">
        <f t="shared" si="8"/>
        <v>0.71500000000000008</v>
      </c>
    </row>
    <row r="32" spans="2:19">
      <c r="B32" s="755">
        <f t="shared" si="2"/>
        <v>2014</v>
      </c>
      <c r="C32" s="756">
        <f t="shared" si="3"/>
        <v>0</v>
      </c>
      <c r="D32" s="757">
        <f t="shared" si="0"/>
        <v>0</v>
      </c>
      <c r="E32" s="757">
        <f t="shared" si="0"/>
        <v>1</v>
      </c>
      <c r="F32" s="757">
        <f t="shared" si="0"/>
        <v>0</v>
      </c>
      <c r="G32" s="757">
        <f t="shared" si="0"/>
        <v>0</v>
      </c>
      <c r="H32" s="758">
        <f t="shared" si="4"/>
        <v>1</v>
      </c>
      <c r="I32" s="756">
        <f t="shared" si="5"/>
        <v>0.2</v>
      </c>
      <c r="J32" s="757">
        <f t="shared" si="1"/>
        <v>0.3</v>
      </c>
      <c r="K32" s="757">
        <f t="shared" si="1"/>
        <v>0.25</v>
      </c>
      <c r="L32" s="757">
        <f t="shared" si="1"/>
        <v>0.05</v>
      </c>
      <c r="M32" s="757">
        <f t="shared" si="1"/>
        <v>0.2</v>
      </c>
      <c r="N32" s="758">
        <f t="shared" si="6"/>
        <v>1</v>
      </c>
      <c r="O32" s="759"/>
      <c r="R32" s="753">
        <f>C32*C$13+D32*D$13+E32*E$13+F32*F$13+G32*G$13</f>
        <v>1</v>
      </c>
      <c r="S32" s="754">
        <f t="shared" si="8"/>
        <v>0.71500000000000008</v>
      </c>
    </row>
    <row r="33" spans="2:19">
      <c r="B33" s="755">
        <f t="shared" si="2"/>
        <v>2015</v>
      </c>
      <c r="C33" s="756">
        <f t="shared" si="3"/>
        <v>0</v>
      </c>
      <c r="D33" s="757">
        <f t="shared" si="0"/>
        <v>0</v>
      </c>
      <c r="E33" s="757">
        <f t="shared" si="0"/>
        <v>1</v>
      </c>
      <c r="F33" s="757">
        <f t="shared" si="0"/>
        <v>0</v>
      </c>
      <c r="G33" s="757">
        <f t="shared" si="0"/>
        <v>0</v>
      </c>
      <c r="H33" s="758">
        <f t="shared" si="4"/>
        <v>1</v>
      </c>
      <c r="I33" s="756">
        <f t="shared" si="5"/>
        <v>0.2</v>
      </c>
      <c r="J33" s="757">
        <f t="shared" si="1"/>
        <v>0.3</v>
      </c>
      <c r="K33" s="757">
        <f t="shared" si="1"/>
        <v>0.25</v>
      </c>
      <c r="L33" s="757">
        <f t="shared" si="1"/>
        <v>0.05</v>
      </c>
      <c r="M33" s="757">
        <f t="shared" si="1"/>
        <v>0.2</v>
      </c>
      <c r="N33" s="758">
        <f t="shared" si="6"/>
        <v>1</v>
      </c>
      <c r="O33" s="759"/>
      <c r="R33" s="753">
        <f t="shared" si="7"/>
        <v>1</v>
      </c>
      <c r="S33" s="754">
        <f>I33*I$13+J33*J$13+K33*K$13+L33*L$13+M33*M$13</f>
        <v>0.71500000000000008</v>
      </c>
    </row>
    <row r="34" spans="2:19">
      <c r="B34" s="755">
        <f t="shared" si="2"/>
        <v>2016</v>
      </c>
      <c r="C34" s="756">
        <f t="shared" si="3"/>
        <v>0</v>
      </c>
      <c r="D34" s="757">
        <f t="shared" si="3"/>
        <v>0</v>
      </c>
      <c r="E34" s="757">
        <f t="shared" si="3"/>
        <v>1</v>
      </c>
      <c r="F34" s="757">
        <f t="shared" si="3"/>
        <v>0</v>
      </c>
      <c r="G34" s="757">
        <f t="shared" si="3"/>
        <v>0</v>
      </c>
      <c r="H34" s="758">
        <f t="shared" si="4"/>
        <v>1</v>
      </c>
      <c r="I34" s="756">
        <f t="shared" si="5"/>
        <v>0.2</v>
      </c>
      <c r="J34" s="757">
        <f t="shared" si="5"/>
        <v>0.3</v>
      </c>
      <c r="K34" s="757">
        <f t="shared" si="5"/>
        <v>0.25</v>
      </c>
      <c r="L34" s="757">
        <f t="shared" si="5"/>
        <v>0.05</v>
      </c>
      <c r="M34" s="757">
        <f t="shared" si="5"/>
        <v>0.2</v>
      </c>
      <c r="N34" s="758">
        <f t="shared" si="6"/>
        <v>1</v>
      </c>
      <c r="O34" s="759"/>
      <c r="R34" s="753">
        <f t="shared" si="7"/>
        <v>1</v>
      </c>
      <c r="S34" s="754">
        <f t="shared" si="8"/>
        <v>0.71500000000000008</v>
      </c>
    </row>
    <row r="35" spans="2:19">
      <c r="B35" s="755">
        <f t="shared" si="2"/>
        <v>2017</v>
      </c>
      <c r="C35" s="756">
        <f t="shared" si="3"/>
        <v>0</v>
      </c>
      <c r="D35" s="757">
        <f t="shared" si="3"/>
        <v>0</v>
      </c>
      <c r="E35" s="757">
        <f t="shared" si="3"/>
        <v>1</v>
      </c>
      <c r="F35" s="757">
        <f t="shared" si="3"/>
        <v>0</v>
      </c>
      <c r="G35" s="757">
        <f t="shared" si="3"/>
        <v>0</v>
      </c>
      <c r="H35" s="758">
        <f t="shared" si="4"/>
        <v>1</v>
      </c>
      <c r="I35" s="756">
        <f t="shared" si="5"/>
        <v>0.2</v>
      </c>
      <c r="J35" s="757">
        <f t="shared" si="5"/>
        <v>0.3</v>
      </c>
      <c r="K35" s="757">
        <f t="shared" si="5"/>
        <v>0.25</v>
      </c>
      <c r="L35" s="757">
        <f t="shared" si="5"/>
        <v>0.05</v>
      </c>
      <c r="M35" s="757">
        <f t="shared" si="5"/>
        <v>0.2</v>
      </c>
      <c r="N35" s="758">
        <f t="shared" si="6"/>
        <v>1</v>
      </c>
      <c r="O35" s="759"/>
      <c r="R35" s="753">
        <f t="shared" si="7"/>
        <v>1</v>
      </c>
      <c r="S35" s="754">
        <f t="shared" si="8"/>
        <v>0.71500000000000008</v>
      </c>
    </row>
    <row r="36" spans="2:19">
      <c r="B36" s="755">
        <f t="shared" si="2"/>
        <v>2018</v>
      </c>
      <c r="C36" s="756">
        <f t="shared" si="3"/>
        <v>0</v>
      </c>
      <c r="D36" s="757">
        <f t="shared" si="3"/>
        <v>0</v>
      </c>
      <c r="E36" s="757">
        <f t="shared" si="3"/>
        <v>1</v>
      </c>
      <c r="F36" s="757">
        <f t="shared" si="3"/>
        <v>0</v>
      </c>
      <c r="G36" s="757">
        <f t="shared" si="3"/>
        <v>0</v>
      </c>
      <c r="H36" s="758">
        <f t="shared" si="4"/>
        <v>1</v>
      </c>
      <c r="I36" s="756">
        <f t="shared" si="5"/>
        <v>0.2</v>
      </c>
      <c r="J36" s="757">
        <f t="shared" si="5"/>
        <v>0.3</v>
      </c>
      <c r="K36" s="757">
        <f t="shared" si="5"/>
        <v>0.25</v>
      </c>
      <c r="L36" s="757">
        <f t="shared" si="5"/>
        <v>0.05</v>
      </c>
      <c r="M36" s="757">
        <f t="shared" si="5"/>
        <v>0.2</v>
      </c>
      <c r="N36" s="758">
        <f t="shared" si="6"/>
        <v>1</v>
      </c>
      <c r="O36" s="759"/>
      <c r="R36" s="753">
        <f t="shared" si="7"/>
        <v>1</v>
      </c>
      <c r="S36" s="754">
        <f t="shared" si="8"/>
        <v>0.71500000000000008</v>
      </c>
    </row>
    <row r="37" spans="2:19">
      <c r="B37" s="755">
        <f t="shared" si="2"/>
        <v>2019</v>
      </c>
      <c r="C37" s="756">
        <f t="shared" si="3"/>
        <v>0</v>
      </c>
      <c r="D37" s="757">
        <f t="shared" si="3"/>
        <v>0</v>
      </c>
      <c r="E37" s="757">
        <f t="shared" si="3"/>
        <v>1</v>
      </c>
      <c r="F37" s="757">
        <f t="shared" si="3"/>
        <v>0</v>
      </c>
      <c r="G37" s="757">
        <f t="shared" si="3"/>
        <v>0</v>
      </c>
      <c r="H37" s="758">
        <f t="shared" si="4"/>
        <v>1</v>
      </c>
      <c r="I37" s="756">
        <f t="shared" si="5"/>
        <v>0.2</v>
      </c>
      <c r="J37" s="757">
        <f t="shared" si="5"/>
        <v>0.3</v>
      </c>
      <c r="K37" s="757">
        <f t="shared" si="5"/>
        <v>0.25</v>
      </c>
      <c r="L37" s="757">
        <f t="shared" si="5"/>
        <v>0.05</v>
      </c>
      <c r="M37" s="757">
        <f t="shared" si="5"/>
        <v>0.2</v>
      </c>
      <c r="N37" s="758">
        <f t="shared" si="6"/>
        <v>1</v>
      </c>
      <c r="O37" s="759"/>
      <c r="R37" s="753">
        <f t="shared" si="7"/>
        <v>1</v>
      </c>
      <c r="S37" s="754">
        <f t="shared" si="8"/>
        <v>0.71500000000000008</v>
      </c>
    </row>
    <row r="38" spans="2:19">
      <c r="B38" s="755">
        <f t="shared" si="2"/>
        <v>2020</v>
      </c>
      <c r="C38" s="756">
        <f t="shared" si="3"/>
        <v>0</v>
      </c>
      <c r="D38" s="757">
        <f t="shared" si="3"/>
        <v>0</v>
      </c>
      <c r="E38" s="757">
        <f t="shared" si="3"/>
        <v>1</v>
      </c>
      <c r="F38" s="757">
        <f t="shared" si="3"/>
        <v>0</v>
      </c>
      <c r="G38" s="757">
        <f t="shared" si="3"/>
        <v>0</v>
      </c>
      <c r="H38" s="758">
        <f t="shared" si="4"/>
        <v>1</v>
      </c>
      <c r="I38" s="756">
        <f t="shared" si="5"/>
        <v>0.2</v>
      </c>
      <c r="J38" s="757">
        <f t="shared" si="5"/>
        <v>0.3</v>
      </c>
      <c r="K38" s="757">
        <f t="shared" si="5"/>
        <v>0.25</v>
      </c>
      <c r="L38" s="757">
        <f t="shared" si="5"/>
        <v>0.05</v>
      </c>
      <c r="M38" s="757">
        <f t="shared" si="5"/>
        <v>0.2</v>
      </c>
      <c r="N38" s="758">
        <f t="shared" si="6"/>
        <v>1</v>
      </c>
      <c r="O38" s="759"/>
      <c r="R38" s="753">
        <f t="shared" si="7"/>
        <v>1</v>
      </c>
      <c r="S38" s="754">
        <f t="shared" si="8"/>
        <v>0.71500000000000008</v>
      </c>
    </row>
    <row r="39" spans="2:19">
      <c r="B39" s="755">
        <f t="shared" si="2"/>
        <v>2021</v>
      </c>
      <c r="C39" s="756">
        <f t="shared" si="3"/>
        <v>0</v>
      </c>
      <c r="D39" s="757">
        <f t="shared" si="3"/>
        <v>0</v>
      </c>
      <c r="E39" s="757">
        <f t="shared" si="3"/>
        <v>1</v>
      </c>
      <c r="F39" s="757">
        <f t="shared" si="3"/>
        <v>0</v>
      </c>
      <c r="G39" s="757">
        <f t="shared" si="3"/>
        <v>0</v>
      </c>
      <c r="H39" s="758">
        <f t="shared" si="4"/>
        <v>1</v>
      </c>
      <c r="I39" s="756">
        <f t="shared" si="5"/>
        <v>0.2</v>
      </c>
      <c r="J39" s="757">
        <f t="shared" si="5"/>
        <v>0.3</v>
      </c>
      <c r="K39" s="757">
        <f t="shared" si="5"/>
        <v>0.25</v>
      </c>
      <c r="L39" s="757">
        <f t="shared" si="5"/>
        <v>0.05</v>
      </c>
      <c r="M39" s="757">
        <f t="shared" si="5"/>
        <v>0.2</v>
      </c>
      <c r="N39" s="758">
        <f t="shared" si="6"/>
        <v>1</v>
      </c>
      <c r="O39" s="759"/>
      <c r="R39" s="753">
        <f t="shared" si="7"/>
        <v>1</v>
      </c>
      <c r="S39" s="754">
        <f t="shared" si="8"/>
        <v>0.71500000000000008</v>
      </c>
    </row>
    <row r="40" spans="2:19">
      <c r="B40" s="755">
        <f t="shared" si="2"/>
        <v>2022</v>
      </c>
      <c r="C40" s="756">
        <f t="shared" si="3"/>
        <v>0</v>
      </c>
      <c r="D40" s="757">
        <f t="shared" si="3"/>
        <v>0</v>
      </c>
      <c r="E40" s="757">
        <f t="shared" si="3"/>
        <v>1</v>
      </c>
      <c r="F40" s="757">
        <f t="shared" si="3"/>
        <v>0</v>
      </c>
      <c r="G40" s="757">
        <f t="shared" si="3"/>
        <v>0</v>
      </c>
      <c r="H40" s="758">
        <f t="shared" si="4"/>
        <v>1</v>
      </c>
      <c r="I40" s="756">
        <f t="shared" si="5"/>
        <v>0.2</v>
      </c>
      <c r="J40" s="757">
        <f t="shared" si="5"/>
        <v>0.3</v>
      </c>
      <c r="K40" s="757">
        <f t="shared" si="5"/>
        <v>0.25</v>
      </c>
      <c r="L40" s="757">
        <f t="shared" si="5"/>
        <v>0.05</v>
      </c>
      <c r="M40" s="757">
        <f t="shared" si="5"/>
        <v>0.2</v>
      </c>
      <c r="N40" s="758">
        <f t="shared" si="6"/>
        <v>1</v>
      </c>
      <c r="O40" s="759"/>
      <c r="R40" s="753">
        <f t="shared" si="7"/>
        <v>1</v>
      </c>
      <c r="S40" s="754">
        <f t="shared" si="8"/>
        <v>0.71500000000000008</v>
      </c>
    </row>
    <row r="41" spans="2:19">
      <c r="B41" s="755">
        <f t="shared" si="2"/>
        <v>2023</v>
      </c>
      <c r="C41" s="756">
        <f t="shared" si="3"/>
        <v>0</v>
      </c>
      <c r="D41" s="757">
        <f t="shared" si="3"/>
        <v>0</v>
      </c>
      <c r="E41" s="757">
        <f t="shared" si="3"/>
        <v>1</v>
      </c>
      <c r="F41" s="757">
        <f t="shared" si="3"/>
        <v>0</v>
      </c>
      <c r="G41" s="757">
        <f t="shared" si="3"/>
        <v>0</v>
      </c>
      <c r="H41" s="758">
        <f t="shared" si="4"/>
        <v>1</v>
      </c>
      <c r="I41" s="756">
        <f t="shared" si="5"/>
        <v>0.2</v>
      </c>
      <c r="J41" s="757">
        <f t="shared" si="5"/>
        <v>0.3</v>
      </c>
      <c r="K41" s="757">
        <f t="shared" si="5"/>
        <v>0.25</v>
      </c>
      <c r="L41" s="757">
        <f t="shared" si="5"/>
        <v>0.05</v>
      </c>
      <c r="M41" s="757">
        <f t="shared" si="5"/>
        <v>0.2</v>
      </c>
      <c r="N41" s="758">
        <f t="shared" si="6"/>
        <v>1</v>
      </c>
      <c r="O41" s="759"/>
      <c r="R41" s="753">
        <f t="shared" si="7"/>
        <v>1</v>
      </c>
      <c r="S41" s="754">
        <f t="shared" si="8"/>
        <v>0.71500000000000008</v>
      </c>
    </row>
    <row r="42" spans="2:19">
      <c r="B42" s="755">
        <f t="shared" si="2"/>
        <v>2024</v>
      </c>
      <c r="C42" s="756">
        <f t="shared" si="3"/>
        <v>0</v>
      </c>
      <c r="D42" s="757">
        <f t="shared" si="3"/>
        <v>0</v>
      </c>
      <c r="E42" s="757">
        <f t="shared" si="3"/>
        <v>1</v>
      </c>
      <c r="F42" s="757">
        <f t="shared" si="3"/>
        <v>0</v>
      </c>
      <c r="G42" s="757">
        <f t="shared" si="3"/>
        <v>0</v>
      </c>
      <c r="H42" s="758">
        <f t="shared" si="4"/>
        <v>1</v>
      </c>
      <c r="I42" s="756">
        <f t="shared" si="5"/>
        <v>0.2</v>
      </c>
      <c r="J42" s="757">
        <f t="shared" si="5"/>
        <v>0.3</v>
      </c>
      <c r="K42" s="757">
        <f t="shared" si="5"/>
        <v>0.25</v>
      </c>
      <c r="L42" s="757">
        <f t="shared" si="5"/>
        <v>0.05</v>
      </c>
      <c r="M42" s="757">
        <f t="shared" si="5"/>
        <v>0.2</v>
      </c>
      <c r="N42" s="758">
        <f t="shared" si="6"/>
        <v>1</v>
      </c>
      <c r="O42" s="759"/>
      <c r="R42" s="753">
        <f t="shared" si="7"/>
        <v>1</v>
      </c>
      <c r="S42" s="754">
        <f t="shared" si="8"/>
        <v>0.71500000000000008</v>
      </c>
    </row>
    <row r="43" spans="2:19">
      <c r="B43" s="755">
        <f t="shared" si="2"/>
        <v>2025</v>
      </c>
      <c r="C43" s="756">
        <f t="shared" si="3"/>
        <v>0</v>
      </c>
      <c r="D43" s="757">
        <f t="shared" si="3"/>
        <v>0</v>
      </c>
      <c r="E43" s="757">
        <f t="shared" si="3"/>
        <v>1</v>
      </c>
      <c r="F43" s="757">
        <f t="shared" si="3"/>
        <v>0</v>
      </c>
      <c r="G43" s="757">
        <f t="shared" si="3"/>
        <v>0</v>
      </c>
      <c r="H43" s="758">
        <f t="shared" si="4"/>
        <v>1</v>
      </c>
      <c r="I43" s="756">
        <f t="shared" si="5"/>
        <v>0.2</v>
      </c>
      <c r="J43" s="757">
        <f t="shared" si="5"/>
        <v>0.3</v>
      </c>
      <c r="K43" s="757">
        <f t="shared" si="5"/>
        <v>0.25</v>
      </c>
      <c r="L43" s="757">
        <f t="shared" si="5"/>
        <v>0.05</v>
      </c>
      <c r="M43" s="757">
        <f t="shared" si="5"/>
        <v>0.2</v>
      </c>
      <c r="N43" s="758">
        <f t="shared" si="6"/>
        <v>1</v>
      </c>
      <c r="O43" s="759"/>
      <c r="R43" s="753">
        <f t="shared" si="7"/>
        <v>1</v>
      </c>
      <c r="S43" s="754">
        <f t="shared" si="8"/>
        <v>0.71500000000000008</v>
      </c>
    </row>
    <row r="44" spans="2:19">
      <c r="B44" s="755">
        <f t="shared" si="2"/>
        <v>2026</v>
      </c>
      <c r="C44" s="756">
        <f t="shared" si="3"/>
        <v>0</v>
      </c>
      <c r="D44" s="757">
        <f t="shared" si="3"/>
        <v>0</v>
      </c>
      <c r="E44" s="757">
        <f t="shared" si="3"/>
        <v>1</v>
      </c>
      <c r="F44" s="757">
        <f t="shared" si="3"/>
        <v>0</v>
      </c>
      <c r="G44" s="757">
        <f t="shared" si="3"/>
        <v>0</v>
      </c>
      <c r="H44" s="758">
        <f t="shared" si="4"/>
        <v>1</v>
      </c>
      <c r="I44" s="756">
        <f t="shared" si="5"/>
        <v>0.2</v>
      </c>
      <c r="J44" s="757">
        <f t="shared" si="5"/>
        <v>0.3</v>
      </c>
      <c r="K44" s="757">
        <f t="shared" si="5"/>
        <v>0.25</v>
      </c>
      <c r="L44" s="757">
        <f t="shared" si="5"/>
        <v>0.05</v>
      </c>
      <c r="M44" s="757">
        <f t="shared" si="5"/>
        <v>0.2</v>
      </c>
      <c r="N44" s="758">
        <f t="shared" si="6"/>
        <v>1</v>
      </c>
      <c r="O44" s="759"/>
      <c r="R44" s="753">
        <f t="shared" si="7"/>
        <v>1</v>
      </c>
      <c r="S44" s="754">
        <f t="shared" si="8"/>
        <v>0.71500000000000008</v>
      </c>
    </row>
    <row r="45" spans="2:19">
      <c r="B45" s="755">
        <f t="shared" si="2"/>
        <v>2027</v>
      </c>
      <c r="C45" s="756">
        <f t="shared" si="3"/>
        <v>0</v>
      </c>
      <c r="D45" s="757">
        <f t="shared" si="3"/>
        <v>0</v>
      </c>
      <c r="E45" s="757">
        <f t="shared" si="3"/>
        <v>1</v>
      </c>
      <c r="F45" s="757">
        <f t="shared" si="3"/>
        <v>0</v>
      </c>
      <c r="G45" s="757">
        <f t="shared" si="3"/>
        <v>0</v>
      </c>
      <c r="H45" s="758">
        <f t="shared" si="4"/>
        <v>1</v>
      </c>
      <c r="I45" s="756">
        <f t="shared" si="5"/>
        <v>0.2</v>
      </c>
      <c r="J45" s="757">
        <f t="shared" si="5"/>
        <v>0.3</v>
      </c>
      <c r="K45" s="757">
        <f t="shared" si="5"/>
        <v>0.25</v>
      </c>
      <c r="L45" s="757">
        <f t="shared" si="5"/>
        <v>0.05</v>
      </c>
      <c r="M45" s="757">
        <f t="shared" si="5"/>
        <v>0.2</v>
      </c>
      <c r="N45" s="758">
        <f t="shared" si="6"/>
        <v>1</v>
      </c>
      <c r="O45" s="759"/>
      <c r="R45" s="753">
        <f t="shared" si="7"/>
        <v>1</v>
      </c>
      <c r="S45" s="754">
        <f t="shared" si="8"/>
        <v>0.71500000000000008</v>
      </c>
    </row>
    <row r="46" spans="2:19">
      <c r="B46" s="755">
        <f t="shared" si="2"/>
        <v>2028</v>
      </c>
      <c r="C46" s="756">
        <f t="shared" si="3"/>
        <v>0</v>
      </c>
      <c r="D46" s="757">
        <f t="shared" si="3"/>
        <v>0</v>
      </c>
      <c r="E46" s="757">
        <f t="shared" si="3"/>
        <v>1</v>
      </c>
      <c r="F46" s="757">
        <f t="shared" si="3"/>
        <v>0</v>
      </c>
      <c r="G46" s="757">
        <f t="shared" si="3"/>
        <v>0</v>
      </c>
      <c r="H46" s="758">
        <f t="shared" si="4"/>
        <v>1</v>
      </c>
      <c r="I46" s="756">
        <f t="shared" si="5"/>
        <v>0.2</v>
      </c>
      <c r="J46" s="757">
        <f t="shared" si="5"/>
        <v>0.3</v>
      </c>
      <c r="K46" s="757">
        <f t="shared" si="5"/>
        <v>0.25</v>
      </c>
      <c r="L46" s="757">
        <f t="shared" si="5"/>
        <v>0.05</v>
      </c>
      <c r="M46" s="757">
        <f t="shared" si="5"/>
        <v>0.2</v>
      </c>
      <c r="N46" s="758">
        <f t="shared" si="6"/>
        <v>1</v>
      </c>
      <c r="O46" s="759"/>
      <c r="R46" s="753">
        <f t="shared" si="7"/>
        <v>1</v>
      </c>
      <c r="S46" s="754">
        <f t="shared" si="8"/>
        <v>0.71500000000000008</v>
      </c>
    </row>
    <row r="47" spans="2:19">
      <c r="B47" s="755">
        <f t="shared" si="2"/>
        <v>2029</v>
      </c>
      <c r="C47" s="756">
        <f t="shared" si="3"/>
        <v>0</v>
      </c>
      <c r="D47" s="757">
        <f t="shared" si="3"/>
        <v>0</v>
      </c>
      <c r="E47" s="757">
        <f t="shared" si="3"/>
        <v>1</v>
      </c>
      <c r="F47" s="757">
        <f t="shared" si="3"/>
        <v>0</v>
      </c>
      <c r="G47" s="757">
        <f t="shared" si="3"/>
        <v>0</v>
      </c>
      <c r="H47" s="758">
        <f t="shared" si="4"/>
        <v>1</v>
      </c>
      <c r="I47" s="756">
        <f t="shared" si="5"/>
        <v>0.2</v>
      </c>
      <c r="J47" s="757">
        <f t="shared" si="5"/>
        <v>0.3</v>
      </c>
      <c r="K47" s="757">
        <f t="shared" si="5"/>
        <v>0.25</v>
      </c>
      <c r="L47" s="757">
        <f t="shared" si="5"/>
        <v>0.05</v>
      </c>
      <c r="M47" s="757">
        <f t="shared" si="5"/>
        <v>0.2</v>
      </c>
      <c r="N47" s="758">
        <f t="shared" si="6"/>
        <v>1</v>
      </c>
      <c r="O47" s="759"/>
      <c r="R47" s="753">
        <f t="shared" si="7"/>
        <v>1</v>
      </c>
      <c r="S47" s="754">
        <f t="shared" si="8"/>
        <v>0.71500000000000008</v>
      </c>
    </row>
    <row r="48" spans="2:19">
      <c r="B48" s="755">
        <f t="shared" si="2"/>
        <v>2030</v>
      </c>
      <c r="C48" s="756">
        <f t="shared" si="3"/>
        <v>0</v>
      </c>
      <c r="D48" s="757">
        <f t="shared" si="3"/>
        <v>0</v>
      </c>
      <c r="E48" s="757">
        <f t="shared" si="3"/>
        <v>1</v>
      </c>
      <c r="F48" s="757">
        <f t="shared" si="3"/>
        <v>0</v>
      </c>
      <c r="G48" s="757">
        <f t="shared" si="3"/>
        <v>0</v>
      </c>
      <c r="H48" s="758">
        <f t="shared" si="4"/>
        <v>1</v>
      </c>
      <c r="I48" s="756">
        <f t="shared" si="5"/>
        <v>0.2</v>
      </c>
      <c r="J48" s="757">
        <f t="shared" si="5"/>
        <v>0.3</v>
      </c>
      <c r="K48" s="757">
        <f t="shared" si="5"/>
        <v>0.25</v>
      </c>
      <c r="L48" s="757">
        <f t="shared" si="5"/>
        <v>0.05</v>
      </c>
      <c r="M48" s="757">
        <f t="shared" si="5"/>
        <v>0.2</v>
      </c>
      <c r="N48" s="758">
        <f t="shared" si="6"/>
        <v>1</v>
      </c>
      <c r="O48" s="759"/>
      <c r="R48" s="753">
        <f t="shared" si="7"/>
        <v>1</v>
      </c>
      <c r="S48" s="754">
        <f t="shared" si="8"/>
        <v>0.71500000000000008</v>
      </c>
    </row>
    <row r="49" spans="2:19">
      <c r="B49" s="755">
        <f t="shared" si="2"/>
        <v>2031</v>
      </c>
      <c r="C49" s="756">
        <f t="shared" si="3"/>
        <v>0</v>
      </c>
      <c r="D49" s="757">
        <f t="shared" si="3"/>
        <v>0</v>
      </c>
      <c r="E49" s="757">
        <f t="shared" si="3"/>
        <v>1</v>
      </c>
      <c r="F49" s="757">
        <f t="shared" si="3"/>
        <v>0</v>
      </c>
      <c r="G49" s="757">
        <f t="shared" si="3"/>
        <v>0</v>
      </c>
      <c r="H49" s="758">
        <f t="shared" si="4"/>
        <v>1</v>
      </c>
      <c r="I49" s="756">
        <f t="shared" si="5"/>
        <v>0.2</v>
      </c>
      <c r="J49" s="757">
        <f t="shared" si="5"/>
        <v>0.3</v>
      </c>
      <c r="K49" s="757">
        <f t="shared" si="5"/>
        <v>0.25</v>
      </c>
      <c r="L49" s="757">
        <f t="shared" si="5"/>
        <v>0.05</v>
      </c>
      <c r="M49" s="757">
        <f t="shared" si="5"/>
        <v>0.2</v>
      </c>
      <c r="N49" s="758">
        <f t="shared" si="6"/>
        <v>1</v>
      </c>
      <c r="O49" s="759"/>
      <c r="R49" s="753">
        <f t="shared" si="7"/>
        <v>1</v>
      </c>
      <c r="S49" s="754">
        <f t="shared" si="8"/>
        <v>0.71500000000000008</v>
      </c>
    </row>
    <row r="50" spans="2:19">
      <c r="B50" s="755">
        <f t="shared" si="2"/>
        <v>2032</v>
      </c>
      <c r="C50" s="756">
        <f t="shared" si="3"/>
        <v>0</v>
      </c>
      <c r="D50" s="757">
        <f t="shared" si="3"/>
        <v>0</v>
      </c>
      <c r="E50" s="757">
        <f t="shared" si="3"/>
        <v>1</v>
      </c>
      <c r="F50" s="757">
        <f t="shared" si="3"/>
        <v>0</v>
      </c>
      <c r="G50" s="757">
        <f t="shared" si="3"/>
        <v>0</v>
      </c>
      <c r="H50" s="758">
        <f t="shared" si="4"/>
        <v>1</v>
      </c>
      <c r="I50" s="756">
        <f t="shared" si="5"/>
        <v>0.2</v>
      </c>
      <c r="J50" s="757">
        <f t="shared" si="5"/>
        <v>0.3</v>
      </c>
      <c r="K50" s="757">
        <f t="shared" si="5"/>
        <v>0.25</v>
      </c>
      <c r="L50" s="757">
        <f t="shared" si="5"/>
        <v>0.05</v>
      </c>
      <c r="M50" s="757">
        <f t="shared" si="5"/>
        <v>0.2</v>
      </c>
      <c r="N50" s="758">
        <f t="shared" si="6"/>
        <v>1</v>
      </c>
      <c r="O50" s="759"/>
      <c r="R50" s="753">
        <f t="shared" si="7"/>
        <v>1</v>
      </c>
      <c r="S50" s="754">
        <f t="shared" si="8"/>
        <v>0.71500000000000008</v>
      </c>
    </row>
    <row r="51" spans="2:19">
      <c r="B51" s="755">
        <f t="shared" ref="B51:B82" si="9">B50+1</f>
        <v>2033</v>
      </c>
      <c r="C51" s="756">
        <f t="shared" ref="C51:G98" si="10">C$16</f>
        <v>0</v>
      </c>
      <c r="D51" s="757">
        <f t="shared" si="10"/>
        <v>0</v>
      </c>
      <c r="E51" s="757">
        <f t="shared" si="10"/>
        <v>1</v>
      </c>
      <c r="F51" s="757">
        <f t="shared" si="10"/>
        <v>0</v>
      </c>
      <c r="G51" s="757">
        <f t="shared" si="10"/>
        <v>0</v>
      </c>
      <c r="H51" s="758">
        <f t="shared" si="4"/>
        <v>1</v>
      </c>
      <c r="I51" s="756">
        <f t="shared" ref="I51:M98" si="11">I$16</f>
        <v>0.2</v>
      </c>
      <c r="J51" s="757">
        <f t="shared" si="11"/>
        <v>0.3</v>
      </c>
      <c r="K51" s="757">
        <f t="shared" si="11"/>
        <v>0.25</v>
      </c>
      <c r="L51" s="757">
        <f t="shared" si="11"/>
        <v>0.05</v>
      </c>
      <c r="M51" s="757">
        <f t="shared" si="11"/>
        <v>0.2</v>
      </c>
      <c r="N51" s="758">
        <f t="shared" si="6"/>
        <v>1</v>
      </c>
      <c r="O51" s="759"/>
      <c r="R51" s="753">
        <f t="shared" si="7"/>
        <v>1</v>
      </c>
      <c r="S51" s="754">
        <f t="shared" si="8"/>
        <v>0.71500000000000008</v>
      </c>
    </row>
    <row r="52" spans="2:19">
      <c r="B52" s="755">
        <f t="shared" si="9"/>
        <v>2034</v>
      </c>
      <c r="C52" s="756">
        <f t="shared" si="10"/>
        <v>0</v>
      </c>
      <c r="D52" s="757">
        <f t="shared" si="10"/>
        <v>0</v>
      </c>
      <c r="E52" s="757">
        <f t="shared" si="10"/>
        <v>1</v>
      </c>
      <c r="F52" s="757">
        <f t="shared" si="10"/>
        <v>0</v>
      </c>
      <c r="G52" s="757">
        <f t="shared" si="10"/>
        <v>0</v>
      </c>
      <c r="H52" s="758">
        <f t="shared" si="4"/>
        <v>1</v>
      </c>
      <c r="I52" s="756">
        <f t="shared" si="11"/>
        <v>0.2</v>
      </c>
      <c r="J52" s="757">
        <f t="shared" si="11"/>
        <v>0.3</v>
      </c>
      <c r="K52" s="757">
        <f t="shared" si="11"/>
        <v>0.25</v>
      </c>
      <c r="L52" s="757">
        <f t="shared" si="11"/>
        <v>0.05</v>
      </c>
      <c r="M52" s="757">
        <f t="shared" si="11"/>
        <v>0.2</v>
      </c>
      <c r="N52" s="758">
        <f t="shared" si="6"/>
        <v>1</v>
      </c>
      <c r="O52" s="759"/>
      <c r="R52" s="753">
        <f t="shared" si="7"/>
        <v>1</v>
      </c>
      <c r="S52" s="754">
        <f t="shared" si="8"/>
        <v>0.71500000000000008</v>
      </c>
    </row>
    <row r="53" spans="2:19">
      <c r="B53" s="755">
        <f t="shared" si="9"/>
        <v>2035</v>
      </c>
      <c r="C53" s="756">
        <f t="shared" si="10"/>
        <v>0</v>
      </c>
      <c r="D53" s="757">
        <f t="shared" si="10"/>
        <v>0</v>
      </c>
      <c r="E53" s="757">
        <f t="shared" si="10"/>
        <v>1</v>
      </c>
      <c r="F53" s="757">
        <f t="shared" si="10"/>
        <v>0</v>
      </c>
      <c r="G53" s="757">
        <f t="shared" si="10"/>
        <v>0</v>
      </c>
      <c r="H53" s="758">
        <f t="shared" si="4"/>
        <v>1</v>
      </c>
      <c r="I53" s="756">
        <f t="shared" si="11"/>
        <v>0.2</v>
      </c>
      <c r="J53" s="757">
        <f t="shared" si="11"/>
        <v>0.3</v>
      </c>
      <c r="K53" s="757">
        <f t="shared" si="11"/>
        <v>0.25</v>
      </c>
      <c r="L53" s="757">
        <f t="shared" si="11"/>
        <v>0.05</v>
      </c>
      <c r="M53" s="757">
        <f t="shared" si="11"/>
        <v>0.2</v>
      </c>
      <c r="N53" s="758">
        <f t="shared" si="6"/>
        <v>1</v>
      </c>
      <c r="O53" s="759"/>
      <c r="R53" s="753">
        <f t="shared" si="7"/>
        <v>1</v>
      </c>
      <c r="S53" s="754">
        <f t="shared" si="8"/>
        <v>0.71500000000000008</v>
      </c>
    </row>
    <row r="54" spans="2:19">
      <c r="B54" s="755">
        <f t="shared" si="9"/>
        <v>2036</v>
      </c>
      <c r="C54" s="756">
        <f t="shared" si="10"/>
        <v>0</v>
      </c>
      <c r="D54" s="757">
        <f t="shared" si="10"/>
        <v>0</v>
      </c>
      <c r="E54" s="757">
        <f t="shared" si="10"/>
        <v>1</v>
      </c>
      <c r="F54" s="757">
        <f t="shared" si="10"/>
        <v>0</v>
      </c>
      <c r="G54" s="757">
        <f t="shared" si="10"/>
        <v>0</v>
      </c>
      <c r="H54" s="758">
        <f t="shared" si="4"/>
        <v>1</v>
      </c>
      <c r="I54" s="756">
        <f t="shared" si="11"/>
        <v>0.2</v>
      </c>
      <c r="J54" s="757">
        <f t="shared" si="11"/>
        <v>0.3</v>
      </c>
      <c r="K54" s="757">
        <f t="shared" si="11"/>
        <v>0.25</v>
      </c>
      <c r="L54" s="757">
        <f t="shared" si="11"/>
        <v>0.05</v>
      </c>
      <c r="M54" s="757">
        <f t="shared" si="11"/>
        <v>0.2</v>
      </c>
      <c r="N54" s="758">
        <f t="shared" si="6"/>
        <v>1</v>
      </c>
      <c r="O54" s="759"/>
      <c r="R54" s="753">
        <f t="shared" si="7"/>
        <v>1</v>
      </c>
      <c r="S54" s="754">
        <f t="shared" si="8"/>
        <v>0.71500000000000008</v>
      </c>
    </row>
    <row r="55" spans="2:19">
      <c r="B55" s="755">
        <f t="shared" si="9"/>
        <v>2037</v>
      </c>
      <c r="C55" s="756">
        <f t="shared" si="10"/>
        <v>0</v>
      </c>
      <c r="D55" s="757">
        <f t="shared" si="10"/>
        <v>0</v>
      </c>
      <c r="E55" s="757">
        <f t="shared" si="10"/>
        <v>1</v>
      </c>
      <c r="F55" s="757">
        <f t="shared" si="10"/>
        <v>0</v>
      </c>
      <c r="G55" s="757">
        <f t="shared" si="10"/>
        <v>0</v>
      </c>
      <c r="H55" s="758">
        <f t="shared" si="4"/>
        <v>1</v>
      </c>
      <c r="I55" s="756">
        <f t="shared" si="11"/>
        <v>0.2</v>
      </c>
      <c r="J55" s="757">
        <f t="shared" si="11"/>
        <v>0.3</v>
      </c>
      <c r="K55" s="757">
        <f t="shared" si="11"/>
        <v>0.25</v>
      </c>
      <c r="L55" s="757">
        <f t="shared" si="11"/>
        <v>0.05</v>
      </c>
      <c r="M55" s="757">
        <f t="shared" si="11"/>
        <v>0.2</v>
      </c>
      <c r="N55" s="758">
        <f t="shared" si="6"/>
        <v>1</v>
      </c>
      <c r="O55" s="759"/>
      <c r="R55" s="753">
        <f t="shared" si="7"/>
        <v>1</v>
      </c>
      <c r="S55" s="754">
        <f t="shared" si="8"/>
        <v>0.71500000000000008</v>
      </c>
    </row>
    <row r="56" spans="2:19">
      <c r="B56" s="755">
        <f t="shared" si="9"/>
        <v>2038</v>
      </c>
      <c r="C56" s="756">
        <f t="shared" si="10"/>
        <v>0</v>
      </c>
      <c r="D56" s="757">
        <f t="shared" si="10"/>
        <v>0</v>
      </c>
      <c r="E56" s="757">
        <f t="shared" si="10"/>
        <v>1</v>
      </c>
      <c r="F56" s="757">
        <f t="shared" si="10"/>
        <v>0</v>
      </c>
      <c r="G56" s="757">
        <f t="shared" si="10"/>
        <v>0</v>
      </c>
      <c r="H56" s="758">
        <f t="shared" si="4"/>
        <v>1</v>
      </c>
      <c r="I56" s="756">
        <f t="shared" si="11"/>
        <v>0.2</v>
      </c>
      <c r="J56" s="757">
        <f t="shared" si="11"/>
        <v>0.3</v>
      </c>
      <c r="K56" s="757">
        <f t="shared" si="11"/>
        <v>0.25</v>
      </c>
      <c r="L56" s="757">
        <f t="shared" si="11"/>
        <v>0.05</v>
      </c>
      <c r="M56" s="757">
        <f t="shared" si="11"/>
        <v>0.2</v>
      </c>
      <c r="N56" s="758">
        <f t="shared" si="6"/>
        <v>1</v>
      </c>
      <c r="O56" s="759"/>
      <c r="R56" s="753">
        <f t="shared" si="7"/>
        <v>1</v>
      </c>
      <c r="S56" s="754">
        <f t="shared" si="8"/>
        <v>0.71500000000000008</v>
      </c>
    </row>
    <row r="57" spans="2:19">
      <c r="B57" s="755">
        <f t="shared" si="9"/>
        <v>2039</v>
      </c>
      <c r="C57" s="756">
        <f t="shared" si="10"/>
        <v>0</v>
      </c>
      <c r="D57" s="757">
        <f t="shared" si="10"/>
        <v>0</v>
      </c>
      <c r="E57" s="757">
        <f t="shared" si="10"/>
        <v>1</v>
      </c>
      <c r="F57" s="757">
        <f t="shared" si="10"/>
        <v>0</v>
      </c>
      <c r="G57" s="757">
        <f t="shared" si="10"/>
        <v>0</v>
      </c>
      <c r="H57" s="758">
        <f t="shared" si="4"/>
        <v>1</v>
      </c>
      <c r="I57" s="756">
        <f t="shared" si="11"/>
        <v>0.2</v>
      </c>
      <c r="J57" s="757">
        <f t="shared" si="11"/>
        <v>0.3</v>
      </c>
      <c r="K57" s="757">
        <f t="shared" si="11"/>
        <v>0.25</v>
      </c>
      <c r="L57" s="757">
        <f t="shared" si="11"/>
        <v>0.05</v>
      </c>
      <c r="M57" s="757">
        <f t="shared" si="11"/>
        <v>0.2</v>
      </c>
      <c r="N57" s="758">
        <f t="shared" si="6"/>
        <v>1</v>
      </c>
      <c r="O57" s="759"/>
      <c r="R57" s="753">
        <f t="shared" si="7"/>
        <v>1</v>
      </c>
      <c r="S57" s="754">
        <f t="shared" si="8"/>
        <v>0.71500000000000008</v>
      </c>
    </row>
    <row r="58" spans="2:19">
      <c r="B58" s="755">
        <f t="shared" si="9"/>
        <v>2040</v>
      </c>
      <c r="C58" s="756">
        <f t="shared" si="10"/>
        <v>0</v>
      </c>
      <c r="D58" s="757">
        <f t="shared" si="10"/>
        <v>0</v>
      </c>
      <c r="E58" s="757">
        <f t="shared" si="10"/>
        <v>1</v>
      </c>
      <c r="F58" s="757">
        <f t="shared" si="10"/>
        <v>0</v>
      </c>
      <c r="G58" s="757">
        <f t="shared" si="10"/>
        <v>0</v>
      </c>
      <c r="H58" s="758">
        <f t="shared" si="4"/>
        <v>1</v>
      </c>
      <c r="I58" s="756">
        <f t="shared" si="11"/>
        <v>0.2</v>
      </c>
      <c r="J58" s="757">
        <f t="shared" si="11"/>
        <v>0.3</v>
      </c>
      <c r="K58" s="757">
        <f t="shared" si="11"/>
        <v>0.25</v>
      </c>
      <c r="L58" s="757">
        <f t="shared" si="11"/>
        <v>0.05</v>
      </c>
      <c r="M58" s="757">
        <f t="shared" si="11"/>
        <v>0.2</v>
      </c>
      <c r="N58" s="758">
        <f t="shared" si="6"/>
        <v>1</v>
      </c>
      <c r="O58" s="759"/>
      <c r="R58" s="753">
        <f t="shared" si="7"/>
        <v>1</v>
      </c>
      <c r="S58" s="754">
        <f t="shared" si="8"/>
        <v>0.71500000000000008</v>
      </c>
    </row>
    <row r="59" spans="2:19">
      <c r="B59" s="755">
        <f t="shared" si="9"/>
        <v>2041</v>
      </c>
      <c r="C59" s="756">
        <f t="shared" si="10"/>
        <v>0</v>
      </c>
      <c r="D59" s="757">
        <f t="shared" si="10"/>
        <v>0</v>
      </c>
      <c r="E59" s="757">
        <f t="shared" si="10"/>
        <v>1</v>
      </c>
      <c r="F59" s="757">
        <f t="shared" si="10"/>
        <v>0</v>
      </c>
      <c r="G59" s="757">
        <f t="shared" si="10"/>
        <v>0</v>
      </c>
      <c r="H59" s="758">
        <f t="shared" si="4"/>
        <v>1</v>
      </c>
      <c r="I59" s="756">
        <f t="shared" si="11"/>
        <v>0.2</v>
      </c>
      <c r="J59" s="757">
        <f t="shared" si="11"/>
        <v>0.3</v>
      </c>
      <c r="K59" s="757">
        <f t="shared" si="11"/>
        <v>0.25</v>
      </c>
      <c r="L59" s="757">
        <f t="shared" si="11"/>
        <v>0.05</v>
      </c>
      <c r="M59" s="757">
        <f t="shared" si="11"/>
        <v>0.2</v>
      </c>
      <c r="N59" s="758">
        <f t="shared" si="6"/>
        <v>1</v>
      </c>
      <c r="O59" s="759"/>
      <c r="R59" s="753">
        <f t="shared" si="7"/>
        <v>1</v>
      </c>
      <c r="S59" s="754">
        <f t="shared" si="8"/>
        <v>0.71500000000000008</v>
      </c>
    </row>
    <row r="60" spans="2:19">
      <c r="B60" s="755">
        <f t="shared" si="9"/>
        <v>2042</v>
      </c>
      <c r="C60" s="756">
        <f t="shared" si="10"/>
        <v>0</v>
      </c>
      <c r="D60" s="757">
        <f t="shared" si="10"/>
        <v>0</v>
      </c>
      <c r="E60" s="757">
        <f t="shared" si="10"/>
        <v>1</v>
      </c>
      <c r="F60" s="757">
        <f t="shared" si="10"/>
        <v>0</v>
      </c>
      <c r="G60" s="757">
        <f t="shared" si="10"/>
        <v>0</v>
      </c>
      <c r="H60" s="758">
        <f t="shared" si="4"/>
        <v>1</v>
      </c>
      <c r="I60" s="756">
        <f t="shared" si="11"/>
        <v>0.2</v>
      </c>
      <c r="J60" s="757">
        <f t="shared" si="11"/>
        <v>0.3</v>
      </c>
      <c r="K60" s="757">
        <f t="shared" si="11"/>
        <v>0.25</v>
      </c>
      <c r="L60" s="757">
        <f t="shared" si="11"/>
        <v>0.05</v>
      </c>
      <c r="M60" s="757">
        <f t="shared" si="11"/>
        <v>0.2</v>
      </c>
      <c r="N60" s="758">
        <f t="shared" si="6"/>
        <v>1</v>
      </c>
      <c r="O60" s="759"/>
      <c r="R60" s="753">
        <f t="shared" si="7"/>
        <v>1</v>
      </c>
      <c r="S60" s="754">
        <f t="shared" si="8"/>
        <v>0.71500000000000008</v>
      </c>
    </row>
    <row r="61" spans="2:19">
      <c r="B61" s="755">
        <f t="shared" si="9"/>
        <v>2043</v>
      </c>
      <c r="C61" s="756">
        <f t="shared" si="10"/>
        <v>0</v>
      </c>
      <c r="D61" s="757">
        <f t="shared" si="10"/>
        <v>0</v>
      </c>
      <c r="E61" s="757">
        <f t="shared" si="10"/>
        <v>1</v>
      </c>
      <c r="F61" s="757">
        <f t="shared" si="10"/>
        <v>0</v>
      </c>
      <c r="G61" s="757">
        <f t="shared" si="10"/>
        <v>0</v>
      </c>
      <c r="H61" s="758">
        <f t="shared" si="4"/>
        <v>1</v>
      </c>
      <c r="I61" s="756">
        <f t="shared" si="11"/>
        <v>0.2</v>
      </c>
      <c r="J61" s="757">
        <f t="shared" si="11"/>
        <v>0.3</v>
      </c>
      <c r="K61" s="757">
        <f t="shared" si="11"/>
        <v>0.25</v>
      </c>
      <c r="L61" s="757">
        <f t="shared" si="11"/>
        <v>0.05</v>
      </c>
      <c r="M61" s="757">
        <f t="shared" si="11"/>
        <v>0.2</v>
      </c>
      <c r="N61" s="758">
        <f t="shared" si="6"/>
        <v>1</v>
      </c>
      <c r="O61" s="759"/>
      <c r="R61" s="753">
        <f t="shared" si="7"/>
        <v>1</v>
      </c>
      <c r="S61" s="754">
        <f t="shared" si="8"/>
        <v>0.71500000000000008</v>
      </c>
    </row>
    <row r="62" spans="2:19">
      <c r="B62" s="755">
        <f t="shared" si="9"/>
        <v>2044</v>
      </c>
      <c r="C62" s="756">
        <f t="shared" si="10"/>
        <v>0</v>
      </c>
      <c r="D62" s="757">
        <f t="shared" si="10"/>
        <v>0</v>
      </c>
      <c r="E62" s="757">
        <f t="shared" si="10"/>
        <v>1</v>
      </c>
      <c r="F62" s="757">
        <f t="shared" si="10"/>
        <v>0</v>
      </c>
      <c r="G62" s="757">
        <f t="shared" si="10"/>
        <v>0</v>
      </c>
      <c r="H62" s="758">
        <f t="shared" si="4"/>
        <v>1</v>
      </c>
      <c r="I62" s="756">
        <f t="shared" si="11"/>
        <v>0.2</v>
      </c>
      <c r="J62" s="757">
        <f t="shared" si="11"/>
        <v>0.3</v>
      </c>
      <c r="K62" s="757">
        <f t="shared" si="11"/>
        <v>0.25</v>
      </c>
      <c r="L62" s="757">
        <f t="shared" si="11"/>
        <v>0.05</v>
      </c>
      <c r="M62" s="757">
        <f t="shared" si="11"/>
        <v>0.2</v>
      </c>
      <c r="N62" s="758">
        <f t="shared" si="6"/>
        <v>1</v>
      </c>
      <c r="O62" s="759"/>
      <c r="R62" s="753">
        <f t="shared" si="7"/>
        <v>1</v>
      </c>
      <c r="S62" s="754">
        <f t="shared" si="8"/>
        <v>0.71500000000000008</v>
      </c>
    </row>
    <row r="63" spans="2:19">
      <c r="B63" s="755">
        <f t="shared" si="9"/>
        <v>2045</v>
      </c>
      <c r="C63" s="756">
        <f t="shared" si="10"/>
        <v>0</v>
      </c>
      <c r="D63" s="757">
        <f t="shared" si="10"/>
        <v>0</v>
      </c>
      <c r="E63" s="757">
        <f t="shared" si="10"/>
        <v>1</v>
      </c>
      <c r="F63" s="757">
        <f t="shared" si="10"/>
        <v>0</v>
      </c>
      <c r="G63" s="757">
        <f t="shared" si="10"/>
        <v>0</v>
      </c>
      <c r="H63" s="758">
        <f t="shared" si="4"/>
        <v>1</v>
      </c>
      <c r="I63" s="756">
        <f t="shared" si="11"/>
        <v>0.2</v>
      </c>
      <c r="J63" s="757">
        <f t="shared" si="11"/>
        <v>0.3</v>
      </c>
      <c r="K63" s="757">
        <f t="shared" si="11"/>
        <v>0.25</v>
      </c>
      <c r="L63" s="757">
        <f t="shared" si="11"/>
        <v>0.05</v>
      </c>
      <c r="M63" s="757">
        <f t="shared" si="11"/>
        <v>0.2</v>
      </c>
      <c r="N63" s="758">
        <f t="shared" si="6"/>
        <v>1</v>
      </c>
      <c r="O63" s="759"/>
      <c r="R63" s="753">
        <f t="shared" si="7"/>
        <v>1</v>
      </c>
      <c r="S63" s="754">
        <f t="shared" si="8"/>
        <v>0.71500000000000008</v>
      </c>
    </row>
    <row r="64" spans="2:19">
      <c r="B64" s="755">
        <f t="shared" si="9"/>
        <v>2046</v>
      </c>
      <c r="C64" s="756">
        <f t="shared" si="10"/>
        <v>0</v>
      </c>
      <c r="D64" s="757">
        <f t="shared" si="10"/>
        <v>0</v>
      </c>
      <c r="E64" s="757">
        <f t="shared" si="10"/>
        <v>1</v>
      </c>
      <c r="F64" s="757">
        <f t="shared" si="10"/>
        <v>0</v>
      </c>
      <c r="G64" s="757">
        <f t="shared" si="10"/>
        <v>0</v>
      </c>
      <c r="H64" s="758">
        <f t="shared" si="4"/>
        <v>1</v>
      </c>
      <c r="I64" s="756">
        <f t="shared" si="11"/>
        <v>0.2</v>
      </c>
      <c r="J64" s="757">
        <f t="shared" si="11"/>
        <v>0.3</v>
      </c>
      <c r="K64" s="757">
        <f t="shared" si="11"/>
        <v>0.25</v>
      </c>
      <c r="L64" s="757">
        <f t="shared" si="11"/>
        <v>0.05</v>
      </c>
      <c r="M64" s="757">
        <f t="shared" si="11"/>
        <v>0.2</v>
      </c>
      <c r="N64" s="758">
        <f t="shared" si="6"/>
        <v>1</v>
      </c>
      <c r="O64" s="759"/>
      <c r="R64" s="753">
        <f t="shared" si="7"/>
        <v>1</v>
      </c>
      <c r="S64" s="754">
        <f t="shared" si="8"/>
        <v>0.71500000000000008</v>
      </c>
    </row>
    <row r="65" spans="2:19">
      <c r="B65" s="755">
        <f t="shared" si="9"/>
        <v>2047</v>
      </c>
      <c r="C65" s="756">
        <f t="shared" si="10"/>
        <v>0</v>
      </c>
      <c r="D65" s="757">
        <f t="shared" si="10"/>
        <v>0</v>
      </c>
      <c r="E65" s="757">
        <f t="shared" si="10"/>
        <v>1</v>
      </c>
      <c r="F65" s="757">
        <f t="shared" si="10"/>
        <v>0</v>
      </c>
      <c r="G65" s="757">
        <f t="shared" si="10"/>
        <v>0</v>
      </c>
      <c r="H65" s="758">
        <f t="shared" si="4"/>
        <v>1</v>
      </c>
      <c r="I65" s="756">
        <f t="shared" si="11"/>
        <v>0.2</v>
      </c>
      <c r="J65" s="757">
        <f t="shared" si="11"/>
        <v>0.3</v>
      </c>
      <c r="K65" s="757">
        <f t="shared" si="11"/>
        <v>0.25</v>
      </c>
      <c r="L65" s="757">
        <f t="shared" si="11"/>
        <v>0.05</v>
      </c>
      <c r="M65" s="757">
        <f t="shared" si="11"/>
        <v>0.2</v>
      </c>
      <c r="N65" s="758">
        <f t="shared" si="6"/>
        <v>1</v>
      </c>
      <c r="O65" s="759"/>
      <c r="R65" s="753">
        <f t="shared" si="7"/>
        <v>1</v>
      </c>
      <c r="S65" s="754">
        <f t="shared" si="8"/>
        <v>0.71500000000000008</v>
      </c>
    </row>
    <row r="66" spans="2:19">
      <c r="B66" s="755">
        <f t="shared" si="9"/>
        <v>2048</v>
      </c>
      <c r="C66" s="756">
        <f t="shared" si="10"/>
        <v>0</v>
      </c>
      <c r="D66" s="757">
        <f t="shared" si="10"/>
        <v>0</v>
      </c>
      <c r="E66" s="757">
        <f t="shared" si="10"/>
        <v>1</v>
      </c>
      <c r="F66" s="757">
        <f t="shared" si="10"/>
        <v>0</v>
      </c>
      <c r="G66" s="757">
        <f t="shared" si="10"/>
        <v>0</v>
      </c>
      <c r="H66" s="758">
        <f t="shared" si="4"/>
        <v>1</v>
      </c>
      <c r="I66" s="756">
        <f t="shared" si="11"/>
        <v>0.2</v>
      </c>
      <c r="J66" s="757">
        <f t="shared" si="11"/>
        <v>0.3</v>
      </c>
      <c r="K66" s="757">
        <f t="shared" si="11"/>
        <v>0.25</v>
      </c>
      <c r="L66" s="757">
        <f t="shared" si="11"/>
        <v>0.05</v>
      </c>
      <c r="M66" s="757">
        <f t="shared" si="11"/>
        <v>0.2</v>
      </c>
      <c r="N66" s="758">
        <f t="shared" si="6"/>
        <v>1</v>
      </c>
      <c r="O66" s="759"/>
      <c r="R66" s="753">
        <f t="shared" si="7"/>
        <v>1</v>
      </c>
      <c r="S66" s="754">
        <f t="shared" si="8"/>
        <v>0.71500000000000008</v>
      </c>
    </row>
    <row r="67" spans="2:19">
      <c r="B67" s="755">
        <f t="shared" si="9"/>
        <v>2049</v>
      </c>
      <c r="C67" s="756">
        <f t="shared" si="10"/>
        <v>0</v>
      </c>
      <c r="D67" s="757">
        <f t="shared" si="10"/>
        <v>0</v>
      </c>
      <c r="E67" s="757">
        <f t="shared" si="10"/>
        <v>1</v>
      </c>
      <c r="F67" s="757">
        <f t="shared" si="10"/>
        <v>0</v>
      </c>
      <c r="G67" s="757">
        <f t="shared" si="10"/>
        <v>0</v>
      </c>
      <c r="H67" s="758">
        <f t="shared" si="4"/>
        <v>1</v>
      </c>
      <c r="I67" s="756">
        <f t="shared" si="11"/>
        <v>0.2</v>
      </c>
      <c r="J67" s="757">
        <f t="shared" si="11"/>
        <v>0.3</v>
      </c>
      <c r="K67" s="757">
        <f t="shared" si="11"/>
        <v>0.25</v>
      </c>
      <c r="L67" s="757">
        <f t="shared" si="11"/>
        <v>0.05</v>
      </c>
      <c r="M67" s="757">
        <f t="shared" si="11"/>
        <v>0.2</v>
      </c>
      <c r="N67" s="758">
        <f t="shared" si="6"/>
        <v>1</v>
      </c>
      <c r="O67" s="759"/>
      <c r="R67" s="753">
        <f t="shared" si="7"/>
        <v>1</v>
      </c>
      <c r="S67" s="754">
        <f t="shared" si="8"/>
        <v>0.71500000000000008</v>
      </c>
    </row>
    <row r="68" spans="2:19">
      <c r="B68" s="755">
        <f t="shared" si="9"/>
        <v>2050</v>
      </c>
      <c r="C68" s="756">
        <f t="shared" si="10"/>
        <v>0</v>
      </c>
      <c r="D68" s="757">
        <f t="shared" si="10"/>
        <v>0</v>
      </c>
      <c r="E68" s="757">
        <f t="shared" si="10"/>
        <v>1</v>
      </c>
      <c r="F68" s="757">
        <f t="shared" si="10"/>
        <v>0</v>
      </c>
      <c r="G68" s="757">
        <f t="shared" si="10"/>
        <v>0</v>
      </c>
      <c r="H68" s="758">
        <f t="shared" si="4"/>
        <v>1</v>
      </c>
      <c r="I68" s="756">
        <f t="shared" si="11"/>
        <v>0.2</v>
      </c>
      <c r="J68" s="757">
        <f t="shared" si="11"/>
        <v>0.3</v>
      </c>
      <c r="K68" s="757">
        <f t="shared" si="11"/>
        <v>0.25</v>
      </c>
      <c r="L68" s="757">
        <f t="shared" si="11"/>
        <v>0.05</v>
      </c>
      <c r="M68" s="757">
        <f t="shared" si="11"/>
        <v>0.2</v>
      </c>
      <c r="N68" s="758">
        <f t="shared" si="6"/>
        <v>1</v>
      </c>
      <c r="O68" s="759"/>
      <c r="R68" s="753">
        <f t="shared" si="7"/>
        <v>1</v>
      </c>
      <c r="S68" s="754">
        <f t="shared" si="8"/>
        <v>0.71500000000000008</v>
      </c>
    </row>
    <row r="69" spans="2:19">
      <c r="B69" s="755">
        <f t="shared" si="9"/>
        <v>2051</v>
      </c>
      <c r="C69" s="756">
        <f t="shared" si="10"/>
        <v>0</v>
      </c>
      <c r="D69" s="757">
        <f t="shared" si="10"/>
        <v>0</v>
      </c>
      <c r="E69" s="757">
        <f t="shared" si="10"/>
        <v>1</v>
      </c>
      <c r="F69" s="757">
        <f t="shared" si="10"/>
        <v>0</v>
      </c>
      <c r="G69" s="757">
        <f t="shared" si="10"/>
        <v>0</v>
      </c>
      <c r="H69" s="758">
        <f t="shared" si="4"/>
        <v>1</v>
      </c>
      <c r="I69" s="756">
        <f t="shared" si="11"/>
        <v>0.2</v>
      </c>
      <c r="J69" s="757">
        <f t="shared" si="11"/>
        <v>0.3</v>
      </c>
      <c r="K69" s="757">
        <f t="shared" si="11"/>
        <v>0.25</v>
      </c>
      <c r="L69" s="757">
        <f t="shared" si="11"/>
        <v>0.05</v>
      </c>
      <c r="M69" s="757">
        <f t="shared" si="11"/>
        <v>0.2</v>
      </c>
      <c r="N69" s="758">
        <f t="shared" si="6"/>
        <v>1</v>
      </c>
      <c r="O69" s="759"/>
      <c r="R69" s="753">
        <f t="shared" si="7"/>
        <v>1</v>
      </c>
      <c r="S69" s="754">
        <f t="shared" si="8"/>
        <v>0.71500000000000008</v>
      </c>
    </row>
    <row r="70" spans="2:19">
      <c r="B70" s="755">
        <f t="shared" si="9"/>
        <v>2052</v>
      </c>
      <c r="C70" s="756">
        <f t="shared" si="10"/>
        <v>0</v>
      </c>
      <c r="D70" s="757">
        <f t="shared" si="10"/>
        <v>0</v>
      </c>
      <c r="E70" s="757">
        <f t="shared" si="10"/>
        <v>1</v>
      </c>
      <c r="F70" s="757">
        <f t="shared" si="10"/>
        <v>0</v>
      </c>
      <c r="G70" s="757">
        <f t="shared" si="10"/>
        <v>0</v>
      </c>
      <c r="H70" s="758">
        <f t="shared" si="4"/>
        <v>1</v>
      </c>
      <c r="I70" s="756">
        <f t="shared" si="11"/>
        <v>0.2</v>
      </c>
      <c r="J70" s="757">
        <f t="shared" si="11"/>
        <v>0.3</v>
      </c>
      <c r="K70" s="757">
        <f t="shared" si="11"/>
        <v>0.25</v>
      </c>
      <c r="L70" s="757">
        <f t="shared" si="11"/>
        <v>0.05</v>
      </c>
      <c r="M70" s="757">
        <f t="shared" si="11"/>
        <v>0.2</v>
      </c>
      <c r="N70" s="758">
        <f t="shared" si="6"/>
        <v>1</v>
      </c>
      <c r="O70" s="759"/>
      <c r="R70" s="753">
        <f t="shared" si="7"/>
        <v>1</v>
      </c>
      <c r="S70" s="754">
        <f t="shared" si="8"/>
        <v>0.71500000000000008</v>
      </c>
    </row>
    <row r="71" spans="2:19">
      <c r="B71" s="755">
        <f t="shared" si="9"/>
        <v>2053</v>
      </c>
      <c r="C71" s="756">
        <f t="shared" si="10"/>
        <v>0</v>
      </c>
      <c r="D71" s="757">
        <f t="shared" si="10"/>
        <v>0</v>
      </c>
      <c r="E71" s="757">
        <f t="shared" si="10"/>
        <v>1</v>
      </c>
      <c r="F71" s="757">
        <f t="shared" si="10"/>
        <v>0</v>
      </c>
      <c r="G71" s="757">
        <f t="shared" si="10"/>
        <v>0</v>
      </c>
      <c r="H71" s="758">
        <f t="shared" si="4"/>
        <v>1</v>
      </c>
      <c r="I71" s="756">
        <f t="shared" si="11"/>
        <v>0.2</v>
      </c>
      <c r="J71" s="757">
        <f t="shared" si="11"/>
        <v>0.3</v>
      </c>
      <c r="K71" s="757">
        <f t="shared" si="11"/>
        <v>0.25</v>
      </c>
      <c r="L71" s="757">
        <f t="shared" si="11"/>
        <v>0.05</v>
      </c>
      <c r="M71" s="757">
        <f t="shared" si="11"/>
        <v>0.2</v>
      </c>
      <c r="N71" s="758">
        <f t="shared" si="6"/>
        <v>1</v>
      </c>
      <c r="O71" s="759"/>
      <c r="R71" s="753">
        <f t="shared" si="7"/>
        <v>1</v>
      </c>
      <c r="S71" s="754">
        <f t="shared" si="8"/>
        <v>0.71500000000000008</v>
      </c>
    </row>
    <row r="72" spans="2:19">
      <c r="B72" s="755">
        <f t="shared" si="9"/>
        <v>2054</v>
      </c>
      <c r="C72" s="756">
        <f t="shared" si="10"/>
        <v>0</v>
      </c>
      <c r="D72" s="757">
        <f t="shared" si="10"/>
        <v>0</v>
      </c>
      <c r="E72" s="757">
        <f t="shared" si="10"/>
        <v>1</v>
      </c>
      <c r="F72" s="757">
        <f t="shared" si="10"/>
        <v>0</v>
      </c>
      <c r="G72" s="757">
        <f t="shared" si="10"/>
        <v>0</v>
      </c>
      <c r="H72" s="758">
        <f t="shared" si="4"/>
        <v>1</v>
      </c>
      <c r="I72" s="756">
        <f t="shared" si="11"/>
        <v>0.2</v>
      </c>
      <c r="J72" s="757">
        <f t="shared" si="11"/>
        <v>0.3</v>
      </c>
      <c r="K72" s="757">
        <f t="shared" si="11"/>
        <v>0.25</v>
      </c>
      <c r="L72" s="757">
        <f t="shared" si="11"/>
        <v>0.05</v>
      </c>
      <c r="M72" s="757">
        <f t="shared" si="11"/>
        <v>0.2</v>
      </c>
      <c r="N72" s="758">
        <f t="shared" si="6"/>
        <v>1</v>
      </c>
      <c r="O72" s="759"/>
      <c r="R72" s="753">
        <f t="shared" si="7"/>
        <v>1</v>
      </c>
      <c r="S72" s="754">
        <f t="shared" si="8"/>
        <v>0.71500000000000008</v>
      </c>
    </row>
    <row r="73" spans="2:19">
      <c r="B73" s="755">
        <f t="shared" si="9"/>
        <v>2055</v>
      </c>
      <c r="C73" s="756">
        <f t="shared" si="10"/>
        <v>0</v>
      </c>
      <c r="D73" s="757">
        <f t="shared" si="10"/>
        <v>0</v>
      </c>
      <c r="E73" s="757">
        <f t="shared" si="10"/>
        <v>1</v>
      </c>
      <c r="F73" s="757">
        <f t="shared" si="10"/>
        <v>0</v>
      </c>
      <c r="G73" s="757">
        <f t="shared" si="10"/>
        <v>0</v>
      </c>
      <c r="H73" s="758">
        <f t="shared" si="4"/>
        <v>1</v>
      </c>
      <c r="I73" s="756">
        <f t="shared" si="11"/>
        <v>0.2</v>
      </c>
      <c r="J73" s="757">
        <f t="shared" si="11"/>
        <v>0.3</v>
      </c>
      <c r="K73" s="757">
        <f t="shared" si="11"/>
        <v>0.25</v>
      </c>
      <c r="L73" s="757">
        <f t="shared" si="11"/>
        <v>0.05</v>
      </c>
      <c r="M73" s="757">
        <f t="shared" si="11"/>
        <v>0.2</v>
      </c>
      <c r="N73" s="758">
        <f t="shared" si="6"/>
        <v>1</v>
      </c>
      <c r="O73" s="759"/>
      <c r="R73" s="753">
        <f t="shared" si="7"/>
        <v>1</v>
      </c>
      <c r="S73" s="754">
        <f t="shared" si="8"/>
        <v>0.71500000000000008</v>
      </c>
    </row>
    <row r="74" spans="2:19">
      <c r="B74" s="755">
        <f t="shared" si="9"/>
        <v>2056</v>
      </c>
      <c r="C74" s="756">
        <f t="shared" si="10"/>
        <v>0</v>
      </c>
      <c r="D74" s="757">
        <f t="shared" si="10"/>
        <v>0</v>
      </c>
      <c r="E74" s="757">
        <f t="shared" si="10"/>
        <v>1</v>
      </c>
      <c r="F74" s="757">
        <f t="shared" si="10"/>
        <v>0</v>
      </c>
      <c r="G74" s="757">
        <f t="shared" si="10"/>
        <v>0</v>
      </c>
      <c r="H74" s="758">
        <f t="shared" si="4"/>
        <v>1</v>
      </c>
      <c r="I74" s="756">
        <f t="shared" si="11"/>
        <v>0.2</v>
      </c>
      <c r="J74" s="757">
        <f t="shared" si="11"/>
        <v>0.3</v>
      </c>
      <c r="K74" s="757">
        <f t="shared" si="11"/>
        <v>0.25</v>
      </c>
      <c r="L74" s="757">
        <f t="shared" si="11"/>
        <v>0.05</v>
      </c>
      <c r="M74" s="757">
        <f t="shared" si="11"/>
        <v>0.2</v>
      </c>
      <c r="N74" s="758">
        <f t="shared" si="6"/>
        <v>1</v>
      </c>
      <c r="O74" s="759"/>
      <c r="R74" s="753">
        <f t="shared" si="7"/>
        <v>1</v>
      </c>
      <c r="S74" s="754">
        <f t="shared" si="8"/>
        <v>0.71500000000000008</v>
      </c>
    </row>
    <row r="75" spans="2:19">
      <c r="B75" s="755">
        <f t="shared" si="9"/>
        <v>2057</v>
      </c>
      <c r="C75" s="756">
        <f t="shared" si="10"/>
        <v>0</v>
      </c>
      <c r="D75" s="757">
        <f t="shared" si="10"/>
        <v>0</v>
      </c>
      <c r="E75" s="757">
        <f t="shared" si="10"/>
        <v>1</v>
      </c>
      <c r="F75" s="757">
        <f t="shared" si="10"/>
        <v>0</v>
      </c>
      <c r="G75" s="757">
        <f t="shared" si="10"/>
        <v>0</v>
      </c>
      <c r="H75" s="758">
        <f t="shared" si="4"/>
        <v>1</v>
      </c>
      <c r="I75" s="756">
        <f t="shared" si="11"/>
        <v>0.2</v>
      </c>
      <c r="J75" s="757">
        <f t="shared" si="11"/>
        <v>0.3</v>
      </c>
      <c r="K75" s="757">
        <f t="shared" si="11"/>
        <v>0.25</v>
      </c>
      <c r="L75" s="757">
        <f t="shared" si="11"/>
        <v>0.05</v>
      </c>
      <c r="M75" s="757">
        <f t="shared" si="11"/>
        <v>0.2</v>
      </c>
      <c r="N75" s="758">
        <f t="shared" si="6"/>
        <v>1</v>
      </c>
      <c r="O75" s="759"/>
      <c r="R75" s="753">
        <f t="shared" si="7"/>
        <v>1</v>
      </c>
      <c r="S75" s="754">
        <f t="shared" si="8"/>
        <v>0.71500000000000008</v>
      </c>
    </row>
    <row r="76" spans="2:19">
      <c r="B76" s="755">
        <f t="shared" si="9"/>
        <v>2058</v>
      </c>
      <c r="C76" s="756">
        <f t="shared" si="10"/>
        <v>0</v>
      </c>
      <c r="D76" s="757">
        <f t="shared" si="10"/>
        <v>0</v>
      </c>
      <c r="E76" s="757">
        <f t="shared" si="10"/>
        <v>1</v>
      </c>
      <c r="F76" s="757">
        <f t="shared" si="10"/>
        <v>0</v>
      </c>
      <c r="G76" s="757">
        <f t="shared" si="10"/>
        <v>0</v>
      </c>
      <c r="H76" s="758">
        <f t="shared" si="4"/>
        <v>1</v>
      </c>
      <c r="I76" s="756">
        <f t="shared" si="11"/>
        <v>0.2</v>
      </c>
      <c r="J76" s="757">
        <f t="shared" si="11"/>
        <v>0.3</v>
      </c>
      <c r="K76" s="757">
        <f t="shared" si="11"/>
        <v>0.25</v>
      </c>
      <c r="L76" s="757">
        <f t="shared" si="11"/>
        <v>0.05</v>
      </c>
      <c r="M76" s="757">
        <f t="shared" si="11"/>
        <v>0.2</v>
      </c>
      <c r="N76" s="758">
        <f t="shared" si="6"/>
        <v>1</v>
      </c>
      <c r="O76" s="759"/>
      <c r="R76" s="753">
        <f t="shared" si="7"/>
        <v>1</v>
      </c>
      <c r="S76" s="754">
        <f t="shared" si="8"/>
        <v>0.71500000000000008</v>
      </c>
    </row>
    <row r="77" spans="2:19">
      <c r="B77" s="755">
        <f t="shared" si="9"/>
        <v>2059</v>
      </c>
      <c r="C77" s="756">
        <f t="shared" si="10"/>
        <v>0</v>
      </c>
      <c r="D77" s="757">
        <f t="shared" si="10"/>
        <v>0</v>
      </c>
      <c r="E77" s="757">
        <f t="shared" si="10"/>
        <v>1</v>
      </c>
      <c r="F77" s="757">
        <f t="shared" si="10"/>
        <v>0</v>
      </c>
      <c r="G77" s="757">
        <f t="shared" si="10"/>
        <v>0</v>
      </c>
      <c r="H77" s="758">
        <f t="shared" si="4"/>
        <v>1</v>
      </c>
      <c r="I77" s="756">
        <f t="shared" si="11"/>
        <v>0.2</v>
      </c>
      <c r="J77" s="757">
        <f t="shared" si="11"/>
        <v>0.3</v>
      </c>
      <c r="K77" s="757">
        <f t="shared" si="11"/>
        <v>0.25</v>
      </c>
      <c r="L77" s="757">
        <f t="shared" si="11"/>
        <v>0.05</v>
      </c>
      <c r="M77" s="757">
        <f t="shared" si="11"/>
        <v>0.2</v>
      </c>
      <c r="N77" s="758">
        <f t="shared" si="6"/>
        <v>1</v>
      </c>
      <c r="O77" s="759"/>
      <c r="R77" s="753">
        <f t="shared" si="7"/>
        <v>1</v>
      </c>
      <c r="S77" s="754">
        <f t="shared" si="8"/>
        <v>0.71500000000000008</v>
      </c>
    </row>
    <row r="78" spans="2:19">
      <c r="B78" s="755">
        <f t="shared" si="9"/>
        <v>2060</v>
      </c>
      <c r="C78" s="756">
        <f t="shared" si="10"/>
        <v>0</v>
      </c>
      <c r="D78" s="757">
        <f t="shared" si="10"/>
        <v>0</v>
      </c>
      <c r="E78" s="757">
        <f t="shared" si="10"/>
        <v>1</v>
      </c>
      <c r="F78" s="757">
        <f t="shared" si="10"/>
        <v>0</v>
      </c>
      <c r="G78" s="757">
        <f t="shared" si="10"/>
        <v>0</v>
      </c>
      <c r="H78" s="758">
        <f t="shared" si="4"/>
        <v>1</v>
      </c>
      <c r="I78" s="756">
        <f t="shared" si="11"/>
        <v>0.2</v>
      </c>
      <c r="J78" s="757">
        <f t="shared" si="11"/>
        <v>0.3</v>
      </c>
      <c r="K78" s="757">
        <f t="shared" si="11"/>
        <v>0.25</v>
      </c>
      <c r="L78" s="757">
        <f t="shared" si="11"/>
        <v>0.05</v>
      </c>
      <c r="M78" s="757">
        <f t="shared" si="11"/>
        <v>0.2</v>
      </c>
      <c r="N78" s="758">
        <f t="shared" si="6"/>
        <v>1</v>
      </c>
      <c r="O78" s="759"/>
      <c r="R78" s="753">
        <f t="shared" si="7"/>
        <v>1</v>
      </c>
      <c r="S78" s="754">
        <f t="shared" si="8"/>
        <v>0.71500000000000008</v>
      </c>
    </row>
    <row r="79" spans="2:19">
      <c r="B79" s="755">
        <f t="shared" si="9"/>
        <v>2061</v>
      </c>
      <c r="C79" s="756">
        <f t="shared" si="10"/>
        <v>0</v>
      </c>
      <c r="D79" s="757">
        <f t="shared" si="10"/>
        <v>0</v>
      </c>
      <c r="E79" s="757">
        <f t="shared" si="10"/>
        <v>1</v>
      </c>
      <c r="F79" s="757">
        <f t="shared" si="10"/>
        <v>0</v>
      </c>
      <c r="G79" s="757">
        <f t="shared" si="10"/>
        <v>0</v>
      </c>
      <c r="H79" s="758">
        <f t="shared" si="4"/>
        <v>1</v>
      </c>
      <c r="I79" s="756">
        <f t="shared" si="11"/>
        <v>0.2</v>
      </c>
      <c r="J79" s="757">
        <f t="shared" si="11"/>
        <v>0.3</v>
      </c>
      <c r="K79" s="757">
        <f t="shared" si="11"/>
        <v>0.25</v>
      </c>
      <c r="L79" s="757">
        <f t="shared" si="11"/>
        <v>0.05</v>
      </c>
      <c r="M79" s="757">
        <f t="shared" si="11"/>
        <v>0.2</v>
      </c>
      <c r="N79" s="758">
        <f t="shared" si="6"/>
        <v>1</v>
      </c>
      <c r="O79" s="759"/>
      <c r="R79" s="753">
        <f t="shared" si="7"/>
        <v>1</v>
      </c>
      <c r="S79" s="754">
        <f t="shared" si="8"/>
        <v>0.71500000000000008</v>
      </c>
    </row>
    <row r="80" spans="2:19">
      <c r="B80" s="755">
        <f t="shared" si="9"/>
        <v>2062</v>
      </c>
      <c r="C80" s="756">
        <f t="shared" si="10"/>
        <v>0</v>
      </c>
      <c r="D80" s="757">
        <f t="shared" si="10"/>
        <v>0</v>
      </c>
      <c r="E80" s="757">
        <f t="shared" si="10"/>
        <v>1</v>
      </c>
      <c r="F80" s="757">
        <f t="shared" si="10"/>
        <v>0</v>
      </c>
      <c r="G80" s="757">
        <f t="shared" si="10"/>
        <v>0</v>
      </c>
      <c r="H80" s="758">
        <f t="shared" si="4"/>
        <v>1</v>
      </c>
      <c r="I80" s="756">
        <f t="shared" si="11"/>
        <v>0.2</v>
      </c>
      <c r="J80" s="757">
        <f t="shared" si="11"/>
        <v>0.3</v>
      </c>
      <c r="K80" s="757">
        <f t="shared" si="11"/>
        <v>0.25</v>
      </c>
      <c r="L80" s="757">
        <f t="shared" si="11"/>
        <v>0.05</v>
      </c>
      <c r="M80" s="757">
        <f t="shared" si="11"/>
        <v>0.2</v>
      </c>
      <c r="N80" s="758">
        <f t="shared" si="6"/>
        <v>1</v>
      </c>
      <c r="O80" s="759"/>
      <c r="R80" s="753">
        <f t="shared" si="7"/>
        <v>1</v>
      </c>
      <c r="S80" s="754">
        <f t="shared" si="8"/>
        <v>0.71500000000000008</v>
      </c>
    </row>
    <row r="81" spans="2:19">
      <c r="B81" s="755">
        <f t="shared" si="9"/>
        <v>2063</v>
      </c>
      <c r="C81" s="756">
        <f t="shared" si="10"/>
        <v>0</v>
      </c>
      <c r="D81" s="757">
        <f t="shared" si="10"/>
        <v>0</v>
      </c>
      <c r="E81" s="757">
        <f t="shared" si="10"/>
        <v>1</v>
      </c>
      <c r="F81" s="757">
        <f t="shared" si="10"/>
        <v>0</v>
      </c>
      <c r="G81" s="757">
        <f t="shared" si="10"/>
        <v>0</v>
      </c>
      <c r="H81" s="758">
        <f t="shared" si="4"/>
        <v>1</v>
      </c>
      <c r="I81" s="756">
        <f t="shared" si="11"/>
        <v>0.2</v>
      </c>
      <c r="J81" s="757">
        <f t="shared" si="11"/>
        <v>0.3</v>
      </c>
      <c r="K81" s="757">
        <f t="shared" si="11"/>
        <v>0.25</v>
      </c>
      <c r="L81" s="757">
        <f t="shared" si="11"/>
        <v>0.05</v>
      </c>
      <c r="M81" s="757">
        <f t="shared" si="11"/>
        <v>0.2</v>
      </c>
      <c r="N81" s="758">
        <f t="shared" si="6"/>
        <v>1</v>
      </c>
      <c r="O81" s="759"/>
      <c r="R81" s="753">
        <f t="shared" si="7"/>
        <v>1</v>
      </c>
      <c r="S81" s="754">
        <f t="shared" si="8"/>
        <v>0.71500000000000008</v>
      </c>
    </row>
    <row r="82" spans="2:19">
      <c r="B82" s="755">
        <f t="shared" si="9"/>
        <v>2064</v>
      </c>
      <c r="C82" s="756">
        <f t="shared" si="10"/>
        <v>0</v>
      </c>
      <c r="D82" s="757">
        <f t="shared" si="10"/>
        <v>0</v>
      </c>
      <c r="E82" s="757">
        <f t="shared" si="10"/>
        <v>1</v>
      </c>
      <c r="F82" s="757">
        <f t="shared" si="10"/>
        <v>0</v>
      </c>
      <c r="G82" s="757">
        <f t="shared" si="10"/>
        <v>0</v>
      </c>
      <c r="H82" s="758">
        <f t="shared" si="4"/>
        <v>1</v>
      </c>
      <c r="I82" s="756">
        <f t="shared" si="11"/>
        <v>0.2</v>
      </c>
      <c r="J82" s="757">
        <f t="shared" si="11"/>
        <v>0.3</v>
      </c>
      <c r="K82" s="757">
        <f t="shared" si="11"/>
        <v>0.25</v>
      </c>
      <c r="L82" s="757">
        <f t="shared" si="11"/>
        <v>0.05</v>
      </c>
      <c r="M82" s="757">
        <f t="shared" si="11"/>
        <v>0.2</v>
      </c>
      <c r="N82" s="758">
        <f t="shared" si="6"/>
        <v>1</v>
      </c>
      <c r="O82" s="759"/>
      <c r="R82" s="753">
        <f t="shared" si="7"/>
        <v>1</v>
      </c>
      <c r="S82" s="754">
        <f t="shared" si="8"/>
        <v>0.71500000000000008</v>
      </c>
    </row>
    <row r="83" spans="2:19">
      <c r="B83" s="755">
        <f t="shared" ref="B83:B98" si="12">B82+1</f>
        <v>2065</v>
      </c>
      <c r="C83" s="756">
        <f t="shared" si="10"/>
        <v>0</v>
      </c>
      <c r="D83" s="757">
        <f t="shared" si="10"/>
        <v>0</v>
      </c>
      <c r="E83" s="757">
        <f t="shared" si="10"/>
        <v>1</v>
      </c>
      <c r="F83" s="757">
        <f t="shared" si="10"/>
        <v>0</v>
      </c>
      <c r="G83" s="757">
        <f t="shared" si="10"/>
        <v>0</v>
      </c>
      <c r="H83" s="758">
        <f t="shared" ref="H83:H98" si="13">SUM(C83:G83)</f>
        <v>1</v>
      </c>
      <c r="I83" s="756">
        <f t="shared" si="11"/>
        <v>0.2</v>
      </c>
      <c r="J83" s="757">
        <f t="shared" si="11"/>
        <v>0.3</v>
      </c>
      <c r="K83" s="757">
        <f t="shared" si="11"/>
        <v>0.25</v>
      </c>
      <c r="L83" s="757">
        <f t="shared" si="11"/>
        <v>0.05</v>
      </c>
      <c r="M83" s="757">
        <f t="shared" si="11"/>
        <v>0.2</v>
      </c>
      <c r="N83" s="758">
        <f t="shared" ref="N83:N98" si="14">SUM(I83:M83)</f>
        <v>1</v>
      </c>
      <c r="O83" s="759"/>
      <c r="R83" s="753">
        <f t="shared" ref="R83:R98" si="15">C83*C$13+D83*D$13+E83*E$13+F83*F$13+G83*G$13</f>
        <v>1</v>
      </c>
      <c r="S83" s="754">
        <f t="shared" ref="S83:S98" si="16">I83*I$13+J83*J$13+K83*K$13+L83*L$13+M83*M$13</f>
        <v>0.71500000000000008</v>
      </c>
    </row>
    <row r="84" spans="2:19">
      <c r="B84" s="755">
        <f t="shared" si="12"/>
        <v>2066</v>
      </c>
      <c r="C84" s="756">
        <f t="shared" si="10"/>
        <v>0</v>
      </c>
      <c r="D84" s="757">
        <f t="shared" si="10"/>
        <v>0</v>
      </c>
      <c r="E84" s="757">
        <f t="shared" si="10"/>
        <v>1</v>
      </c>
      <c r="F84" s="757">
        <f t="shared" si="10"/>
        <v>0</v>
      </c>
      <c r="G84" s="757">
        <f t="shared" si="10"/>
        <v>0</v>
      </c>
      <c r="H84" s="758">
        <f t="shared" si="13"/>
        <v>1</v>
      </c>
      <c r="I84" s="756">
        <f t="shared" si="11"/>
        <v>0.2</v>
      </c>
      <c r="J84" s="757">
        <f t="shared" si="11"/>
        <v>0.3</v>
      </c>
      <c r="K84" s="757">
        <f t="shared" si="11"/>
        <v>0.25</v>
      </c>
      <c r="L84" s="757">
        <f t="shared" si="11"/>
        <v>0.05</v>
      </c>
      <c r="M84" s="757">
        <f t="shared" si="11"/>
        <v>0.2</v>
      </c>
      <c r="N84" s="758">
        <f t="shared" si="14"/>
        <v>1</v>
      </c>
      <c r="O84" s="759"/>
      <c r="R84" s="753">
        <f t="shared" si="15"/>
        <v>1</v>
      </c>
      <c r="S84" s="754">
        <f t="shared" si="16"/>
        <v>0.71500000000000008</v>
      </c>
    </row>
    <row r="85" spans="2:19">
      <c r="B85" s="755">
        <f t="shared" si="12"/>
        <v>2067</v>
      </c>
      <c r="C85" s="756">
        <f t="shared" si="10"/>
        <v>0</v>
      </c>
      <c r="D85" s="757">
        <f t="shared" si="10"/>
        <v>0</v>
      </c>
      <c r="E85" s="757">
        <f t="shared" si="10"/>
        <v>1</v>
      </c>
      <c r="F85" s="757">
        <f t="shared" si="10"/>
        <v>0</v>
      </c>
      <c r="G85" s="757">
        <f t="shared" si="10"/>
        <v>0</v>
      </c>
      <c r="H85" s="758">
        <f t="shared" si="13"/>
        <v>1</v>
      </c>
      <c r="I85" s="756">
        <f t="shared" si="11"/>
        <v>0.2</v>
      </c>
      <c r="J85" s="757">
        <f t="shared" si="11"/>
        <v>0.3</v>
      </c>
      <c r="K85" s="757">
        <f t="shared" si="11"/>
        <v>0.25</v>
      </c>
      <c r="L85" s="757">
        <f t="shared" si="11"/>
        <v>0.05</v>
      </c>
      <c r="M85" s="757">
        <f t="shared" si="11"/>
        <v>0.2</v>
      </c>
      <c r="N85" s="758">
        <f t="shared" si="14"/>
        <v>1</v>
      </c>
      <c r="O85" s="759"/>
      <c r="R85" s="753">
        <f t="shared" si="15"/>
        <v>1</v>
      </c>
      <c r="S85" s="754">
        <f t="shared" si="16"/>
        <v>0.71500000000000008</v>
      </c>
    </row>
    <row r="86" spans="2:19">
      <c r="B86" s="755">
        <f t="shared" si="12"/>
        <v>2068</v>
      </c>
      <c r="C86" s="756">
        <f t="shared" si="10"/>
        <v>0</v>
      </c>
      <c r="D86" s="757">
        <f t="shared" si="10"/>
        <v>0</v>
      </c>
      <c r="E86" s="757">
        <f t="shared" si="10"/>
        <v>1</v>
      </c>
      <c r="F86" s="757">
        <f t="shared" si="10"/>
        <v>0</v>
      </c>
      <c r="G86" s="757">
        <f t="shared" si="10"/>
        <v>0</v>
      </c>
      <c r="H86" s="758">
        <f t="shared" si="13"/>
        <v>1</v>
      </c>
      <c r="I86" s="756">
        <f t="shared" si="11"/>
        <v>0.2</v>
      </c>
      <c r="J86" s="757">
        <f t="shared" si="11"/>
        <v>0.3</v>
      </c>
      <c r="K86" s="757">
        <f t="shared" si="11"/>
        <v>0.25</v>
      </c>
      <c r="L86" s="757">
        <f t="shared" si="11"/>
        <v>0.05</v>
      </c>
      <c r="M86" s="757">
        <f t="shared" si="11"/>
        <v>0.2</v>
      </c>
      <c r="N86" s="758">
        <f t="shared" si="14"/>
        <v>1</v>
      </c>
      <c r="O86" s="759"/>
      <c r="R86" s="753">
        <f t="shared" si="15"/>
        <v>1</v>
      </c>
      <c r="S86" s="754">
        <f t="shared" si="16"/>
        <v>0.71500000000000008</v>
      </c>
    </row>
    <row r="87" spans="2:19">
      <c r="B87" s="755">
        <f t="shared" si="12"/>
        <v>2069</v>
      </c>
      <c r="C87" s="756">
        <f t="shared" si="10"/>
        <v>0</v>
      </c>
      <c r="D87" s="757">
        <f t="shared" si="10"/>
        <v>0</v>
      </c>
      <c r="E87" s="757">
        <f t="shared" si="10"/>
        <v>1</v>
      </c>
      <c r="F87" s="757">
        <f t="shared" si="10"/>
        <v>0</v>
      </c>
      <c r="G87" s="757">
        <f t="shared" si="10"/>
        <v>0</v>
      </c>
      <c r="H87" s="758">
        <f t="shared" si="13"/>
        <v>1</v>
      </c>
      <c r="I87" s="756">
        <f t="shared" si="11"/>
        <v>0.2</v>
      </c>
      <c r="J87" s="757">
        <f t="shared" si="11"/>
        <v>0.3</v>
      </c>
      <c r="K87" s="757">
        <f t="shared" si="11"/>
        <v>0.25</v>
      </c>
      <c r="L87" s="757">
        <f t="shared" si="11"/>
        <v>0.05</v>
      </c>
      <c r="M87" s="757">
        <f t="shared" si="11"/>
        <v>0.2</v>
      </c>
      <c r="N87" s="758">
        <f t="shared" si="14"/>
        <v>1</v>
      </c>
      <c r="O87" s="759"/>
      <c r="R87" s="753">
        <f t="shared" si="15"/>
        <v>1</v>
      </c>
      <c r="S87" s="754">
        <f t="shared" si="16"/>
        <v>0.71500000000000008</v>
      </c>
    </row>
    <row r="88" spans="2:19">
      <c r="B88" s="755">
        <f t="shared" si="12"/>
        <v>2070</v>
      </c>
      <c r="C88" s="756">
        <f t="shared" si="10"/>
        <v>0</v>
      </c>
      <c r="D88" s="757">
        <f t="shared" si="10"/>
        <v>0</v>
      </c>
      <c r="E88" s="757">
        <f t="shared" si="10"/>
        <v>1</v>
      </c>
      <c r="F88" s="757">
        <f t="shared" si="10"/>
        <v>0</v>
      </c>
      <c r="G88" s="757">
        <f t="shared" si="10"/>
        <v>0</v>
      </c>
      <c r="H88" s="758">
        <f t="shared" si="13"/>
        <v>1</v>
      </c>
      <c r="I88" s="756">
        <f t="shared" si="11"/>
        <v>0.2</v>
      </c>
      <c r="J88" s="757">
        <f t="shared" si="11"/>
        <v>0.3</v>
      </c>
      <c r="K88" s="757">
        <f t="shared" si="11"/>
        <v>0.25</v>
      </c>
      <c r="L88" s="757">
        <f t="shared" si="11"/>
        <v>0.05</v>
      </c>
      <c r="M88" s="757">
        <f t="shared" si="11"/>
        <v>0.2</v>
      </c>
      <c r="N88" s="758">
        <f t="shared" si="14"/>
        <v>1</v>
      </c>
      <c r="O88" s="759"/>
      <c r="R88" s="753">
        <f t="shared" si="15"/>
        <v>1</v>
      </c>
      <c r="S88" s="754">
        <f t="shared" si="16"/>
        <v>0.71500000000000008</v>
      </c>
    </row>
    <row r="89" spans="2:19">
      <c r="B89" s="755">
        <f t="shared" si="12"/>
        <v>2071</v>
      </c>
      <c r="C89" s="756">
        <f t="shared" si="10"/>
        <v>0</v>
      </c>
      <c r="D89" s="757">
        <f t="shared" si="10"/>
        <v>0</v>
      </c>
      <c r="E89" s="757">
        <f t="shared" si="10"/>
        <v>1</v>
      </c>
      <c r="F89" s="757">
        <f t="shared" si="10"/>
        <v>0</v>
      </c>
      <c r="G89" s="757">
        <f t="shared" si="10"/>
        <v>0</v>
      </c>
      <c r="H89" s="758">
        <f t="shared" si="13"/>
        <v>1</v>
      </c>
      <c r="I89" s="756">
        <f t="shared" si="11"/>
        <v>0.2</v>
      </c>
      <c r="J89" s="757">
        <f t="shared" si="11"/>
        <v>0.3</v>
      </c>
      <c r="K89" s="757">
        <f t="shared" si="11"/>
        <v>0.25</v>
      </c>
      <c r="L89" s="757">
        <f t="shared" si="11"/>
        <v>0.05</v>
      </c>
      <c r="M89" s="757">
        <f t="shared" si="11"/>
        <v>0.2</v>
      </c>
      <c r="N89" s="758">
        <f t="shared" si="14"/>
        <v>1</v>
      </c>
      <c r="O89" s="759"/>
      <c r="R89" s="753">
        <f t="shared" si="15"/>
        <v>1</v>
      </c>
      <c r="S89" s="754">
        <f t="shared" si="16"/>
        <v>0.71500000000000008</v>
      </c>
    </row>
    <row r="90" spans="2:19">
      <c r="B90" s="755">
        <f t="shared" si="12"/>
        <v>2072</v>
      </c>
      <c r="C90" s="756">
        <f t="shared" si="10"/>
        <v>0</v>
      </c>
      <c r="D90" s="757">
        <f t="shared" si="10"/>
        <v>0</v>
      </c>
      <c r="E90" s="757">
        <f t="shared" si="10"/>
        <v>1</v>
      </c>
      <c r="F90" s="757">
        <f t="shared" si="10"/>
        <v>0</v>
      </c>
      <c r="G90" s="757">
        <f t="shared" si="10"/>
        <v>0</v>
      </c>
      <c r="H90" s="758">
        <f t="shared" si="13"/>
        <v>1</v>
      </c>
      <c r="I90" s="756">
        <f t="shared" si="11"/>
        <v>0.2</v>
      </c>
      <c r="J90" s="757">
        <f t="shared" si="11"/>
        <v>0.3</v>
      </c>
      <c r="K90" s="757">
        <f t="shared" si="11"/>
        <v>0.25</v>
      </c>
      <c r="L90" s="757">
        <f t="shared" si="11"/>
        <v>0.05</v>
      </c>
      <c r="M90" s="757">
        <f t="shared" si="11"/>
        <v>0.2</v>
      </c>
      <c r="N90" s="758">
        <f t="shared" si="14"/>
        <v>1</v>
      </c>
      <c r="O90" s="759"/>
      <c r="R90" s="753">
        <f t="shared" si="15"/>
        <v>1</v>
      </c>
      <c r="S90" s="754">
        <f t="shared" si="16"/>
        <v>0.71500000000000008</v>
      </c>
    </row>
    <row r="91" spans="2:19">
      <c r="B91" s="755">
        <f t="shared" si="12"/>
        <v>2073</v>
      </c>
      <c r="C91" s="756">
        <f t="shared" si="10"/>
        <v>0</v>
      </c>
      <c r="D91" s="757">
        <f t="shared" si="10"/>
        <v>0</v>
      </c>
      <c r="E91" s="757">
        <f t="shared" si="10"/>
        <v>1</v>
      </c>
      <c r="F91" s="757">
        <f t="shared" si="10"/>
        <v>0</v>
      </c>
      <c r="G91" s="757">
        <f t="shared" si="10"/>
        <v>0</v>
      </c>
      <c r="H91" s="758">
        <f t="shared" si="13"/>
        <v>1</v>
      </c>
      <c r="I91" s="756">
        <f t="shared" si="11"/>
        <v>0.2</v>
      </c>
      <c r="J91" s="757">
        <f t="shared" si="11"/>
        <v>0.3</v>
      </c>
      <c r="K91" s="757">
        <f t="shared" si="11"/>
        <v>0.25</v>
      </c>
      <c r="L91" s="757">
        <f t="shared" si="11"/>
        <v>0.05</v>
      </c>
      <c r="M91" s="757">
        <f t="shared" si="11"/>
        <v>0.2</v>
      </c>
      <c r="N91" s="758">
        <f t="shared" si="14"/>
        <v>1</v>
      </c>
      <c r="O91" s="759"/>
      <c r="R91" s="753">
        <f t="shared" si="15"/>
        <v>1</v>
      </c>
      <c r="S91" s="754">
        <f t="shared" si="16"/>
        <v>0.71500000000000008</v>
      </c>
    </row>
    <row r="92" spans="2:19">
      <c r="B92" s="755">
        <f t="shared" si="12"/>
        <v>2074</v>
      </c>
      <c r="C92" s="756">
        <f t="shared" si="10"/>
        <v>0</v>
      </c>
      <c r="D92" s="757">
        <f t="shared" si="10"/>
        <v>0</v>
      </c>
      <c r="E92" s="757">
        <f t="shared" si="10"/>
        <v>1</v>
      </c>
      <c r="F92" s="757">
        <f t="shared" si="10"/>
        <v>0</v>
      </c>
      <c r="G92" s="757">
        <f t="shared" si="10"/>
        <v>0</v>
      </c>
      <c r="H92" s="758">
        <f t="shared" si="13"/>
        <v>1</v>
      </c>
      <c r="I92" s="756">
        <f t="shared" si="11"/>
        <v>0.2</v>
      </c>
      <c r="J92" s="757">
        <f t="shared" si="11"/>
        <v>0.3</v>
      </c>
      <c r="K92" s="757">
        <f t="shared" si="11"/>
        <v>0.25</v>
      </c>
      <c r="L92" s="757">
        <f t="shared" si="11"/>
        <v>0.05</v>
      </c>
      <c r="M92" s="757">
        <f t="shared" si="11"/>
        <v>0.2</v>
      </c>
      <c r="N92" s="758">
        <f t="shared" si="14"/>
        <v>1</v>
      </c>
      <c r="O92" s="759"/>
      <c r="R92" s="753">
        <f t="shared" si="15"/>
        <v>1</v>
      </c>
      <c r="S92" s="754">
        <f t="shared" si="16"/>
        <v>0.71500000000000008</v>
      </c>
    </row>
    <row r="93" spans="2:19">
      <c r="B93" s="755">
        <f t="shared" si="12"/>
        <v>2075</v>
      </c>
      <c r="C93" s="756">
        <f t="shared" si="10"/>
        <v>0</v>
      </c>
      <c r="D93" s="757">
        <f t="shared" si="10"/>
        <v>0</v>
      </c>
      <c r="E93" s="757">
        <f t="shared" si="10"/>
        <v>1</v>
      </c>
      <c r="F93" s="757">
        <f t="shared" si="10"/>
        <v>0</v>
      </c>
      <c r="G93" s="757">
        <f t="shared" si="10"/>
        <v>0</v>
      </c>
      <c r="H93" s="758">
        <f t="shared" si="13"/>
        <v>1</v>
      </c>
      <c r="I93" s="756">
        <f t="shared" si="11"/>
        <v>0.2</v>
      </c>
      <c r="J93" s="757">
        <f t="shared" si="11"/>
        <v>0.3</v>
      </c>
      <c r="K93" s="757">
        <f t="shared" si="11"/>
        <v>0.25</v>
      </c>
      <c r="L93" s="757">
        <f t="shared" si="11"/>
        <v>0.05</v>
      </c>
      <c r="M93" s="757">
        <f t="shared" si="11"/>
        <v>0.2</v>
      </c>
      <c r="N93" s="758">
        <f t="shared" si="14"/>
        <v>1</v>
      </c>
      <c r="O93" s="759"/>
      <c r="R93" s="753">
        <f t="shared" si="15"/>
        <v>1</v>
      </c>
      <c r="S93" s="754">
        <f t="shared" si="16"/>
        <v>0.71500000000000008</v>
      </c>
    </row>
    <row r="94" spans="2:19">
      <c r="B94" s="755">
        <f t="shared" si="12"/>
        <v>2076</v>
      </c>
      <c r="C94" s="756">
        <f t="shared" si="10"/>
        <v>0</v>
      </c>
      <c r="D94" s="757">
        <f t="shared" si="10"/>
        <v>0</v>
      </c>
      <c r="E94" s="757">
        <f t="shared" si="10"/>
        <v>1</v>
      </c>
      <c r="F94" s="757">
        <f t="shared" si="10"/>
        <v>0</v>
      </c>
      <c r="G94" s="757">
        <f t="shared" si="10"/>
        <v>0</v>
      </c>
      <c r="H94" s="758">
        <f t="shared" si="13"/>
        <v>1</v>
      </c>
      <c r="I94" s="756">
        <f t="shared" si="11"/>
        <v>0.2</v>
      </c>
      <c r="J94" s="757">
        <f t="shared" si="11"/>
        <v>0.3</v>
      </c>
      <c r="K94" s="757">
        <f t="shared" si="11"/>
        <v>0.25</v>
      </c>
      <c r="L94" s="757">
        <f t="shared" si="11"/>
        <v>0.05</v>
      </c>
      <c r="M94" s="757">
        <f t="shared" si="11"/>
        <v>0.2</v>
      </c>
      <c r="N94" s="758">
        <f t="shared" si="14"/>
        <v>1</v>
      </c>
      <c r="O94" s="759"/>
      <c r="R94" s="753">
        <f t="shared" si="15"/>
        <v>1</v>
      </c>
      <c r="S94" s="754">
        <f t="shared" si="16"/>
        <v>0.71500000000000008</v>
      </c>
    </row>
    <row r="95" spans="2:19">
      <c r="B95" s="755">
        <f t="shared" si="12"/>
        <v>2077</v>
      </c>
      <c r="C95" s="756">
        <f t="shared" si="10"/>
        <v>0</v>
      </c>
      <c r="D95" s="757">
        <f t="shared" si="10"/>
        <v>0</v>
      </c>
      <c r="E95" s="757">
        <f t="shared" si="10"/>
        <v>1</v>
      </c>
      <c r="F95" s="757">
        <f t="shared" si="10"/>
        <v>0</v>
      </c>
      <c r="G95" s="757">
        <f t="shared" si="10"/>
        <v>0</v>
      </c>
      <c r="H95" s="758">
        <f t="shared" si="13"/>
        <v>1</v>
      </c>
      <c r="I95" s="756">
        <f t="shared" si="11"/>
        <v>0.2</v>
      </c>
      <c r="J95" s="757">
        <f t="shared" si="11"/>
        <v>0.3</v>
      </c>
      <c r="K95" s="757">
        <f t="shared" si="11"/>
        <v>0.25</v>
      </c>
      <c r="L95" s="757">
        <f t="shared" si="11"/>
        <v>0.05</v>
      </c>
      <c r="M95" s="757">
        <f t="shared" si="11"/>
        <v>0.2</v>
      </c>
      <c r="N95" s="758">
        <f t="shared" si="14"/>
        <v>1</v>
      </c>
      <c r="O95" s="759"/>
      <c r="R95" s="753">
        <f t="shared" si="15"/>
        <v>1</v>
      </c>
      <c r="S95" s="754">
        <f t="shared" si="16"/>
        <v>0.71500000000000008</v>
      </c>
    </row>
    <row r="96" spans="2:19">
      <c r="B96" s="755">
        <f t="shared" si="12"/>
        <v>2078</v>
      </c>
      <c r="C96" s="756">
        <f t="shared" si="10"/>
        <v>0</v>
      </c>
      <c r="D96" s="757">
        <f t="shared" si="10"/>
        <v>0</v>
      </c>
      <c r="E96" s="757">
        <f t="shared" si="10"/>
        <v>1</v>
      </c>
      <c r="F96" s="757">
        <f t="shared" si="10"/>
        <v>0</v>
      </c>
      <c r="G96" s="757">
        <f t="shared" si="10"/>
        <v>0</v>
      </c>
      <c r="H96" s="758">
        <f t="shared" si="13"/>
        <v>1</v>
      </c>
      <c r="I96" s="756">
        <f t="shared" si="11"/>
        <v>0.2</v>
      </c>
      <c r="J96" s="757">
        <f t="shared" si="11"/>
        <v>0.3</v>
      </c>
      <c r="K96" s="757">
        <f t="shared" si="11"/>
        <v>0.25</v>
      </c>
      <c r="L96" s="757">
        <f t="shared" si="11"/>
        <v>0.05</v>
      </c>
      <c r="M96" s="757">
        <f t="shared" si="11"/>
        <v>0.2</v>
      </c>
      <c r="N96" s="758">
        <f t="shared" si="14"/>
        <v>1</v>
      </c>
      <c r="O96" s="759"/>
      <c r="R96" s="753">
        <f t="shared" si="15"/>
        <v>1</v>
      </c>
      <c r="S96" s="754">
        <f t="shared" si="16"/>
        <v>0.71500000000000008</v>
      </c>
    </row>
    <row r="97" spans="2:19">
      <c r="B97" s="755">
        <f t="shared" si="12"/>
        <v>2079</v>
      </c>
      <c r="C97" s="756">
        <f t="shared" si="10"/>
        <v>0</v>
      </c>
      <c r="D97" s="757">
        <f t="shared" si="10"/>
        <v>0</v>
      </c>
      <c r="E97" s="757">
        <f t="shared" si="10"/>
        <v>1</v>
      </c>
      <c r="F97" s="757">
        <f t="shared" si="10"/>
        <v>0</v>
      </c>
      <c r="G97" s="757">
        <f t="shared" si="10"/>
        <v>0</v>
      </c>
      <c r="H97" s="758">
        <f t="shared" si="13"/>
        <v>1</v>
      </c>
      <c r="I97" s="756">
        <f t="shared" si="11"/>
        <v>0.2</v>
      </c>
      <c r="J97" s="757">
        <f t="shared" si="11"/>
        <v>0.3</v>
      </c>
      <c r="K97" s="757">
        <f t="shared" si="11"/>
        <v>0.25</v>
      </c>
      <c r="L97" s="757">
        <f t="shared" si="11"/>
        <v>0.05</v>
      </c>
      <c r="M97" s="757">
        <f t="shared" si="11"/>
        <v>0.2</v>
      </c>
      <c r="N97" s="758">
        <f t="shared" si="14"/>
        <v>1</v>
      </c>
      <c r="O97" s="759"/>
      <c r="R97" s="753">
        <f t="shared" si="15"/>
        <v>1</v>
      </c>
      <c r="S97" s="754">
        <f t="shared" si="16"/>
        <v>0.71500000000000008</v>
      </c>
    </row>
    <row r="98" spans="2:19" ht="13.5" thickBot="1">
      <c r="B98" s="760">
        <f t="shared" si="12"/>
        <v>2080</v>
      </c>
      <c r="C98" s="761">
        <f t="shared" si="10"/>
        <v>0</v>
      </c>
      <c r="D98" s="762">
        <f t="shared" si="10"/>
        <v>0</v>
      </c>
      <c r="E98" s="762">
        <f t="shared" si="10"/>
        <v>1</v>
      </c>
      <c r="F98" s="762">
        <f t="shared" si="10"/>
        <v>0</v>
      </c>
      <c r="G98" s="762">
        <f t="shared" si="10"/>
        <v>0</v>
      </c>
      <c r="H98" s="763">
        <f t="shared" si="13"/>
        <v>1</v>
      </c>
      <c r="I98" s="761">
        <f t="shared" si="11"/>
        <v>0.2</v>
      </c>
      <c r="J98" s="762">
        <f t="shared" si="11"/>
        <v>0.3</v>
      </c>
      <c r="K98" s="762">
        <f t="shared" si="11"/>
        <v>0.25</v>
      </c>
      <c r="L98" s="762">
        <f t="shared" si="11"/>
        <v>0.05</v>
      </c>
      <c r="M98" s="762">
        <f t="shared" si="11"/>
        <v>0.2</v>
      </c>
      <c r="N98" s="763">
        <f t="shared" si="14"/>
        <v>1</v>
      </c>
      <c r="O98" s="764"/>
      <c r="R98" s="765">
        <f t="shared" si="15"/>
        <v>1</v>
      </c>
      <c r="S98" s="765">
        <f t="shared" si="16"/>
        <v>0.71500000000000008</v>
      </c>
    </row>
    <row r="99" spans="2:19">
      <c r="H99" s="766"/>
    </row>
    <row r="100" spans="2:19">
      <c r="H100" s="766"/>
    </row>
  </sheetData>
  <customSheetViews>
    <customSheetView guid="{B400968E-E9A7-41C3-9739-36597C9C6BC6}" showGridLines="0" showRuler="0">
      <pane xSplit="2" ySplit="14" topLeftCell="C15" activePane="bottomRight" state="frozenSplit"/>
      <selection pane="bottomRight" activeCell="H4" sqref="H4"/>
      <pageMargins left="0.7" right="0.7" top="0.75" bottom="0.75" header="0.3" footer="0.3"/>
      <headerFooter alignWithMargins="0"/>
    </customSheetView>
  </customSheetViews>
  <mergeCells count="9">
    <mergeCell ref="C15:H15"/>
    <mergeCell ref="Q2:T2"/>
    <mergeCell ref="C9:H9"/>
    <mergeCell ref="R10:R16"/>
    <mergeCell ref="H16:H17"/>
    <mergeCell ref="I9:N9"/>
    <mergeCell ref="I15:N15"/>
    <mergeCell ref="N16:N17"/>
    <mergeCell ref="S10:S16"/>
  </mergeCells>
  <phoneticPr fontId="16" type="noConversion"/>
  <dataValidations count="3">
    <dataValidation type="decimal" allowBlank="1" showInputMessage="1" showErrorMessage="1" errorTitle="Error in MCF" error="Please enter a number between 0 and 1. Guidance can be found in the 2006 IPCC Guidelines." promptTitle="MCF" prompt="Enter a fraction between 0 and 1" sqref="C13:G13 I13:M13">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8:G98 I18:M98">
      <formula1>0</formula1>
      <formula2>1</formula2>
    </dataValidation>
    <dataValidation type="list" allowBlank="1" showInputMessage="1" showErrorMessage="1" sqref="H18">
      <formula1>"""1"""</formula1>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indexed="34"/>
  </sheetPr>
  <dimension ref="B2:AD93"/>
  <sheetViews>
    <sheetView showGridLines="0" topLeftCell="A4" workbookViewId="0">
      <selection activeCell="C13" sqref="C13"/>
    </sheetView>
  </sheetViews>
  <sheetFormatPr defaultColWidth="11.42578125" defaultRowHeight="12.75"/>
  <cols>
    <col min="1" max="1" width="2.28515625" style="585" customWidth="1"/>
    <col min="2" max="2" width="6.28515625" style="585" customWidth="1"/>
    <col min="3" max="3" width="9.28515625" style="585" customWidth="1"/>
    <col min="4" max="4" width="7.42578125" style="585" customWidth="1"/>
    <col min="5" max="14" width="8" style="585" customWidth="1"/>
    <col min="15" max="16" width="8.42578125" style="585" customWidth="1"/>
    <col min="17" max="17" width="3.85546875" style="585" customWidth="1"/>
    <col min="18" max="18" width="3.42578125" style="585" customWidth="1"/>
    <col min="19" max="21" width="11.42578125" style="585" hidden="1" customWidth="1"/>
    <col min="22" max="22" width="10.28515625" style="585" hidden="1" customWidth="1"/>
    <col min="23" max="23" width="9.7109375" style="585" hidden="1" customWidth="1"/>
    <col min="24" max="24" width="9.42578125" style="585" hidden="1" customWidth="1"/>
    <col min="25" max="27" width="11.42578125" style="585" hidden="1" customWidth="1"/>
    <col min="28" max="28" width="3.42578125" style="585" customWidth="1"/>
    <col min="29" max="29" width="15" style="585" customWidth="1"/>
    <col min="30" max="30" width="10.85546875" style="585" customWidth="1"/>
    <col min="31" max="16384" width="11.42578125" style="585"/>
  </cols>
  <sheetData>
    <row r="2" spans="2:30">
      <c r="C2" s="586" t="s">
        <v>34</v>
      </c>
      <c r="S2" s="586" t="s">
        <v>300</v>
      </c>
      <c r="AC2" s="585" t="s">
        <v>6</v>
      </c>
      <c r="AD2" s="770">
        <v>0.435</v>
      </c>
    </row>
    <row r="3" spans="2:30">
      <c r="B3" s="587"/>
      <c r="C3" s="587"/>
      <c r="S3" s="587"/>
      <c r="AC3" s="585" t="s">
        <v>256</v>
      </c>
      <c r="AD3" s="770">
        <v>0.129</v>
      </c>
    </row>
    <row r="4" spans="2:30">
      <c r="B4" s="587"/>
      <c r="C4" s="587" t="s">
        <v>38</v>
      </c>
      <c r="S4" s="587" t="s">
        <v>301</v>
      </c>
      <c r="AC4" s="585" t="s">
        <v>2</v>
      </c>
      <c r="AD4" s="770">
        <v>9.9000000000000005E-2</v>
      </c>
    </row>
    <row r="5" spans="2:30">
      <c r="B5" s="587"/>
      <c r="C5" s="587"/>
      <c r="S5" s="587" t="s">
        <v>38</v>
      </c>
      <c r="AC5" s="585" t="s">
        <v>16</v>
      </c>
      <c r="AD5" s="770">
        <v>2.7E-2</v>
      </c>
    </row>
    <row r="6" spans="2:30">
      <c r="B6" s="587"/>
      <c r="S6" s="587"/>
      <c r="AC6" s="585" t="s">
        <v>331</v>
      </c>
      <c r="AD6" s="770">
        <v>8.9999999999999993E-3</v>
      </c>
    </row>
    <row r="7" spans="2:30" ht="13.5" thickBot="1">
      <c r="B7" s="587"/>
      <c r="C7" s="588"/>
      <c r="S7" s="587"/>
      <c r="AC7" s="585" t="s">
        <v>332</v>
      </c>
      <c r="AD7" s="770">
        <v>7.1999999999999995E-2</v>
      </c>
    </row>
    <row r="8" spans="2:30" ht="13.5" thickBot="1">
      <c r="B8" s="587"/>
      <c r="D8" s="589">
        <v>6.2100000000000002E-2</v>
      </c>
      <c r="E8" s="590">
        <f>AD2</f>
        <v>0.435</v>
      </c>
      <c r="F8" s="591">
        <f>AD3</f>
        <v>0.129</v>
      </c>
      <c r="G8" s="591">
        <v>0</v>
      </c>
      <c r="H8" s="591">
        <v>0</v>
      </c>
      <c r="I8" s="591">
        <f>AD4</f>
        <v>9.9000000000000005E-2</v>
      </c>
      <c r="J8" s="591">
        <f>AD5</f>
        <v>2.7E-2</v>
      </c>
      <c r="K8" s="591">
        <f>AD6</f>
        <v>8.9999999999999993E-3</v>
      </c>
      <c r="L8" s="591">
        <f>AD7</f>
        <v>7.1999999999999995E-2</v>
      </c>
      <c r="M8" s="591">
        <f>AD8</f>
        <v>3.3000000000000002E-2</v>
      </c>
      <c r="N8" s="591">
        <f>AD9</f>
        <v>0.04</v>
      </c>
      <c r="O8" s="591">
        <f>AD10</f>
        <v>0.156</v>
      </c>
      <c r="P8" s="592">
        <f>SUM(E8:O8)</f>
        <v>1</v>
      </c>
      <c r="S8" s="587"/>
      <c r="T8" s="587"/>
      <c r="AC8" s="585" t="s">
        <v>231</v>
      </c>
      <c r="AD8" s="770">
        <v>3.3000000000000002E-2</v>
      </c>
    </row>
    <row r="9" spans="2:30" ht="13.5" thickBot="1">
      <c r="B9" s="593"/>
      <c r="C9" s="594"/>
      <c r="D9" s="595"/>
      <c r="E9" s="932" t="s">
        <v>41</v>
      </c>
      <c r="F9" s="933"/>
      <c r="G9" s="933"/>
      <c r="H9" s="933"/>
      <c r="I9" s="933"/>
      <c r="J9" s="933"/>
      <c r="K9" s="933"/>
      <c r="L9" s="933"/>
      <c r="M9" s="933"/>
      <c r="N9" s="933"/>
      <c r="O9" s="933"/>
      <c r="P9" s="596"/>
      <c r="AC9" s="585" t="s">
        <v>232</v>
      </c>
      <c r="AD9" s="770">
        <v>0.04</v>
      </c>
    </row>
    <row r="10" spans="2:30" ht="21.75" customHeight="1" thickBot="1">
      <c r="B10" s="930" t="s">
        <v>1</v>
      </c>
      <c r="C10" s="930" t="s">
        <v>33</v>
      </c>
      <c r="D10" s="930" t="s">
        <v>40</v>
      </c>
      <c r="E10" s="930" t="s">
        <v>228</v>
      </c>
      <c r="F10" s="930" t="s">
        <v>271</v>
      </c>
      <c r="G10" s="922" t="s">
        <v>267</v>
      </c>
      <c r="H10" s="930" t="s">
        <v>270</v>
      </c>
      <c r="I10" s="922" t="s">
        <v>2</v>
      </c>
      <c r="J10" s="930" t="s">
        <v>16</v>
      </c>
      <c r="K10" s="922" t="s">
        <v>229</v>
      </c>
      <c r="L10" s="919" t="s">
        <v>273</v>
      </c>
      <c r="M10" s="920"/>
      <c r="N10" s="920"/>
      <c r="O10" s="921"/>
      <c r="P10" s="930" t="s">
        <v>27</v>
      </c>
      <c r="AC10" s="585" t="s">
        <v>233</v>
      </c>
      <c r="AD10" s="770">
        <v>0.156</v>
      </c>
    </row>
    <row r="11" spans="2:30" s="598" customFormat="1" ht="42" customHeight="1" thickBot="1">
      <c r="B11" s="931"/>
      <c r="C11" s="931"/>
      <c r="D11" s="931"/>
      <c r="E11" s="931"/>
      <c r="F11" s="931"/>
      <c r="G11" s="924"/>
      <c r="H11" s="931"/>
      <c r="I11" s="924"/>
      <c r="J11" s="931"/>
      <c r="K11" s="924"/>
      <c r="L11" s="597" t="s">
        <v>230</v>
      </c>
      <c r="M11" s="597" t="s">
        <v>231</v>
      </c>
      <c r="N11" s="597" t="s">
        <v>232</v>
      </c>
      <c r="O11" s="597" t="s">
        <v>233</v>
      </c>
      <c r="P11" s="931"/>
      <c r="S11" s="364" t="s">
        <v>1</v>
      </c>
      <c r="T11" s="368" t="s">
        <v>302</v>
      </c>
      <c r="U11" s="364" t="s">
        <v>303</v>
      </c>
      <c r="V11" s="368" t="s">
        <v>304</v>
      </c>
      <c r="W11" s="364" t="s">
        <v>40</v>
      </c>
      <c r="X11" s="368" t="s">
        <v>305</v>
      </c>
    </row>
    <row r="12" spans="2:30" s="605" customFormat="1" ht="26.25" thickBot="1">
      <c r="B12" s="599"/>
      <c r="C12" s="600" t="s">
        <v>15</v>
      </c>
      <c r="D12" s="600" t="s">
        <v>24</v>
      </c>
      <c r="E12" s="601" t="s">
        <v>24</v>
      </c>
      <c r="F12" s="602" t="s">
        <v>24</v>
      </c>
      <c r="G12" s="602" t="s">
        <v>24</v>
      </c>
      <c r="H12" s="602" t="s">
        <v>24</v>
      </c>
      <c r="I12" s="602" t="s">
        <v>24</v>
      </c>
      <c r="J12" s="602" t="s">
        <v>24</v>
      </c>
      <c r="K12" s="602" t="s">
        <v>24</v>
      </c>
      <c r="L12" s="602" t="s">
        <v>24</v>
      </c>
      <c r="M12" s="602" t="s">
        <v>24</v>
      </c>
      <c r="N12" s="602" t="s">
        <v>24</v>
      </c>
      <c r="O12" s="603" t="s">
        <v>24</v>
      </c>
      <c r="P12" s="604" t="s">
        <v>39</v>
      </c>
      <c r="S12" s="606"/>
      <c r="T12" s="607" t="s">
        <v>306</v>
      </c>
      <c r="U12" s="606" t="s">
        <v>307</v>
      </c>
      <c r="V12" s="607" t="s">
        <v>15</v>
      </c>
      <c r="W12" s="608" t="s">
        <v>24</v>
      </c>
      <c r="X12" s="607" t="s">
        <v>15</v>
      </c>
    </row>
    <row r="13" spans="2:30">
      <c r="B13" s="609">
        <f>year</f>
        <v>2000</v>
      </c>
      <c r="C13" s="610">
        <f>'[2]Fraksi pengelolaan sampah BaU'!B30</f>
        <v>28.291980486</v>
      </c>
      <c r="D13" s="611">
        <v>1</v>
      </c>
      <c r="E13" s="612">
        <f t="shared" ref="E13:O28" si="0">E$8</f>
        <v>0.435</v>
      </c>
      <c r="F13" s="612">
        <f t="shared" si="0"/>
        <v>0.129</v>
      </c>
      <c r="G13" s="612">
        <f t="shared" si="0"/>
        <v>0</v>
      </c>
      <c r="H13" s="612">
        <f t="shared" si="0"/>
        <v>0</v>
      </c>
      <c r="I13" s="612">
        <f t="shared" si="0"/>
        <v>9.9000000000000005E-2</v>
      </c>
      <c r="J13" s="612">
        <f t="shared" si="0"/>
        <v>2.7E-2</v>
      </c>
      <c r="K13" s="612">
        <f t="shared" si="0"/>
        <v>8.9999999999999993E-3</v>
      </c>
      <c r="L13" s="612">
        <f t="shared" si="0"/>
        <v>7.1999999999999995E-2</v>
      </c>
      <c r="M13" s="612">
        <f t="shared" si="0"/>
        <v>3.3000000000000002E-2</v>
      </c>
      <c r="N13" s="612">
        <f t="shared" si="0"/>
        <v>0.04</v>
      </c>
      <c r="O13" s="612">
        <f t="shared" si="0"/>
        <v>0.156</v>
      </c>
      <c r="P13" s="613">
        <f t="shared" ref="P13:P44" si="1">SUM(E13:O13)</f>
        <v>1</v>
      </c>
      <c r="S13" s="609">
        <f>year</f>
        <v>2000</v>
      </c>
      <c r="T13" s="614">
        <v>0</v>
      </c>
      <c r="U13" s="614">
        <v>5</v>
      </c>
      <c r="V13" s="615">
        <f>T13*U13</f>
        <v>0</v>
      </c>
      <c r="W13" s="616">
        <v>1</v>
      </c>
      <c r="X13" s="617">
        <f t="shared" ref="X13:X44" si="2">V13*W13</f>
        <v>0</v>
      </c>
    </row>
    <row r="14" spans="2:30">
      <c r="B14" s="618">
        <f t="shared" ref="B14:B45" si="3">B13+1</f>
        <v>2001</v>
      </c>
      <c r="C14" s="610">
        <f>'[2]Fraksi pengelolaan sampah BaU'!B31</f>
        <v>28.654433389999994</v>
      </c>
      <c r="D14" s="611">
        <v>1</v>
      </c>
      <c r="E14" s="612">
        <f t="shared" si="0"/>
        <v>0.435</v>
      </c>
      <c r="F14" s="612">
        <f t="shared" si="0"/>
        <v>0.129</v>
      </c>
      <c r="G14" s="612">
        <f t="shared" si="0"/>
        <v>0</v>
      </c>
      <c r="H14" s="612">
        <f t="shared" si="0"/>
        <v>0</v>
      </c>
      <c r="I14" s="612">
        <f t="shared" si="0"/>
        <v>9.9000000000000005E-2</v>
      </c>
      <c r="J14" s="612">
        <f t="shared" si="0"/>
        <v>2.7E-2</v>
      </c>
      <c r="K14" s="612">
        <f t="shared" si="0"/>
        <v>8.9999999999999993E-3</v>
      </c>
      <c r="L14" s="612">
        <f t="shared" si="0"/>
        <v>7.1999999999999995E-2</v>
      </c>
      <c r="M14" s="612">
        <f t="shared" si="0"/>
        <v>3.3000000000000002E-2</v>
      </c>
      <c r="N14" s="612">
        <f t="shared" si="0"/>
        <v>0.04</v>
      </c>
      <c r="O14" s="612">
        <f t="shared" si="0"/>
        <v>0.156</v>
      </c>
      <c r="P14" s="619">
        <f t="shared" si="1"/>
        <v>1</v>
      </c>
      <c r="S14" s="618">
        <f t="shared" ref="S14:S77" si="4">S13+1</f>
        <v>2001</v>
      </c>
      <c r="T14" s="620">
        <v>0</v>
      </c>
      <c r="U14" s="620">
        <v>5</v>
      </c>
      <c r="V14" s="621">
        <f>T14*U14</f>
        <v>0</v>
      </c>
      <c r="W14" s="622">
        <v>1</v>
      </c>
      <c r="X14" s="623">
        <f t="shared" si="2"/>
        <v>0</v>
      </c>
    </row>
    <row r="15" spans="2:30">
      <c r="B15" s="618">
        <f t="shared" si="3"/>
        <v>2002</v>
      </c>
      <c r="C15" s="610">
        <f>'[2]Fraksi pengelolaan sampah BaU'!B32</f>
        <v>29.300130859999999</v>
      </c>
      <c r="D15" s="611">
        <v>1</v>
      </c>
      <c r="E15" s="612">
        <f t="shared" si="0"/>
        <v>0.435</v>
      </c>
      <c r="F15" s="612">
        <f t="shared" si="0"/>
        <v>0.129</v>
      </c>
      <c r="G15" s="612">
        <f t="shared" si="0"/>
        <v>0</v>
      </c>
      <c r="H15" s="612">
        <f t="shared" si="0"/>
        <v>0</v>
      </c>
      <c r="I15" s="612">
        <f t="shared" si="0"/>
        <v>9.9000000000000005E-2</v>
      </c>
      <c r="J15" s="612">
        <f t="shared" si="0"/>
        <v>2.7E-2</v>
      </c>
      <c r="K15" s="612">
        <f t="shared" si="0"/>
        <v>8.9999999999999993E-3</v>
      </c>
      <c r="L15" s="612">
        <f t="shared" si="0"/>
        <v>7.1999999999999995E-2</v>
      </c>
      <c r="M15" s="612">
        <f t="shared" si="0"/>
        <v>3.3000000000000002E-2</v>
      </c>
      <c r="N15" s="612">
        <f t="shared" si="0"/>
        <v>0.04</v>
      </c>
      <c r="O15" s="612">
        <f t="shared" si="0"/>
        <v>0.156</v>
      </c>
      <c r="P15" s="619">
        <f t="shared" si="1"/>
        <v>1</v>
      </c>
      <c r="S15" s="618">
        <f t="shared" si="4"/>
        <v>2002</v>
      </c>
      <c r="T15" s="620">
        <v>0</v>
      </c>
      <c r="U15" s="620">
        <v>5</v>
      </c>
      <c r="V15" s="621">
        <f t="shared" ref="V15:V78" si="5">T15*U15</f>
        <v>0</v>
      </c>
      <c r="W15" s="622">
        <v>1</v>
      </c>
      <c r="X15" s="623">
        <f t="shared" si="2"/>
        <v>0</v>
      </c>
    </row>
    <row r="16" spans="2:30">
      <c r="B16" s="618">
        <f t="shared" si="3"/>
        <v>2003</v>
      </c>
      <c r="C16" s="610">
        <f>'[2]Fraksi pengelolaan sampah BaU'!B33</f>
        <v>29.820930898</v>
      </c>
      <c r="D16" s="611">
        <v>1</v>
      </c>
      <c r="E16" s="612">
        <f t="shared" si="0"/>
        <v>0.435</v>
      </c>
      <c r="F16" s="612">
        <f t="shared" si="0"/>
        <v>0.129</v>
      </c>
      <c r="G16" s="612">
        <f t="shared" si="0"/>
        <v>0</v>
      </c>
      <c r="H16" s="612">
        <f t="shared" si="0"/>
        <v>0</v>
      </c>
      <c r="I16" s="612">
        <f t="shared" si="0"/>
        <v>9.9000000000000005E-2</v>
      </c>
      <c r="J16" s="612">
        <f t="shared" si="0"/>
        <v>2.7E-2</v>
      </c>
      <c r="K16" s="612">
        <f t="shared" si="0"/>
        <v>8.9999999999999993E-3</v>
      </c>
      <c r="L16" s="612">
        <f t="shared" si="0"/>
        <v>7.1999999999999995E-2</v>
      </c>
      <c r="M16" s="612">
        <f t="shared" si="0"/>
        <v>3.3000000000000002E-2</v>
      </c>
      <c r="N16" s="612">
        <f t="shared" si="0"/>
        <v>0.04</v>
      </c>
      <c r="O16" s="612">
        <f t="shared" si="0"/>
        <v>0.156</v>
      </c>
      <c r="P16" s="619">
        <f t="shared" si="1"/>
        <v>1</v>
      </c>
      <c r="S16" s="618">
        <f t="shared" si="4"/>
        <v>2003</v>
      </c>
      <c r="T16" s="620">
        <v>0</v>
      </c>
      <c r="U16" s="620">
        <v>5</v>
      </c>
      <c r="V16" s="621">
        <f t="shared" si="5"/>
        <v>0</v>
      </c>
      <c r="W16" s="622">
        <v>1</v>
      </c>
      <c r="X16" s="623">
        <f t="shared" si="2"/>
        <v>0</v>
      </c>
    </row>
    <row r="17" spans="2:24">
      <c r="B17" s="618">
        <f t="shared" si="3"/>
        <v>2004</v>
      </c>
      <c r="C17" s="610">
        <f>'[2]Fraksi pengelolaan sampah BaU'!B34</f>
        <v>29.980460246</v>
      </c>
      <c r="D17" s="611">
        <v>1</v>
      </c>
      <c r="E17" s="612">
        <f t="shared" si="0"/>
        <v>0.435</v>
      </c>
      <c r="F17" s="612">
        <f t="shared" si="0"/>
        <v>0.129</v>
      </c>
      <c r="G17" s="612">
        <f t="shared" si="0"/>
        <v>0</v>
      </c>
      <c r="H17" s="612">
        <f t="shared" si="0"/>
        <v>0</v>
      </c>
      <c r="I17" s="612">
        <f t="shared" si="0"/>
        <v>9.9000000000000005E-2</v>
      </c>
      <c r="J17" s="612">
        <f t="shared" si="0"/>
        <v>2.7E-2</v>
      </c>
      <c r="K17" s="612">
        <f t="shared" si="0"/>
        <v>8.9999999999999993E-3</v>
      </c>
      <c r="L17" s="612">
        <f t="shared" si="0"/>
        <v>7.1999999999999995E-2</v>
      </c>
      <c r="M17" s="612">
        <f t="shared" si="0"/>
        <v>3.3000000000000002E-2</v>
      </c>
      <c r="N17" s="612">
        <f t="shared" si="0"/>
        <v>0.04</v>
      </c>
      <c r="O17" s="612">
        <f t="shared" si="0"/>
        <v>0.156</v>
      </c>
      <c r="P17" s="619">
        <f t="shared" si="1"/>
        <v>1</v>
      </c>
      <c r="S17" s="618">
        <f t="shared" si="4"/>
        <v>2004</v>
      </c>
      <c r="T17" s="620">
        <v>0</v>
      </c>
      <c r="U17" s="620">
        <v>5</v>
      </c>
      <c r="V17" s="621">
        <f t="shared" si="5"/>
        <v>0</v>
      </c>
      <c r="W17" s="622">
        <v>1</v>
      </c>
      <c r="X17" s="623">
        <f t="shared" si="2"/>
        <v>0</v>
      </c>
    </row>
    <row r="18" spans="2:24">
      <c r="B18" s="618">
        <f t="shared" si="3"/>
        <v>2005</v>
      </c>
      <c r="C18" s="610">
        <f>'[2]Fraksi pengelolaan sampah BaU'!B35</f>
        <v>33.208391259999999</v>
      </c>
      <c r="D18" s="611">
        <v>1</v>
      </c>
      <c r="E18" s="612">
        <f t="shared" si="0"/>
        <v>0.435</v>
      </c>
      <c r="F18" s="612">
        <f t="shared" si="0"/>
        <v>0.129</v>
      </c>
      <c r="G18" s="612">
        <f t="shared" si="0"/>
        <v>0</v>
      </c>
      <c r="H18" s="612">
        <f t="shared" si="0"/>
        <v>0</v>
      </c>
      <c r="I18" s="612">
        <f t="shared" si="0"/>
        <v>9.9000000000000005E-2</v>
      </c>
      <c r="J18" s="612">
        <f t="shared" si="0"/>
        <v>2.7E-2</v>
      </c>
      <c r="K18" s="612">
        <f t="shared" si="0"/>
        <v>8.9999999999999993E-3</v>
      </c>
      <c r="L18" s="612">
        <f t="shared" si="0"/>
        <v>7.1999999999999995E-2</v>
      </c>
      <c r="M18" s="612">
        <f t="shared" si="0"/>
        <v>3.3000000000000002E-2</v>
      </c>
      <c r="N18" s="612">
        <f t="shared" si="0"/>
        <v>0.04</v>
      </c>
      <c r="O18" s="612">
        <f t="shared" si="0"/>
        <v>0.156</v>
      </c>
      <c r="P18" s="619">
        <f t="shared" si="1"/>
        <v>1</v>
      </c>
      <c r="S18" s="618">
        <f t="shared" si="4"/>
        <v>2005</v>
      </c>
      <c r="T18" s="620">
        <v>0</v>
      </c>
      <c r="U18" s="620">
        <v>5</v>
      </c>
      <c r="V18" s="621">
        <f t="shared" si="5"/>
        <v>0</v>
      </c>
      <c r="W18" s="622">
        <v>1</v>
      </c>
      <c r="X18" s="623">
        <f t="shared" si="2"/>
        <v>0</v>
      </c>
    </row>
    <row r="19" spans="2:24">
      <c r="B19" s="618">
        <f t="shared" si="3"/>
        <v>2006</v>
      </c>
      <c r="C19" s="610">
        <f>'[2]Fraksi pengelolaan sampah BaU'!B36</f>
        <v>33.891502326000001</v>
      </c>
      <c r="D19" s="611">
        <v>1</v>
      </c>
      <c r="E19" s="612">
        <f t="shared" si="0"/>
        <v>0.435</v>
      </c>
      <c r="F19" s="612">
        <f t="shared" si="0"/>
        <v>0.129</v>
      </c>
      <c r="G19" s="612">
        <f t="shared" si="0"/>
        <v>0</v>
      </c>
      <c r="H19" s="612">
        <f t="shared" si="0"/>
        <v>0</v>
      </c>
      <c r="I19" s="612">
        <f t="shared" si="0"/>
        <v>9.9000000000000005E-2</v>
      </c>
      <c r="J19" s="612">
        <f t="shared" si="0"/>
        <v>2.7E-2</v>
      </c>
      <c r="K19" s="612">
        <f t="shared" si="0"/>
        <v>8.9999999999999993E-3</v>
      </c>
      <c r="L19" s="612">
        <f t="shared" si="0"/>
        <v>7.1999999999999995E-2</v>
      </c>
      <c r="M19" s="612">
        <f t="shared" si="0"/>
        <v>3.3000000000000002E-2</v>
      </c>
      <c r="N19" s="612">
        <f t="shared" si="0"/>
        <v>0.04</v>
      </c>
      <c r="O19" s="612">
        <f t="shared" si="0"/>
        <v>0.156</v>
      </c>
      <c r="P19" s="619">
        <f t="shared" si="1"/>
        <v>1</v>
      </c>
      <c r="S19" s="618">
        <f t="shared" si="4"/>
        <v>2006</v>
      </c>
      <c r="T19" s="620">
        <v>0</v>
      </c>
      <c r="U19" s="620">
        <v>5</v>
      </c>
      <c r="V19" s="621">
        <f t="shared" si="5"/>
        <v>0</v>
      </c>
      <c r="W19" s="622">
        <v>1</v>
      </c>
      <c r="X19" s="623">
        <f t="shared" si="2"/>
        <v>0</v>
      </c>
    </row>
    <row r="20" spans="2:24">
      <c r="B20" s="618">
        <f t="shared" si="3"/>
        <v>2007</v>
      </c>
      <c r="C20" s="610">
        <f>'[2]Fraksi pengelolaan sampah BaU'!B37</f>
        <v>34.574057056000001</v>
      </c>
      <c r="D20" s="611">
        <v>1</v>
      </c>
      <c r="E20" s="612">
        <f t="shared" si="0"/>
        <v>0.435</v>
      </c>
      <c r="F20" s="612">
        <f t="shared" si="0"/>
        <v>0.129</v>
      </c>
      <c r="G20" s="612">
        <f t="shared" si="0"/>
        <v>0</v>
      </c>
      <c r="H20" s="612">
        <f t="shared" si="0"/>
        <v>0</v>
      </c>
      <c r="I20" s="612">
        <f t="shared" si="0"/>
        <v>9.9000000000000005E-2</v>
      </c>
      <c r="J20" s="612">
        <f t="shared" si="0"/>
        <v>2.7E-2</v>
      </c>
      <c r="K20" s="612">
        <f t="shared" si="0"/>
        <v>8.9999999999999993E-3</v>
      </c>
      <c r="L20" s="612">
        <f t="shared" si="0"/>
        <v>7.1999999999999995E-2</v>
      </c>
      <c r="M20" s="612">
        <f t="shared" si="0"/>
        <v>3.3000000000000002E-2</v>
      </c>
      <c r="N20" s="612">
        <f t="shared" si="0"/>
        <v>0.04</v>
      </c>
      <c r="O20" s="612">
        <f t="shared" si="0"/>
        <v>0.156</v>
      </c>
      <c r="P20" s="619">
        <f t="shared" si="1"/>
        <v>1</v>
      </c>
      <c r="S20" s="618">
        <f t="shared" si="4"/>
        <v>2007</v>
      </c>
      <c r="T20" s="620">
        <v>0</v>
      </c>
      <c r="U20" s="620">
        <v>5</v>
      </c>
      <c r="V20" s="621">
        <f t="shared" si="5"/>
        <v>0</v>
      </c>
      <c r="W20" s="622">
        <v>1</v>
      </c>
      <c r="X20" s="623">
        <f t="shared" si="2"/>
        <v>0</v>
      </c>
    </row>
    <row r="21" spans="2:24">
      <c r="B21" s="618">
        <f t="shared" si="3"/>
        <v>2008</v>
      </c>
      <c r="C21" s="610">
        <f>'[2]Fraksi pengelolaan sampah BaU'!B38</f>
        <v>35.251882930000001</v>
      </c>
      <c r="D21" s="611">
        <v>1</v>
      </c>
      <c r="E21" s="612">
        <f>E$8</f>
        <v>0.435</v>
      </c>
      <c r="F21" s="612">
        <f t="shared" si="0"/>
        <v>0.129</v>
      </c>
      <c r="G21" s="612">
        <f t="shared" si="0"/>
        <v>0</v>
      </c>
      <c r="H21" s="612">
        <f t="shared" si="0"/>
        <v>0</v>
      </c>
      <c r="I21" s="612">
        <f t="shared" si="0"/>
        <v>9.9000000000000005E-2</v>
      </c>
      <c r="J21" s="612">
        <f t="shared" si="0"/>
        <v>2.7E-2</v>
      </c>
      <c r="K21" s="612">
        <f t="shared" si="0"/>
        <v>8.9999999999999993E-3</v>
      </c>
      <c r="L21" s="612">
        <f t="shared" si="0"/>
        <v>7.1999999999999995E-2</v>
      </c>
      <c r="M21" s="612">
        <f t="shared" si="0"/>
        <v>3.3000000000000002E-2</v>
      </c>
      <c r="N21" s="612">
        <f t="shared" si="0"/>
        <v>0.04</v>
      </c>
      <c r="O21" s="612">
        <f t="shared" si="0"/>
        <v>0.156</v>
      </c>
      <c r="P21" s="619">
        <f t="shared" si="1"/>
        <v>1</v>
      </c>
      <c r="S21" s="618">
        <f t="shared" si="4"/>
        <v>2008</v>
      </c>
      <c r="T21" s="620">
        <v>0</v>
      </c>
      <c r="U21" s="620">
        <v>5</v>
      </c>
      <c r="V21" s="621">
        <f t="shared" si="5"/>
        <v>0</v>
      </c>
      <c r="W21" s="622">
        <v>1</v>
      </c>
      <c r="X21" s="623">
        <f t="shared" si="2"/>
        <v>0</v>
      </c>
    </row>
    <row r="22" spans="2:24">
      <c r="B22" s="618">
        <f t="shared" si="3"/>
        <v>2009</v>
      </c>
      <c r="C22" s="610">
        <f>'[2]Fraksi pengelolaan sampah BaU'!B39</f>
        <v>35.919972924</v>
      </c>
      <c r="D22" s="611">
        <v>1</v>
      </c>
      <c r="E22" s="612">
        <f t="shared" si="0"/>
        <v>0.435</v>
      </c>
      <c r="F22" s="612">
        <f t="shared" si="0"/>
        <v>0.129</v>
      </c>
      <c r="G22" s="612">
        <f t="shared" si="0"/>
        <v>0</v>
      </c>
      <c r="H22" s="612">
        <f t="shared" si="0"/>
        <v>0</v>
      </c>
      <c r="I22" s="612">
        <f t="shared" si="0"/>
        <v>9.9000000000000005E-2</v>
      </c>
      <c r="J22" s="612">
        <f t="shared" si="0"/>
        <v>2.7E-2</v>
      </c>
      <c r="K22" s="612">
        <f t="shared" si="0"/>
        <v>8.9999999999999993E-3</v>
      </c>
      <c r="L22" s="612">
        <f t="shared" si="0"/>
        <v>7.1999999999999995E-2</v>
      </c>
      <c r="M22" s="612">
        <f t="shared" si="0"/>
        <v>3.3000000000000002E-2</v>
      </c>
      <c r="N22" s="612">
        <f t="shared" si="0"/>
        <v>0.04</v>
      </c>
      <c r="O22" s="612">
        <f t="shared" si="0"/>
        <v>0.156</v>
      </c>
      <c r="P22" s="619">
        <f t="shared" si="1"/>
        <v>1</v>
      </c>
      <c r="S22" s="618">
        <f t="shared" si="4"/>
        <v>2009</v>
      </c>
      <c r="T22" s="620">
        <v>0</v>
      </c>
      <c r="U22" s="620">
        <v>5</v>
      </c>
      <c r="V22" s="621">
        <f t="shared" si="5"/>
        <v>0</v>
      </c>
      <c r="W22" s="622">
        <v>1</v>
      </c>
      <c r="X22" s="623">
        <f t="shared" si="2"/>
        <v>0</v>
      </c>
    </row>
    <row r="23" spans="2:24">
      <c r="B23" s="618">
        <f t="shared" si="3"/>
        <v>2010</v>
      </c>
      <c r="C23" s="610">
        <f>'[2]Fraksi pengelolaan sampah BaU'!B40</f>
        <v>38.775158818000001</v>
      </c>
      <c r="D23" s="611">
        <v>1</v>
      </c>
      <c r="E23" s="612">
        <f t="shared" ref="E23:O38" si="6">E$8</f>
        <v>0.435</v>
      </c>
      <c r="F23" s="612">
        <f t="shared" si="6"/>
        <v>0.129</v>
      </c>
      <c r="G23" s="612">
        <f t="shared" si="0"/>
        <v>0</v>
      </c>
      <c r="H23" s="612">
        <f t="shared" si="6"/>
        <v>0</v>
      </c>
      <c r="I23" s="612">
        <f t="shared" si="0"/>
        <v>9.9000000000000005E-2</v>
      </c>
      <c r="J23" s="612">
        <f t="shared" si="6"/>
        <v>2.7E-2</v>
      </c>
      <c r="K23" s="612">
        <f t="shared" si="6"/>
        <v>8.9999999999999993E-3</v>
      </c>
      <c r="L23" s="612">
        <f t="shared" si="6"/>
        <v>7.1999999999999995E-2</v>
      </c>
      <c r="M23" s="612">
        <f t="shared" si="6"/>
        <v>3.3000000000000002E-2</v>
      </c>
      <c r="N23" s="612">
        <f t="shared" si="6"/>
        <v>0.04</v>
      </c>
      <c r="O23" s="612">
        <f t="shared" si="6"/>
        <v>0.156</v>
      </c>
      <c r="P23" s="619">
        <f t="shared" si="1"/>
        <v>1</v>
      </c>
      <c r="S23" s="618">
        <f t="shared" si="4"/>
        <v>2010</v>
      </c>
      <c r="T23" s="620">
        <v>0</v>
      </c>
      <c r="U23" s="620">
        <v>5</v>
      </c>
      <c r="V23" s="621">
        <f t="shared" si="5"/>
        <v>0</v>
      </c>
      <c r="W23" s="622">
        <v>1</v>
      </c>
      <c r="X23" s="623">
        <f t="shared" si="2"/>
        <v>0</v>
      </c>
    </row>
    <row r="24" spans="2:24">
      <c r="B24" s="618">
        <f t="shared" si="3"/>
        <v>2011</v>
      </c>
      <c r="C24" s="610">
        <f>'[3]Fraksi pengelolaan sampah BaU'!B29</f>
        <v>39.790819727999995</v>
      </c>
      <c r="D24" s="611">
        <v>1</v>
      </c>
      <c r="E24" s="612">
        <f t="shared" si="6"/>
        <v>0.435</v>
      </c>
      <c r="F24" s="612">
        <f t="shared" si="6"/>
        <v>0.129</v>
      </c>
      <c r="G24" s="612">
        <f t="shared" si="0"/>
        <v>0</v>
      </c>
      <c r="H24" s="612">
        <f t="shared" si="6"/>
        <v>0</v>
      </c>
      <c r="I24" s="612">
        <f t="shared" si="0"/>
        <v>9.9000000000000005E-2</v>
      </c>
      <c r="J24" s="612">
        <f t="shared" si="6"/>
        <v>2.7E-2</v>
      </c>
      <c r="K24" s="612">
        <f t="shared" si="6"/>
        <v>8.9999999999999993E-3</v>
      </c>
      <c r="L24" s="612">
        <f t="shared" si="6"/>
        <v>7.1999999999999995E-2</v>
      </c>
      <c r="M24" s="612">
        <f t="shared" si="6"/>
        <v>3.3000000000000002E-2</v>
      </c>
      <c r="N24" s="612">
        <f t="shared" si="6"/>
        <v>0.04</v>
      </c>
      <c r="O24" s="612">
        <f t="shared" si="6"/>
        <v>0.156</v>
      </c>
      <c r="P24" s="619">
        <f t="shared" si="1"/>
        <v>1</v>
      </c>
      <c r="S24" s="618">
        <f t="shared" si="4"/>
        <v>2011</v>
      </c>
      <c r="T24" s="620">
        <v>0</v>
      </c>
      <c r="U24" s="620">
        <v>5</v>
      </c>
      <c r="V24" s="621">
        <f t="shared" si="5"/>
        <v>0</v>
      </c>
      <c r="W24" s="622">
        <v>1</v>
      </c>
      <c r="X24" s="623">
        <f t="shared" si="2"/>
        <v>0</v>
      </c>
    </row>
    <row r="25" spans="2:24">
      <c r="B25" s="618">
        <f t="shared" si="3"/>
        <v>2012</v>
      </c>
      <c r="C25" s="610">
        <f>'[3]Fraksi pengelolaan sampah BaU'!B30</f>
        <v>40.561901423999998</v>
      </c>
      <c r="D25" s="611">
        <v>1</v>
      </c>
      <c r="E25" s="612">
        <f t="shared" si="6"/>
        <v>0.435</v>
      </c>
      <c r="F25" s="612">
        <f t="shared" si="6"/>
        <v>0.129</v>
      </c>
      <c r="G25" s="612">
        <f t="shared" si="0"/>
        <v>0</v>
      </c>
      <c r="H25" s="612">
        <f t="shared" si="6"/>
        <v>0</v>
      </c>
      <c r="I25" s="612">
        <f t="shared" si="0"/>
        <v>9.9000000000000005E-2</v>
      </c>
      <c r="J25" s="612">
        <f t="shared" si="6"/>
        <v>2.7E-2</v>
      </c>
      <c r="K25" s="612">
        <f t="shared" si="6"/>
        <v>8.9999999999999993E-3</v>
      </c>
      <c r="L25" s="612">
        <f t="shared" si="6"/>
        <v>7.1999999999999995E-2</v>
      </c>
      <c r="M25" s="612">
        <f t="shared" si="6"/>
        <v>3.3000000000000002E-2</v>
      </c>
      <c r="N25" s="612">
        <f t="shared" si="6"/>
        <v>0.04</v>
      </c>
      <c r="O25" s="612">
        <f t="shared" si="6"/>
        <v>0.156</v>
      </c>
      <c r="P25" s="619">
        <f t="shared" si="1"/>
        <v>1</v>
      </c>
      <c r="S25" s="618">
        <f t="shared" si="4"/>
        <v>2012</v>
      </c>
      <c r="T25" s="620">
        <v>0</v>
      </c>
      <c r="U25" s="620">
        <v>5</v>
      </c>
      <c r="V25" s="621">
        <f t="shared" si="5"/>
        <v>0</v>
      </c>
      <c r="W25" s="622">
        <v>1</v>
      </c>
      <c r="X25" s="623">
        <f t="shared" si="2"/>
        <v>0</v>
      </c>
    </row>
    <row r="26" spans="2:24">
      <c r="B26" s="618">
        <f t="shared" si="3"/>
        <v>2013</v>
      </c>
      <c r="C26" s="610">
        <f>'[3]Fraksi pengelolaan sampah BaU'!B31</f>
        <v>41.330340523999993</v>
      </c>
      <c r="D26" s="611">
        <v>1</v>
      </c>
      <c r="E26" s="612">
        <f t="shared" si="6"/>
        <v>0.435</v>
      </c>
      <c r="F26" s="612">
        <f t="shared" si="6"/>
        <v>0.129</v>
      </c>
      <c r="G26" s="612">
        <f t="shared" si="0"/>
        <v>0</v>
      </c>
      <c r="H26" s="612">
        <f t="shared" si="6"/>
        <v>0</v>
      </c>
      <c r="I26" s="612">
        <f t="shared" si="0"/>
        <v>9.9000000000000005E-2</v>
      </c>
      <c r="J26" s="612">
        <f t="shared" si="6"/>
        <v>2.7E-2</v>
      </c>
      <c r="K26" s="612">
        <f t="shared" si="6"/>
        <v>8.9999999999999993E-3</v>
      </c>
      <c r="L26" s="612">
        <f t="shared" si="6"/>
        <v>7.1999999999999995E-2</v>
      </c>
      <c r="M26" s="612">
        <f t="shared" si="6"/>
        <v>3.3000000000000002E-2</v>
      </c>
      <c r="N26" s="612">
        <f t="shared" si="6"/>
        <v>0.04</v>
      </c>
      <c r="O26" s="612">
        <f t="shared" si="6"/>
        <v>0.156</v>
      </c>
      <c r="P26" s="619">
        <f t="shared" si="1"/>
        <v>1</v>
      </c>
      <c r="S26" s="618">
        <f t="shared" si="4"/>
        <v>2013</v>
      </c>
      <c r="T26" s="620">
        <v>0</v>
      </c>
      <c r="U26" s="620">
        <v>5</v>
      </c>
      <c r="V26" s="621">
        <f t="shared" si="5"/>
        <v>0</v>
      </c>
      <c r="W26" s="622">
        <v>1</v>
      </c>
      <c r="X26" s="623">
        <f t="shared" si="2"/>
        <v>0</v>
      </c>
    </row>
    <row r="27" spans="2:24">
      <c r="B27" s="618">
        <f t="shared" si="3"/>
        <v>2014</v>
      </c>
      <c r="C27" s="610">
        <f>'[3]Fraksi pengelolaan sampah BaU'!B32</f>
        <v>42.079586031999995</v>
      </c>
      <c r="D27" s="611">
        <v>1</v>
      </c>
      <c r="E27" s="612">
        <f t="shared" si="6"/>
        <v>0.435</v>
      </c>
      <c r="F27" s="612">
        <f t="shared" si="6"/>
        <v>0.129</v>
      </c>
      <c r="G27" s="612">
        <f t="shared" si="0"/>
        <v>0</v>
      </c>
      <c r="H27" s="612">
        <f t="shared" si="6"/>
        <v>0</v>
      </c>
      <c r="I27" s="612">
        <f t="shared" si="0"/>
        <v>9.9000000000000005E-2</v>
      </c>
      <c r="J27" s="612">
        <f t="shared" si="6"/>
        <v>2.7E-2</v>
      </c>
      <c r="K27" s="612">
        <f t="shared" si="6"/>
        <v>8.9999999999999993E-3</v>
      </c>
      <c r="L27" s="612">
        <f t="shared" si="6"/>
        <v>7.1999999999999995E-2</v>
      </c>
      <c r="M27" s="612">
        <f t="shared" si="6"/>
        <v>3.3000000000000002E-2</v>
      </c>
      <c r="N27" s="612">
        <f t="shared" si="6"/>
        <v>0.04</v>
      </c>
      <c r="O27" s="612">
        <f t="shared" si="6"/>
        <v>0.156</v>
      </c>
      <c r="P27" s="619">
        <f t="shared" si="1"/>
        <v>1</v>
      </c>
      <c r="S27" s="618">
        <f t="shared" si="4"/>
        <v>2014</v>
      </c>
      <c r="T27" s="620">
        <v>0</v>
      </c>
      <c r="U27" s="620">
        <v>5</v>
      </c>
      <c r="V27" s="621">
        <f t="shared" si="5"/>
        <v>0</v>
      </c>
      <c r="W27" s="622">
        <v>1</v>
      </c>
      <c r="X27" s="623">
        <f t="shared" si="2"/>
        <v>0</v>
      </c>
    </row>
    <row r="28" spans="2:24">
      <c r="B28" s="618">
        <f t="shared" si="3"/>
        <v>2015</v>
      </c>
      <c r="C28" s="610">
        <f>'[3]Fraksi pengelolaan sampah BaU'!B33</f>
        <v>42.808247107999996</v>
      </c>
      <c r="D28" s="611">
        <v>1</v>
      </c>
      <c r="E28" s="612">
        <f t="shared" si="6"/>
        <v>0.435</v>
      </c>
      <c r="F28" s="612">
        <f t="shared" si="6"/>
        <v>0.129</v>
      </c>
      <c r="G28" s="612">
        <f t="shared" si="0"/>
        <v>0</v>
      </c>
      <c r="H28" s="612">
        <f t="shared" si="6"/>
        <v>0</v>
      </c>
      <c r="I28" s="612">
        <f t="shared" si="0"/>
        <v>9.9000000000000005E-2</v>
      </c>
      <c r="J28" s="612">
        <f t="shared" si="6"/>
        <v>2.7E-2</v>
      </c>
      <c r="K28" s="612">
        <f t="shared" si="6"/>
        <v>8.9999999999999993E-3</v>
      </c>
      <c r="L28" s="612">
        <f t="shared" si="6"/>
        <v>7.1999999999999995E-2</v>
      </c>
      <c r="M28" s="612">
        <f t="shared" si="6"/>
        <v>3.3000000000000002E-2</v>
      </c>
      <c r="N28" s="612">
        <f t="shared" si="6"/>
        <v>0.04</v>
      </c>
      <c r="O28" s="612">
        <f t="shared" si="6"/>
        <v>0.156</v>
      </c>
      <c r="P28" s="619">
        <f t="shared" si="1"/>
        <v>1</v>
      </c>
      <c r="S28" s="618">
        <f t="shared" si="4"/>
        <v>2015</v>
      </c>
      <c r="T28" s="620">
        <v>0</v>
      </c>
      <c r="U28" s="620">
        <v>5</v>
      </c>
      <c r="V28" s="621">
        <f t="shared" si="5"/>
        <v>0</v>
      </c>
      <c r="W28" s="622">
        <v>1</v>
      </c>
      <c r="X28" s="623">
        <f t="shared" si="2"/>
        <v>0</v>
      </c>
    </row>
    <row r="29" spans="2:24">
      <c r="B29" s="618">
        <f t="shared" si="3"/>
        <v>2016</v>
      </c>
      <c r="C29" s="610">
        <f>'[3]Fraksi pengelolaan sampah BaU'!B34</f>
        <v>43.531066655999993</v>
      </c>
      <c r="D29" s="611">
        <v>1</v>
      </c>
      <c r="E29" s="612">
        <f t="shared" si="6"/>
        <v>0.435</v>
      </c>
      <c r="F29" s="612">
        <f t="shared" si="6"/>
        <v>0.129</v>
      </c>
      <c r="G29" s="612">
        <f t="shared" si="6"/>
        <v>0</v>
      </c>
      <c r="H29" s="612">
        <f t="shared" si="6"/>
        <v>0</v>
      </c>
      <c r="I29" s="612">
        <f t="shared" si="6"/>
        <v>9.9000000000000005E-2</v>
      </c>
      <c r="J29" s="612">
        <f t="shared" si="6"/>
        <v>2.7E-2</v>
      </c>
      <c r="K29" s="612">
        <f t="shared" si="6"/>
        <v>8.9999999999999993E-3</v>
      </c>
      <c r="L29" s="612">
        <f t="shared" si="6"/>
        <v>7.1999999999999995E-2</v>
      </c>
      <c r="M29" s="612">
        <f t="shared" si="6"/>
        <v>3.3000000000000002E-2</v>
      </c>
      <c r="N29" s="612">
        <f t="shared" si="6"/>
        <v>0.04</v>
      </c>
      <c r="O29" s="612">
        <f t="shared" si="6"/>
        <v>0.156</v>
      </c>
      <c r="P29" s="619">
        <f t="shared" si="1"/>
        <v>1</v>
      </c>
      <c r="S29" s="618">
        <f t="shared" si="4"/>
        <v>2016</v>
      </c>
      <c r="T29" s="620">
        <v>0</v>
      </c>
      <c r="U29" s="620">
        <v>5</v>
      </c>
      <c r="V29" s="621">
        <f t="shared" si="5"/>
        <v>0</v>
      </c>
      <c r="W29" s="622">
        <v>1</v>
      </c>
      <c r="X29" s="623">
        <f t="shared" si="2"/>
        <v>0</v>
      </c>
    </row>
    <row r="30" spans="2:24">
      <c r="B30" s="618">
        <f t="shared" si="3"/>
        <v>2017</v>
      </c>
      <c r="C30" s="610">
        <f>'[3]Fraksi pengelolaan sampah BaU'!B35</f>
        <v>43.494222581468996</v>
      </c>
      <c r="D30" s="611">
        <v>1</v>
      </c>
      <c r="E30" s="612">
        <f t="shared" si="6"/>
        <v>0.435</v>
      </c>
      <c r="F30" s="612">
        <f t="shared" si="6"/>
        <v>0.129</v>
      </c>
      <c r="G30" s="612">
        <f t="shared" si="6"/>
        <v>0</v>
      </c>
      <c r="H30" s="612">
        <f t="shared" si="6"/>
        <v>0</v>
      </c>
      <c r="I30" s="612">
        <f t="shared" si="6"/>
        <v>9.9000000000000005E-2</v>
      </c>
      <c r="J30" s="612">
        <f t="shared" si="6"/>
        <v>2.7E-2</v>
      </c>
      <c r="K30" s="612">
        <f t="shared" si="6"/>
        <v>8.9999999999999993E-3</v>
      </c>
      <c r="L30" s="612">
        <f t="shared" si="6"/>
        <v>7.1999999999999995E-2</v>
      </c>
      <c r="M30" s="612">
        <f t="shared" si="6"/>
        <v>3.3000000000000002E-2</v>
      </c>
      <c r="N30" s="612">
        <f t="shared" si="6"/>
        <v>0.04</v>
      </c>
      <c r="O30" s="612">
        <f t="shared" si="6"/>
        <v>0.156</v>
      </c>
      <c r="P30" s="619">
        <f t="shared" si="1"/>
        <v>1</v>
      </c>
      <c r="S30" s="618">
        <f t="shared" si="4"/>
        <v>2017</v>
      </c>
      <c r="T30" s="620">
        <v>0</v>
      </c>
      <c r="U30" s="620">
        <v>5</v>
      </c>
      <c r="V30" s="621">
        <f t="shared" si="5"/>
        <v>0</v>
      </c>
      <c r="W30" s="622">
        <v>1</v>
      </c>
      <c r="X30" s="623">
        <f t="shared" si="2"/>
        <v>0</v>
      </c>
    </row>
    <row r="31" spans="2:24">
      <c r="B31" s="618">
        <f t="shared" si="3"/>
        <v>2018</v>
      </c>
      <c r="C31" s="610">
        <f>'[3]Fraksi pengelolaan sampah BaU'!B36</f>
        <v>45.500440335085827</v>
      </c>
      <c r="D31" s="611">
        <v>1</v>
      </c>
      <c r="E31" s="612">
        <f t="shared" si="6"/>
        <v>0.435</v>
      </c>
      <c r="F31" s="612">
        <f t="shared" si="6"/>
        <v>0.129</v>
      </c>
      <c r="G31" s="612">
        <f t="shared" si="6"/>
        <v>0</v>
      </c>
      <c r="H31" s="612">
        <f t="shared" si="6"/>
        <v>0</v>
      </c>
      <c r="I31" s="612">
        <f t="shared" si="6"/>
        <v>9.9000000000000005E-2</v>
      </c>
      <c r="J31" s="612">
        <f t="shared" si="6"/>
        <v>2.7E-2</v>
      </c>
      <c r="K31" s="612">
        <f t="shared" si="6"/>
        <v>8.9999999999999993E-3</v>
      </c>
      <c r="L31" s="612">
        <f t="shared" si="6"/>
        <v>7.1999999999999995E-2</v>
      </c>
      <c r="M31" s="612">
        <f t="shared" si="6"/>
        <v>3.3000000000000002E-2</v>
      </c>
      <c r="N31" s="612">
        <f t="shared" si="6"/>
        <v>0.04</v>
      </c>
      <c r="O31" s="612">
        <f t="shared" si="6"/>
        <v>0.156</v>
      </c>
      <c r="P31" s="619">
        <f t="shared" si="1"/>
        <v>1</v>
      </c>
      <c r="S31" s="618">
        <f t="shared" si="4"/>
        <v>2018</v>
      </c>
      <c r="T31" s="620">
        <v>0</v>
      </c>
      <c r="U31" s="620">
        <v>5</v>
      </c>
      <c r="V31" s="621">
        <f t="shared" si="5"/>
        <v>0</v>
      </c>
      <c r="W31" s="622">
        <v>1</v>
      </c>
      <c r="X31" s="623">
        <f t="shared" si="2"/>
        <v>0</v>
      </c>
    </row>
    <row r="32" spans="2:24">
      <c r="B32" s="618">
        <f t="shared" si="3"/>
        <v>2019</v>
      </c>
      <c r="C32" s="610">
        <f>'[3]Fraksi pengelolaan sampah BaU'!B37</f>
        <v>47.567468197220009</v>
      </c>
      <c r="D32" s="611">
        <v>1</v>
      </c>
      <c r="E32" s="612">
        <f t="shared" si="6"/>
        <v>0.435</v>
      </c>
      <c r="F32" s="612">
        <f t="shared" si="6"/>
        <v>0.129</v>
      </c>
      <c r="G32" s="612">
        <f t="shared" si="6"/>
        <v>0</v>
      </c>
      <c r="H32" s="612">
        <f t="shared" si="6"/>
        <v>0</v>
      </c>
      <c r="I32" s="612">
        <f t="shared" si="6"/>
        <v>9.9000000000000005E-2</v>
      </c>
      <c r="J32" s="612">
        <f t="shared" si="6"/>
        <v>2.7E-2</v>
      </c>
      <c r="K32" s="612">
        <f t="shared" si="6"/>
        <v>8.9999999999999993E-3</v>
      </c>
      <c r="L32" s="612">
        <f t="shared" si="6"/>
        <v>7.1999999999999995E-2</v>
      </c>
      <c r="M32" s="612">
        <f t="shared" si="6"/>
        <v>3.3000000000000002E-2</v>
      </c>
      <c r="N32" s="612">
        <f t="shared" si="6"/>
        <v>0.04</v>
      </c>
      <c r="O32" s="612">
        <f t="shared" si="6"/>
        <v>0.156</v>
      </c>
      <c r="P32" s="619">
        <f t="shared" si="1"/>
        <v>1</v>
      </c>
      <c r="S32" s="618">
        <f t="shared" si="4"/>
        <v>2019</v>
      </c>
      <c r="T32" s="620">
        <v>0</v>
      </c>
      <c r="U32" s="620">
        <v>5</v>
      </c>
      <c r="V32" s="621">
        <f t="shared" si="5"/>
        <v>0</v>
      </c>
      <c r="W32" s="622">
        <v>1</v>
      </c>
      <c r="X32" s="623">
        <f t="shared" si="2"/>
        <v>0</v>
      </c>
    </row>
    <row r="33" spans="2:24">
      <c r="B33" s="618">
        <f t="shared" si="3"/>
        <v>2020</v>
      </c>
      <c r="C33" s="610">
        <f>'[3]Fraksi pengelolaan sampah BaU'!B38</f>
        <v>49.695976686486723</v>
      </c>
      <c r="D33" s="611">
        <v>1</v>
      </c>
      <c r="E33" s="612">
        <f t="shared" ref="E33:O48" si="7">E$8</f>
        <v>0.435</v>
      </c>
      <c r="F33" s="612">
        <f t="shared" si="7"/>
        <v>0.129</v>
      </c>
      <c r="G33" s="612">
        <f t="shared" si="6"/>
        <v>0</v>
      </c>
      <c r="H33" s="612">
        <f t="shared" si="7"/>
        <v>0</v>
      </c>
      <c r="I33" s="612">
        <f t="shared" si="6"/>
        <v>9.9000000000000005E-2</v>
      </c>
      <c r="J33" s="612">
        <f t="shared" si="7"/>
        <v>2.7E-2</v>
      </c>
      <c r="K33" s="612">
        <f t="shared" si="7"/>
        <v>8.9999999999999993E-3</v>
      </c>
      <c r="L33" s="612">
        <f t="shared" si="7"/>
        <v>7.1999999999999995E-2</v>
      </c>
      <c r="M33" s="612">
        <f t="shared" si="7"/>
        <v>3.3000000000000002E-2</v>
      </c>
      <c r="N33" s="612">
        <f t="shared" si="7"/>
        <v>0.04</v>
      </c>
      <c r="O33" s="612">
        <f t="shared" si="7"/>
        <v>0.156</v>
      </c>
      <c r="P33" s="619">
        <f t="shared" si="1"/>
        <v>1</v>
      </c>
      <c r="S33" s="618">
        <f t="shared" si="4"/>
        <v>2020</v>
      </c>
      <c r="T33" s="620">
        <v>0</v>
      </c>
      <c r="U33" s="620">
        <v>5</v>
      </c>
      <c r="V33" s="621">
        <f t="shared" si="5"/>
        <v>0</v>
      </c>
      <c r="W33" s="622">
        <v>1</v>
      </c>
      <c r="X33" s="623">
        <f t="shared" si="2"/>
        <v>0</v>
      </c>
    </row>
    <row r="34" spans="2:24">
      <c r="B34" s="618">
        <f t="shared" si="3"/>
        <v>2021</v>
      </c>
      <c r="C34" s="610">
        <f>'[3]Fraksi pengelolaan sampah BaU'!B39</f>
        <v>51.886537018497478</v>
      </c>
      <c r="D34" s="611">
        <v>1</v>
      </c>
      <c r="E34" s="612">
        <f t="shared" si="7"/>
        <v>0.435</v>
      </c>
      <c r="F34" s="612">
        <f t="shared" si="7"/>
        <v>0.129</v>
      </c>
      <c r="G34" s="612">
        <f t="shared" si="6"/>
        <v>0</v>
      </c>
      <c r="H34" s="612">
        <f t="shared" si="7"/>
        <v>0</v>
      </c>
      <c r="I34" s="612">
        <f t="shared" si="6"/>
        <v>9.9000000000000005E-2</v>
      </c>
      <c r="J34" s="612">
        <f t="shared" si="7"/>
        <v>2.7E-2</v>
      </c>
      <c r="K34" s="612">
        <f t="shared" si="7"/>
        <v>8.9999999999999993E-3</v>
      </c>
      <c r="L34" s="612">
        <f t="shared" si="7"/>
        <v>7.1999999999999995E-2</v>
      </c>
      <c r="M34" s="612">
        <f t="shared" si="7"/>
        <v>3.3000000000000002E-2</v>
      </c>
      <c r="N34" s="612">
        <f t="shared" si="7"/>
        <v>0.04</v>
      </c>
      <c r="O34" s="612">
        <f t="shared" si="7"/>
        <v>0.156</v>
      </c>
      <c r="P34" s="619">
        <f t="shared" si="1"/>
        <v>1</v>
      </c>
      <c r="S34" s="618">
        <f t="shared" si="4"/>
        <v>2021</v>
      </c>
      <c r="T34" s="620">
        <v>0</v>
      </c>
      <c r="U34" s="620">
        <v>5</v>
      </c>
      <c r="V34" s="621">
        <f t="shared" si="5"/>
        <v>0</v>
      </c>
      <c r="W34" s="622">
        <v>1</v>
      </c>
      <c r="X34" s="623">
        <f t="shared" si="2"/>
        <v>0</v>
      </c>
    </row>
    <row r="35" spans="2:24">
      <c r="B35" s="618">
        <f t="shared" si="3"/>
        <v>2022</v>
      </c>
      <c r="C35" s="610">
        <f>'[3]Fraksi pengelolaan sampah BaU'!B40</f>
        <v>54.139607889387619</v>
      </c>
      <c r="D35" s="611">
        <v>1</v>
      </c>
      <c r="E35" s="612">
        <f t="shared" si="7"/>
        <v>0.435</v>
      </c>
      <c r="F35" s="612">
        <f t="shared" si="7"/>
        <v>0.129</v>
      </c>
      <c r="G35" s="612">
        <f t="shared" si="6"/>
        <v>0</v>
      </c>
      <c r="H35" s="612">
        <f t="shared" si="7"/>
        <v>0</v>
      </c>
      <c r="I35" s="612">
        <f t="shared" si="6"/>
        <v>9.9000000000000005E-2</v>
      </c>
      <c r="J35" s="612">
        <f t="shared" si="7"/>
        <v>2.7E-2</v>
      </c>
      <c r="K35" s="612">
        <f t="shared" si="7"/>
        <v>8.9999999999999993E-3</v>
      </c>
      <c r="L35" s="612">
        <f t="shared" si="7"/>
        <v>7.1999999999999995E-2</v>
      </c>
      <c r="M35" s="612">
        <f t="shared" si="7"/>
        <v>3.3000000000000002E-2</v>
      </c>
      <c r="N35" s="612">
        <f t="shared" si="7"/>
        <v>0.04</v>
      </c>
      <c r="O35" s="612">
        <f t="shared" si="7"/>
        <v>0.156</v>
      </c>
      <c r="P35" s="619">
        <f t="shared" si="1"/>
        <v>1</v>
      </c>
      <c r="S35" s="618">
        <f t="shared" si="4"/>
        <v>2022</v>
      </c>
      <c r="T35" s="620">
        <v>0</v>
      </c>
      <c r="U35" s="620">
        <v>5</v>
      </c>
      <c r="V35" s="621">
        <f t="shared" si="5"/>
        <v>0</v>
      </c>
      <c r="W35" s="622">
        <v>1</v>
      </c>
      <c r="X35" s="623">
        <f t="shared" si="2"/>
        <v>0</v>
      </c>
    </row>
    <row r="36" spans="2:24">
      <c r="B36" s="618">
        <f t="shared" si="3"/>
        <v>2023</v>
      </c>
      <c r="C36" s="610">
        <f>'[3]Fraksi pengelolaan sampah BaU'!B41</f>
        <v>56.4555210240378</v>
      </c>
      <c r="D36" s="611">
        <v>1</v>
      </c>
      <c r="E36" s="612">
        <f t="shared" si="7"/>
        <v>0.435</v>
      </c>
      <c r="F36" s="612">
        <f t="shared" si="7"/>
        <v>0.129</v>
      </c>
      <c r="G36" s="612">
        <f t="shared" si="6"/>
        <v>0</v>
      </c>
      <c r="H36" s="612">
        <f t="shared" si="7"/>
        <v>0</v>
      </c>
      <c r="I36" s="612">
        <f t="shared" si="6"/>
        <v>9.9000000000000005E-2</v>
      </c>
      <c r="J36" s="612">
        <f t="shared" si="7"/>
        <v>2.7E-2</v>
      </c>
      <c r="K36" s="612">
        <f t="shared" si="7"/>
        <v>8.9999999999999993E-3</v>
      </c>
      <c r="L36" s="612">
        <f t="shared" si="7"/>
        <v>7.1999999999999995E-2</v>
      </c>
      <c r="M36" s="612">
        <f t="shared" si="7"/>
        <v>3.3000000000000002E-2</v>
      </c>
      <c r="N36" s="612">
        <f t="shared" si="7"/>
        <v>0.04</v>
      </c>
      <c r="O36" s="612">
        <f t="shared" si="7"/>
        <v>0.156</v>
      </c>
      <c r="P36" s="619">
        <f t="shared" si="1"/>
        <v>1</v>
      </c>
      <c r="S36" s="618">
        <f t="shared" si="4"/>
        <v>2023</v>
      </c>
      <c r="T36" s="620">
        <v>0</v>
      </c>
      <c r="U36" s="620">
        <v>5</v>
      </c>
      <c r="V36" s="621">
        <f t="shared" si="5"/>
        <v>0</v>
      </c>
      <c r="W36" s="622">
        <v>1</v>
      </c>
      <c r="X36" s="623">
        <f t="shared" si="2"/>
        <v>0</v>
      </c>
    </row>
    <row r="37" spans="2:24">
      <c r="B37" s="618">
        <f t="shared" si="3"/>
        <v>2024</v>
      </c>
      <c r="C37" s="610">
        <f>'[3]Fraksi pengelolaan sampah BaU'!B42</f>
        <v>58.834465384329178</v>
      </c>
      <c r="D37" s="611">
        <v>1</v>
      </c>
      <c r="E37" s="612">
        <f t="shared" si="7"/>
        <v>0.435</v>
      </c>
      <c r="F37" s="612">
        <f t="shared" si="7"/>
        <v>0.129</v>
      </c>
      <c r="G37" s="612">
        <f t="shared" si="6"/>
        <v>0</v>
      </c>
      <c r="H37" s="612">
        <f t="shared" si="7"/>
        <v>0</v>
      </c>
      <c r="I37" s="612">
        <f t="shared" si="6"/>
        <v>9.9000000000000005E-2</v>
      </c>
      <c r="J37" s="612">
        <f t="shared" si="7"/>
        <v>2.7E-2</v>
      </c>
      <c r="K37" s="612">
        <f t="shared" si="7"/>
        <v>8.9999999999999993E-3</v>
      </c>
      <c r="L37" s="612">
        <f t="shared" si="7"/>
        <v>7.1999999999999995E-2</v>
      </c>
      <c r="M37" s="612">
        <f t="shared" si="7"/>
        <v>3.3000000000000002E-2</v>
      </c>
      <c r="N37" s="612">
        <f t="shared" si="7"/>
        <v>0.04</v>
      </c>
      <c r="O37" s="612">
        <f t="shared" si="7"/>
        <v>0.156</v>
      </c>
      <c r="P37" s="619">
        <f t="shared" si="1"/>
        <v>1</v>
      </c>
      <c r="S37" s="618">
        <f t="shared" si="4"/>
        <v>2024</v>
      </c>
      <c r="T37" s="620">
        <v>0</v>
      </c>
      <c r="U37" s="620">
        <v>5</v>
      </c>
      <c r="V37" s="621">
        <f t="shared" si="5"/>
        <v>0</v>
      </c>
      <c r="W37" s="622">
        <v>1</v>
      </c>
      <c r="X37" s="623">
        <f t="shared" si="2"/>
        <v>0</v>
      </c>
    </row>
    <row r="38" spans="2:24">
      <c r="B38" s="618">
        <f t="shared" si="3"/>
        <v>2025</v>
      </c>
      <c r="C38" s="610">
        <f>'[3]Fraksi pengelolaan sampah BaU'!B43</f>
        <v>61.276469924235805</v>
      </c>
      <c r="D38" s="611">
        <v>1</v>
      </c>
      <c r="E38" s="612">
        <f t="shared" si="7"/>
        <v>0.435</v>
      </c>
      <c r="F38" s="612">
        <f t="shared" si="7"/>
        <v>0.129</v>
      </c>
      <c r="G38" s="612">
        <f t="shared" si="6"/>
        <v>0</v>
      </c>
      <c r="H38" s="612">
        <f t="shared" si="7"/>
        <v>0</v>
      </c>
      <c r="I38" s="612">
        <f t="shared" si="6"/>
        <v>9.9000000000000005E-2</v>
      </c>
      <c r="J38" s="612">
        <f t="shared" si="7"/>
        <v>2.7E-2</v>
      </c>
      <c r="K38" s="612">
        <f t="shared" si="7"/>
        <v>8.9999999999999993E-3</v>
      </c>
      <c r="L38" s="612">
        <f t="shared" si="7"/>
        <v>7.1999999999999995E-2</v>
      </c>
      <c r="M38" s="612">
        <f t="shared" si="7"/>
        <v>3.3000000000000002E-2</v>
      </c>
      <c r="N38" s="612">
        <f t="shared" si="7"/>
        <v>0.04</v>
      </c>
      <c r="O38" s="612">
        <f t="shared" si="7"/>
        <v>0.156</v>
      </c>
      <c r="P38" s="619">
        <f t="shared" si="1"/>
        <v>1</v>
      </c>
      <c r="S38" s="618">
        <f t="shared" si="4"/>
        <v>2025</v>
      </c>
      <c r="T38" s="620">
        <v>0</v>
      </c>
      <c r="U38" s="620">
        <v>5</v>
      </c>
      <c r="V38" s="621">
        <f t="shared" si="5"/>
        <v>0</v>
      </c>
      <c r="W38" s="622">
        <v>1</v>
      </c>
      <c r="X38" s="623">
        <f t="shared" si="2"/>
        <v>0</v>
      </c>
    </row>
    <row r="39" spans="2:24">
      <c r="B39" s="618">
        <f t="shared" si="3"/>
        <v>2026</v>
      </c>
      <c r="C39" s="610">
        <f>'[3]Fraksi pengelolaan sampah BaU'!B44</f>
        <v>63.78138476933745</v>
      </c>
      <c r="D39" s="611">
        <v>1</v>
      </c>
      <c r="E39" s="612">
        <f t="shared" si="7"/>
        <v>0.435</v>
      </c>
      <c r="F39" s="612">
        <f t="shared" si="7"/>
        <v>0.129</v>
      </c>
      <c r="G39" s="612">
        <f t="shared" si="7"/>
        <v>0</v>
      </c>
      <c r="H39" s="612">
        <f t="shared" si="7"/>
        <v>0</v>
      </c>
      <c r="I39" s="612">
        <f t="shared" si="7"/>
        <v>9.9000000000000005E-2</v>
      </c>
      <c r="J39" s="612">
        <f t="shared" si="7"/>
        <v>2.7E-2</v>
      </c>
      <c r="K39" s="612">
        <f t="shared" si="7"/>
        <v>8.9999999999999993E-3</v>
      </c>
      <c r="L39" s="612">
        <f t="shared" si="7"/>
        <v>7.1999999999999995E-2</v>
      </c>
      <c r="M39" s="612">
        <f t="shared" si="7"/>
        <v>3.3000000000000002E-2</v>
      </c>
      <c r="N39" s="612">
        <f t="shared" si="7"/>
        <v>0.04</v>
      </c>
      <c r="O39" s="612">
        <f t="shared" si="7"/>
        <v>0.156</v>
      </c>
      <c r="P39" s="619">
        <f t="shared" si="1"/>
        <v>1</v>
      </c>
      <c r="S39" s="618">
        <f t="shared" si="4"/>
        <v>2026</v>
      </c>
      <c r="T39" s="620">
        <v>0</v>
      </c>
      <c r="U39" s="620">
        <v>5</v>
      </c>
      <c r="V39" s="621">
        <f t="shared" si="5"/>
        <v>0</v>
      </c>
      <c r="W39" s="622">
        <v>1</v>
      </c>
      <c r="X39" s="623">
        <f t="shared" si="2"/>
        <v>0</v>
      </c>
    </row>
    <row r="40" spans="2:24">
      <c r="B40" s="618">
        <f t="shared" si="3"/>
        <v>2027</v>
      </c>
      <c r="C40" s="610">
        <f>'[3]Fraksi pengelolaan sampah BaU'!B45</f>
        <v>66.348860688377925</v>
      </c>
      <c r="D40" s="611">
        <v>1</v>
      </c>
      <c r="E40" s="612">
        <f t="shared" si="7"/>
        <v>0.435</v>
      </c>
      <c r="F40" s="612">
        <f t="shared" si="7"/>
        <v>0.129</v>
      </c>
      <c r="G40" s="612">
        <f t="shared" si="7"/>
        <v>0</v>
      </c>
      <c r="H40" s="612">
        <f t="shared" si="7"/>
        <v>0</v>
      </c>
      <c r="I40" s="612">
        <f t="shared" si="7"/>
        <v>9.9000000000000005E-2</v>
      </c>
      <c r="J40" s="612">
        <f t="shared" si="7"/>
        <v>2.7E-2</v>
      </c>
      <c r="K40" s="612">
        <f t="shared" si="7"/>
        <v>8.9999999999999993E-3</v>
      </c>
      <c r="L40" s="612">
        <f t="shared" si="7"/>
        <v>7.1999999999999995E-2</v>
      </c>
      <c r="M40" s="612">
        <f t="shared" si="7"/>
        <v>3.3000000000000002E-2</v>
      </c>
      <c r="N40" s="612">
        <f t="shared" si="7"/>
        <v>0.04</v>
      </c>
      <c r="O40" s="612">
        <f t="shared" si="7"/>
        <v>0.156</v>
      </c>
      <c r="P40" s="619">
        <f t="shared" si="1"/>
        <v>1</v>
      </c>
      <c r="S40" s="618">
        <f t="shared" si="4"/>
        <v>2027</v>
      </c>
      <c r="T40" s="620">
        <v>0</v>
      </c>
      <c r="U40" s="620">
        <v>5</v>
      </c>
      <c r="V40" s="621">
        <f t="shared" si="5"/>
        <v>0</v>
      </c>
      <c r="W40" s="622">
        <v>1</v>
      </c>
      <c r="X40" s="623">
        <f t="shared" si="2"/>
        <v>0</v>
      </c>
    </row>
    <row r="41" spans="2:24">
      <c r="B41" s="618">
        <f t="shared" si="3"/>
        <v>2028</v>
      </c>
      <c r="C41" s="610">
        <f>'[3]Fraksi pengelolaan sampah BaU'!B46</f>
        <v>68.978326713739406</v>
      </c>
      <c r="D41" s="611">
        <v>1</v>
      </c>
      <c r="E41" s="612">
        <f t="shared" si="7"/>
        <v>0.435</v>
      </c>
      <c r="F41" s="612">
        <f t="shared" si="7"/>
        <v>0.129</v>
      </c>
      <c r="G41" s="612">
        <f t="shared" si="7"/>
        <v>0</v>
      </c>
      <c r="H41" s="612">
        <f t="shared" si="7"/>
        <v>0</v>
      </c>
      <c r="I41" s="612">
        <f t="shared" si="7"/>
        <v>9.9000000000000005E-2</v>
      </c>
      <c r="J41" s="612">
        <f t="shared" si="7"/>
        <v>2.7E-2</v>
      </c>
      <c r="K41" s="612">
        <f t="shared" si="7"/>
        <v>8.9999999999999993E-3</v>
      </c>
      <c r="L41" s="612">
        <f t="shared" si="7"/>
        <v>7.1999999999999995E-2</v>
      </c>
      <c r="M41" s="612">
        <f t="shared" si="7"/>
        <v>3.3000000000000002E-2</v>
      </c>
      <c r="N41" s="612">
        <f t="shared" si="7"/>
        <v>0.04</v>
      </c>
      <c r="O41" s="612">
        <f t="shared" si="7"/>
        <v>0.156</v>
      </c>
      <c r="P41" s="619">
        <f t="shared" si="1"/>
        <v>1</v>
      </c>
      <c r="S41" s="618">
        <f t="shared" si="4"/>
        <v>2028</v>
      </c>
      <c r="T41" s="620">
        <v>0</v>
      </c>
      <c r="U41" s="620">
        <v>5</v>
      </c>
      <c r="V41" s="621">
        <f t="shared" si="5"/>
        <v>0</v>
      </c>
      <c r="W41" s="622">
        <v>1</v>
      </c>
      <c r="X41" s="623">
        <f t="shared" si="2"/>
        <v>0</v>
      </c>
    </row>
    <row r="42" spans="2:24">
      <c r="B42" s="618">
        <f t="shared" si="3"/>
        <v>2029</v>
      </c>
      <c r="C42" s="610">
        <f>'[3]Fraksi pengelolaan sampah BaU'!B47</f>
        <v>71.668965756089449</v>
      </c>
      <c r="D42" s="611">
        <v>1</v>
      </c>
      <c r="E42" s="612">
        <f t="shared" si="7"/>
        <v>0.435</v>
      </c>
      <c r="F42" s="612">
        <f t="shared" si="7"/>
        <v>0.129</v>
      </c>
      <c r="G42" s="612">
        <f t="shared" si="7"/>
        <v>0</v>
      </c>
      <c r="H42" s="612">
        <f t="shared" si="7"/>
        <v>0</v>
      </c>
      <c r="I42" s="612">
        <f t="shared" si="7"/>
        <v>9.9000000000000005E-2</v>
      </c>
      <c r="J42" s="612">
        <f t="shared" si="7"/>
        <v>2.7E-2</v>
      </c>
      <c r="K42" s="612">
        <f t="shared" si="7"/>
        <v>8.9999999999999993E-3</v>
      </c>
      <c r="L42" s="612">
        <f t="shared" si="7"/>
        <v>7.1999999999999995E-2</v>
      </c>
      <c r="M42" s="612">
        <f t="shared" si="7"/>
        <v>3.3000000000000002E-2</v>
      </c>
      <c r="N42" s="612">
        <f t="shared" si="7"/>
        <v>0.04</v>
      </c>
      <c r="O42" s="612">
        <f t="shared" si="7"/>
        <v>0.156</v>
      </c>
      <c r="P42" s="619">
        <f t="shared" si="1"/>
        <v>1</v>
      </c>
      <c r="S42" s="618">
        <f t="shared" si="4"/>
        <v>2029</v>
      </c>
      <c r="T42" s="620">
        <v>0</v>
      </c>
      <c r="U42" s="620">
        <v>5</v>
      </c>
      <c r="V42" s="621">
        <f t="shared" si="5"/>
        <v>0</v>
      </c>
      <c r="W42" s="622">
        <v>1</v>
      </c>
      <c r="X42" s="623">
        <f t="shared" si="2"/>
        <v>0</v>
      </c>
    </row>
    <row r="43" spans="2:24">
      <c r="B43" s="618">
        <f t="shared" si="3"/>
        <v>2030</v>
      </c>
      <c r="C43" s="610">
        <f>'[3]Fraksi pengelolaan sampah BaU'!B48</f>
        <v>74.472288000000006</v>
      </c>
      <c r="D43" s="611">
        <v>1</v>
      </c>
      <c r="E43" s="612">
        <f t="shared" ref="E43:O58" si="8">E$8</f>
        <v>0.435</v>
      </c>
      <c r="F43" s="612">
        <f t="shared" si="8"/>
        <v>0.129</v>
      </c>
      <c r="G43" s="612">
        <f t="shared" si="7"/>
        <v>0</v>
      </c>
      <c r="H43" s="612">
        <f t="shared" si="8"/>
        <v>0</v>
      </c>
      <c r="I43" s="612">
        <f t="shared" si="7"/>
        <v>9.9000000000000005E-2</v>
      </c>
      <c r="J43" s="612">
        <f t="shared" si="8"/>
        <v>2.7E-2</v>
      </c>
      <c r="K43" s="612">
        <f t="shared" si="8"/>
        <v>8.9999999999999993E-3</v>
      </c>
      <c r="L43" s="612">
        <f t="shared" si="8"/>
        <v>7.1999999999999995E-2</v>
      </c>
      <c r="M43" s="612">
        <f t="shared" si="8"/>
        <v>3.3000000000000002E-2</v>
      </c>
      <c r="N43" s="612">
        <f t="shared" si="8"/>
        <v>0.04</v>
      </c>
      <c r="O43" s="612">
        <f t="shared" si="8"/>
        <v>0.156</v>
      </c>
      <c r="P43" s="619">
        <f t="shared" si="1"/>
        <v>1</v>
      </c>
      <c r="S43" s="618">
        <f t="shared" si="4"/>
        <v>2030</v>
      </c>
      <c r="T43" s="620">
        <v>0</v>
      </c>
      <c r="U43" s="620">
        <v>5</v>
      </c>
      <c r="V43" s="621">
        <f t="shared" si="5"/>
        <v>0</v>
      </c>
      <c r="W43" s="622">
        <v>1</v>
      </c>
      <c r="X43" s="623">
        <f t="shared" si="2"/>
        <v>0</v>
      </c>
    </row>
    <row r="44" spans="2:24">
      <c r="B44" s="618">
        <f t="shared" si="3"/>
        <v>2031</v>
      </c>
      <c r="C44" s="624"/>
      <c r="D44" s="611">
        <v>1</v>
      </c>
      <c r="E44" s="612">
        <f t="shared" si="8"/>
        <v>0.435</v>
      </c>
      <c r="F44" s="612">
        <f t="shared" si="8"/>
        <v>0.129</v>
      </c>
      <c r="G44" s="612">
        <f t="shared" si="7"/>
        <v>0</v>
      </c>
      <c r="H44" s="612">
        <f t="shared" si="8"/>
        <v>0</v>
      </c>
      <c r="I44" s="612">
        <f t="shared" si="7"/>
        <v>9.9000000000000005E-2</v>
      </c>
      <c r="J44" s="612">
        <f t="shared" si="8"/>
        <v>2.7E-2</v>
      </c>
      <c r="K44" s="612">
        <f t="shared" si="8"/>
        <v>8.9999999999999993E-3</v>
      </c>
      <c r="L44" s="612">
        <f t="shared" si="8"/>
        <v>7.1999999999999995E-2</v>
      </c>
      <c r="M44" s="612">
        <f t="shared" si="8"/>
        <v>3.3000000000000002E-2</v>
      </c>
      <c r="N44" s="612">
        <f t="shared" si="8"/>
        <v>0.04</v>
      </c>
      <c r="O44" s="612">
        <f t="shared" si="8"/>
        <v>0.156</v>
      </c>
      <c r="P44" s="619">
        <f t="shared" si="1"/>
        <v>1</v>
      </c>
      <c r="S44" s="618">
        <f t="shared" si="4"/>
        <v>2031</v>
      </c>
      <c r="T44" s="620">
        <v>0</v>
      </c>
      <c r="U44" s="620">
        <v>5</v>
      </c>
      <c r="V44" s="621">
        <f t="shared" si="5"/>
        <v>0</v>
      </c>
      <c r="W44" s="622">
        <v>1</v>
      </c>
      <c r="X44" s="623">
        <f t="shared" si="2"/>
        <v>0</v>
      </c>
    </row>
    <row r="45" spans="2:24">
      <c r="B45" s="618">
        <f t="shared" si="3"/>
        <v>2032</v>
      </c>
      <c r="C45" s="624"/>
      <c r="D45" s="611">
        <v>1</v>
      </c>
      <c r="E45" s="612">
        <f t="shared" si="8"/>
        <v>0.435</v>
      </c>
      <c r="F45" s="612">
        <f t="shared" si="8"/>
        <v>0.129</v>
      </c>
      <c r="G45" s="612">
        <f t="shared" si="7"/>
        <v>0</v>
      </c>
      <c r="H45" s="612">
        <f t="shared" si="8"/>
        <v>0</v>
      </c>
      <c r="I45" s="612">
        <f t="shared" si="7"/>
        <v>9.9000000000000005E-2</v>
      </c>
      <c r="J45" s="612">
        <f t="shared" si="8"/>
        <v>2.7E-2</v>
      </c>
      <c r="K45" s="612">
        <f t="shared" si="8"/>
        <v>8.9999999999999993E-3</v>
      </c>
      <c r="L45" s="612">
        <f t="shared" si="8"/>
        <v>7.1999999999999995E-2</v>
      </c>
      <c r="M45" s="612">
        <f t="shared" si="8"/>
        <v>3.3000000000000002E-2</v>
      </c>
      <c r="N45" s="612">
        <f t="shared" si="8"/>
        <v>0.04</v>
      </c>
      <c r="O45" s="612">
        <f t="shared" si="8"/>
        <v>0.156</v>
      </c>
      <c r="P45" s="619">
        <f t="shared" ref="P45:P76" si="9">SUM(E45:O45)</f>
        <v>1</v>
      </c>
      <c r="S45" s="618">
        <f t="shared" si="4"/>
        <v>2032</v>
      </c>
      <c r="T45" s="620">
        <v>0</v>
      </c>
      <c r="U45" s="620">
        <v>5</v>
      </c>
      <c r="V45" s="621">
        <f t="shared" si="5"/>
        <v>0</v>
      </c>
      <c r="W45" s="622">
        <v>1</v>
      </c>
      <c r="X45" s="623">
        <f t="shared" ref="X45:X76" si="10">V45*W45</f>
        <v>0</v>
      </c>
    </row>
    <row r="46" spans="2:24">
      <c r="B46" s="618">
        <f t="shared" ref="B46:B77" si="11">B45+1</f>
        <v>2033</v>
      </c>
      <c r="C46" s="624"/>
      <c r="D46" s="611">
        <v>1</v>
      </c>
      <c r="E46" s="612">
        <f t="shared" si="8"/>
        <v>0.435</v>
      </c>
      <c r="F46" s="612">
        <f t="shared" si="8"/>
        <v>0.129</v>
      </c>
      <c r="G46" s="612">
        <f t="shared" si="7"/>
        <v>0</v>
      </c>
      <c r="H46" s="612">
        <f t="shared" si="8"/>
        <v>0</v>
      </c>
      <c r="I46" s="612">
        <f t="shared" si="7"/>
        <v>9.9000000000000005E-2</v>
      </c>
      <c r="J46" s="612">
        <f t="shared" si="8"/>
        <v>2.7E-2</v>
      </c>
      <c r="K46" s="612">
        <f t="shared" si="8"/>
        <v>8.9999999999999993E-3</v>
      </c>
      <c r="L46" s="612">
        <f t="shared" si="8"/>
        <v>7.1999999999999995E-2</v>
      </c>
      <c r="M46" s="612">
        <f t="shared" si="8"/>
        <v>3.3000000000000002E-2</v>
      </c>
      <c r="N46" s="612">
        <f t="shared" si="8"/>
        <v>0.04</v>
      </c>
      <c r="O46" s="612">
        <f t="shared" si="8"/>
        <v>0.156</v>
      </c>
      <c r="P46" s="619">
        <f t="shared" si="9"/>
        <v>1</v>
      </c>
      <c r="S46" s="618">
        <f t="shared" si="4"/>
        <v>2033</v>
      </c>
      <c r="T46" s="620">
        <v>0</v>
      </c>
      <c r="U46" s="620">
        <v>5</v>
      </c>
      <c r="V46" s="621">
        <f t="shared" si="5"/>
        <v>0</v>
      </c>
      <c r="W46" s="622">
        <v>1</v>
      </c>
      <c r="X46" s="623">
        <f t="shared" si="10"/>
        <v>0</v>
      </c>
    </row>
    <row r="47" spans="2:24">
      <c r="B47" s="618">
        <f t="shared" si="11"/>
        <v>2034</v>
      </c>
      <c r="C47" s="624"/>
      <c r="D47" s="611">
        <v>1</v>
      </c>
      <c r="E47" s="612">
        <f t="shared" si="8"/>
        <v>0.435</v>
      </c>
      <c r="F47" s="612">
        <f t="shared" si="8"/>
        <v>0.129</v>
      </c>
      <c r="G47" s="612">
        <f t="shared" si="7"/>
        <v>0</v>
      </c>
      <c r="H47" s="612">
        <f t="shared" si="8"/>
        <v>0</v>
      </c>
      <c r="I47" s="612">
        <f t="shared" si="7"/>
        <v>9.9000000000000005E-2</v>
      </c>
      <c r="J47" s="612">
        <f t="shared" si="8"/>
        <v>2.7E-2</v>
      </c>
      <c r="K47" s="612">
        <f t="shared" si="8"/>
        <v>8.9999999999999993E-3</v>
      </c>
      <c r="L47" s="612">
        <f t="shared" si="8"/>
        <v>7.1999999999999995E-2</v>
      </c>
      <c r="M47" s="612">
        <f t="shared" si="8"/>
        <v>3.3000000000000002E-2</v>
      </c>
      <c r="N47" s="612">
        <f t="shared" si="8"/>
        <v>0.04</v>
      </c>
      <c r="O47" s="612">
        <f t="shared" si="8"/>
        <v>0.156</v>
      </c>
      <c r="P47" s="619">
        <f t="shared" si="9"/>
        <v>1</v>
      </c>
      <c r="S47" s="618">
        <f t="shared" si="4"/>
        <v>2034</v>
      </c>
      <c r="T47" s="620">
        <v>0</v>
      </c>
      <c r="U47" s="620">
        <v>5</v>
      </c>
      <c r="V47" s="621">
        <f t="shared" si="5"/>
        <v>0</v>
      </c>
      <c r="W47" s="622">
        <v>1</v>
      </c>
      <c r="X47" s="623">
        <f t="shared" si="10"/>
        <v>0</v>
      </c>
    </row>
    <row r="48" spans="2:24">
      <c r="B48" s="618">
        <f t="shared" si="11"/>
        <v>2035</v>
      </c>
      <c r="C48" s="624"/>
      <c r="D48" s="611">
        <v>1</v>
      </c>
      <c r="E48" s="612">
        <f t="shared" si="8"/>
        <v>0.435</v>
      </c>
      <c r="F48" s="612">
        <f t="shared" si="8"/>
        <v>0.129</v>
      </c>
      <c r="G48" s="612">
        <f t="shared" si="7"/>
        <v>0</v>
      </c>
      <c r="H48" s="612">
        <f t="shared" si="8"/>
        <v>0</v>
      </c>
      <c r="I48" s="612">
        <f t="shared" si="7"/>
        <v>9.9000000000000005E-2</v>
      </c>
      <c r="J48" s="612">
        <f t="shared" si="8"/>
        <v>2.7E-2</v>
      </c>
      <c r="K48" s="612">
        <f t="shared" si="8"/>
        <v>8.9999999999999993E-3</v>
      </c>
      <c r="L48" s="612">
        <f t="shared" si="8"/>
        <v>7.1999999999999995E-2</v>
      </c>
      <c r="M48" s="612">
        <f t="shared" si="8"/>
        <v>3.3000000000000002E-2</v>
      </c>
      <c r="N48" s="612">
        <f t="shared" si="8"/>
        <v>0.04</v>
      </c>
      <c r="O48" s="612">
        <f t="shared" si="8"/>
        <v>0.156</v>
      </c>
      <c r="P48" s="619">
        <f t="shared" si="9"/>
        <v>1</v>
      </c>
      <c r="S48" s="618">
        <f t="shared" si="4"/>
        <v>2035</v>
      </c>
      <c r="T48" s="620">
        <v>0</v>
      </c>
      <c r="U48" s="620">
        <v>5</v>
      </c>
      <c r="V48" s="621">
        <f t="shared" si="5"/>
        <v>0</v>
      </c>
      <c r="W48" s="622">
        <v>1</v>
      </c>
      <c r="X48" s="623">
        <f t="shared" si="10"/>
        <v>0</v>
      </c>
    </row>
    <row r="49" spans="2:24">
      <c r="B49" s="618">
        <f t="shared" si="11"/>
        <v>2036</v>
      </c>
      <c r="C49" s="624"/>
      <c r="D49" s="611">
        <v>1</v>
      </c>
      <c r="E49" s="612">
        <f t="shared" si="8"/>
        <v>0.435</v>
      </c>
      <c r="F49" s="612">
        <f t="shared" si="8"/>
        <v>0.129</v>
      </c>
      <c r="G49" s="612">
        <f t="shared" si="8"/>
        <v>0</v>
      </c>
      <c r="H49" s="612">
        <f t="shared" si="8"/>
        <v>0</v>
      </c>
      <c r="I49" s="612">
        <f t="shared" si="8"/>
        <v>9.9000000000000005E-2</v>
      </c>
      <c r="J49" s="612">
        <f t="shared" si="8"/>
        <v>2.7E-2</v>
      </c>
      <c r="K49" s="612">
        <f t="shared" si="8"/>
        <v>8.9999999999999993E-3</v>
      </c>
      <c r="L49" s="612">
        <f t="shared" si="8"/>
        <v>7.1999999999999995E-2</v>
      </c>
      <c r="M49" s="612">
        <f t="shared" si="8"/>
        <v>3.3000000000000002E-2</v>
      </c>
      <c r="N49" s="612">
        <f t="shared" si="8"/>
        <v>0.04</v>
      </c>
      <c r="O49" s="612">
        <f t="shared" si="8"/>
        <v>0.156</v>
      </c>
      <c r="P49" s="619">
        <f t="shared" si="9"/>
        <v>1</v>
      </c>
      <c r="S49" s="618">
        <f t="shared" si="4"/>
        <v>2036</v>
      </c>
      <c r="T49" s="620">
        <v>0</v>
      </c>
      <c r="U49" s="620">
        <v>5</v>
      </c>
      <c r="V49" s="621">
        <f t="shared" si="5"/>
        <v>0</v>
      </c>
      <c r="W49" s="622">
        <v>1</v>
      </c>
      <c r="X49" s="623">
        <f t="shared" si="10"/>
        <v>0</v>
      </c>
    </row>
    <row r="50" spans="2:24">
      <c r="B50" s="618">
        <f t="shared" si="11"/>
        <v>2037</v>
      </c>
      <c r="C50" s="624"/>
      <c r="D50" s="611">
        <v>1</v>
      </c>
      <c r="E50" s="612">
        <f t="shared" si="8"/>
        <v>0.435</v>
      </c>
      <c r="F50" s="612">
        <f t="shared" si="8"/>
        <v>0.129</v>
      </c>
      <c r="G50" s="612">
        <f t="shared" si="8"/>
        <v>0</v>
      </c>
      <c r="H50" s="612">
        <f t="shared" si="8"/>
        <v>0</v>
      </c>
      <c r="I50" s="612">
        <f t="shared" si="8"/>
        <v>9.9000000000000005E-2</v>
      </c>
      <c r="J50" s="612">
        <f t="shared" si="8"/>
        <v>2.7E-2</v>
      </c>
      <c r="K50" s="612">
        <f t="shared" si="8"/>
        <v>8.9999999999999993E-3</v>
      </c>
      <c r="L50" s="612">
        <f t="shared" si="8"/>
        <v>7.1999999999999995E-2</v>
      </c>
      <c r="M50" s="612">
        <f t="shared" si="8"/>
        <v>3.3000000000000002E-2</v>
      </c>
      <c r="N50" s="612">
        <f t="shared" si="8"/>
        <v>0.04</v>
      </c>
      <c r="O50" s="612">
        <f t="shared" si="8"/>
        <v>0.156</v>
      </c>
      <c r="P50" s="619">
        <f t="shared" si="9"/>
        <v>1</v>
      </c>
      <c r="S50" s="618">
        <f t="shared" si="4"/>
        <v>2037</v>
      </c>
      <c r="T50" s="620">
        <v>0</v>
      </c>
      <c r="U50" s="620">
        <v>5</v>
      </c>
      <c r="V50" s="621">
        <f t="shared" si="5"/>
        <v>0</v>
      </c>
      <c r="W50" s="622">
        <v>1</v>
      </c>
      <c r="X50" s="623">
        <f t="shared" si="10"/>
        <v>0</v>
      </c>
    </row>
    <row r="51" spans="2:24">
      <c r="B51" s="618">
        <f t="shared" si="11"/>
        <v>2038</v>
      </c>
      <c r="C51" s="624"/>
      <c r="D51" s="611">
        <v>1</v>
      </c>
      <c r="E51" s="612">
        <f t="shared" si="8"/>
        <v>0.435</v>
      </c>
      <c r="F51" s="612">
        <f t="shared" si="8"/>
        <v>0.129</v>
      </c>
      <c r="G51" s="612">
        <f t="shared" si="8"/>
        <v>0</v>
      </c>
      <c r="H51" s="612">
        <f t="shared" si="8"/>
        <v>0</v>
      </c>
      <c r="I51" s="612">
        <f t="shared" si="8"/>
        <v>9.9000000000000005E-2</v>
      </c>
      <c r="J51" s="612">
        <f t="shared" si="8"/>
        <v>2.7E-2</v>
      </c>
      <c r="K51" s="612">
        <f t="shared" si="8"/>
        <v>8.9999999999999993E-3</v>
      </c>
      <c r="L51" s="612">
        <f t="shared" si="8"/>
        <v>7.1999999999999995E-2</v>
      </c>
      <c r="M51" s="612">
        <f t="shared" si="8"/>
        <v>3.3000000000000002E-2</v>
      </c>
      <c r="N51" s="612">
        <f t="shared" si="8"/>
        <v>0.04</v>
      </c>
      <c r="O51" s="612">
        <f t="shared" si="8"/>
        <v>0.156</v>
      </c>
      <c r="P51" s="619">
        <f t="shared" si="9"/>
        <v>1</v>
      </c>
      <c r="S51" s="618">
        <f t="shared" si="4"/>
        <v>2038</v>
      </c>
      <c r="T51" s="620">
        <v>0</v>
      </c>
      <c r="U51" s="620">
        <v>5</v>
      </c>
      <c r="V51" s="621">
        <f t="shared" si="5"/>
        <v>0</v>
      </c>
      <c r="W51" s="622">
        <v>1</v>
      </c>
      <c r="X51" s="623">
        <f t="shared" si="10"/>
        <v>0</v>
      </c>
    </row>
    <row r="52" spans="2:24">
      <c r="B52" s="618">
        <f t="shared" si="11"/>
        <v>2039</v>
      </c>
      <c r="C52" s="624"/>
      <c r="D52" s="611">
        <v>1</v>
      </c>
      <c r="E52" s="612">
        <f t="shared" si="8"/>
        <v>0.435</v>
      </c>
      <c r="F52" s="612">
        <f t="shared" si="8"/>
        <v>0.129</v>
      </c>
      <c r="G52" s="612">
        <f t="shared" si="8"/>
        <v>0</v>
      </c>
      <c r="H52" s="612">
        <f t="shared" si="8"/>
        <v>0</v>
      </c>
      <c r="I52" s="612">
        <f t="shared" si="8"/>
        <v>9.9000000000000005E-2</v>
      </c>
      <c r="J52" s="612">
        <f t="shared" si="8"/>
        <v>2.7E-2</v>
      </c>
      <c r="K52" s="612">
        <f t="shared" si="8"/>
        <v>8.9999999999999993E-3</v>
      </c>
      <c r="L52" s="612">
        <f t="shared" si="8"/>
        <v>7.1999999999999995E-2</v>
      </c>
      <c r="M52" s="612">
        <f t="shared" si="8"/>
        <v>3.3000000000000002E-2</v>
      </c>
      <c r="N52" s="612">
        <f t="shared" si="8"/>
        <v>0.04</v>
      </c>
      <c r="O52" s="612">
        <f t="shared" si="8"/>
        <v>0.156</v>
      </c>
      <c r="P52" s="619">
        <f t="shared" si="9"/>
        <v>1</v>
      </c>
      <c r="S52" s="618">
        <f t="shared" si="4"/>
        <v>2039</v>
      </c>
      <c r="T52" s="620">
        <v>0</v>
      </c>
      <c r="U52" s="620">
        <v>5</v>
      </c>
      <c r="V52" s="621">
        <f t="shared" si="5"/>
        <v>0</v>
      </c>
      <c r="W52" s="622">
        <v>1</v>
      </c>
      <c r="X52" s="623">
        <f t="shared" si="10"/>
        <v>0</v>
      </c>
    </row>
    <row r="53" spans="2:24">
      <c r="B53" s="618">
        <f t="shared" si="11"/>
        <v>2040</v>
      </c>
      <c r="C53" s="624"/>
      <c r="D53" s="611">
        <v>1</v>
      </c>
      <c r="E53" s="612">
        <f t="shared" ref="E53:O68" si="12">E$8</f>
        <v>0.435</v>
      </c>
      <c r="F53" s="612">
        <f t="shared" si="12"/>
        <v>0.129</v>
      </c>
      <c r="G53" s="612">
        <f t="shared" si="8"/>
        <v>0</v>
      </c>
      <c r="H53" s="612">
        <f t="shared" si="12"/>
        <v>0</v>
      </c>
      <c r="I53" s="612">
        <f t="shared" si="8"/>
        <v>9.9000000000000005E-2</v>
      </c>
      <c r="J53" s="612">
        <f t="shared" si="12"/>
        <v>2.7E-2</v>
      </c>
      <c r="K53" s="612">
        <f t="shared" si="12"/>
        <v>8.9999999999999993E-3</v>
      </c>
      <c r="L53" s="612">
        <f t="shared" si="12"/>
        <v>7.1999999999999995E-2</v>
      </c>
      <c r="M53" s="612">
        <f t="shared" si="12"/>
        <v>3.3000000000000002E-2</v>
      </c>
      <c r="N53" s="612">
        <f t="shared" si="12"/>
        <v>0.04</v>
      </c>
      <c r="O53" s="612">
        <f t="shared" si="12"/>
        <v>0.156</v>
      </c>
      <c r="P53" s="619">
        <f t="shared" si="9"/>
        <v>1</v>
      </c>
      <c r="S53" s="618">
        <f t="shared" si="4"/>
        <v>2040</v>
      </c>
      <c r="T53" s="620">
        <v>0</v>
      </c>
      <c r="U53" s="620">
        <v>5</v>
      </c>
      <c r="V53" s="621">
        <f t="shared" si="5"/>
        <v>0</v>
      </c>
      <c r="W53" s="622">
        <v>1</v>
      </c>
      <c r="X53" s="623">
        <f t="shared" si="10"/>
        <v>0</v>
      </c>
    </row>
    <row r="54" spans="2:24">
      <c r="B54" s="618">
        <f t="shared" si="11"/>
        <v>2041</v>
      </c>
      <c r="C54" s="624"/>
      <c r="D54" s="611">
        <v>1</v>
      </c>
      <c r="E54" s="612">
        <f t="shared" si="12"/>
        <v>0.435</v>
      </c>
      <c r="F54" s="612">
        <f t="shared" si="12"/>
        <v>0.129</v>
      </c>
      <c r="G54" s="612">
        <f t="shared" si="8"/>
        <v>0</v>
      </c>
      <c r="H54" s="612">
        <f t="shared" si="12"/>
        <v>0</v>
      </c>
      <c r="I54" s="612">
        <f t="shared" si="8"/>
        <v>9.9000000000000005E-2</v>
      </c>
      <c r="J54" s="612">
        <f t="shared" si="12"/>
        <v>2.7E-2</v>
      </c>
      <c r="K54" s="612">
        <f t="shared" si="12"/>
        <v>8.9999999999999993E-3</v>
      </c>
      <c r="L54" s="612">
        <f t="shared" si="12"/>
        <v>7.1999999999999995E-2</v>
      </c>
      <c r="M54" s="612">
        <f t="shared" si="12"/>
        <v>3.3000000000000002E-2</v>
      </c>
      <c r="N54" s="612">
        <f t="shared" si="12"/>
        <v>0.04</v>
      </c>
      <c r="O54" s="612">
        <f t="shared" si="12"/>
        <v>0.156</v>
      </c>
      <c r="P54" s="619">
        <f t="shared" si="9"/>
        <v>1</v>
      </c>
      <c r="S54" s="618">
        <f t="shared" si="4"/>
        <v>2041</v>
      </c>
      <c r="T54" s="620">
        <v>0</v>
      </c>
      <c r="U54" s="620">
        <v>5</v>
      </c>
      <c r="V54" s="621">
        <f t="shared" si="5"/>
        <v>0</v>
      </c>
      <c r="W54" s="622">
        <v>1</v>
      </c>
      <c r="X54" s="623">
        <f t="shared" si="10"/>
        <v>0</v>
      </c>
    </row>
    <row r="55" spans="2:24">
      <c r="B55" s="618">
        <f t="shared" si="11"/>
        <v>2042</v>
      </c>
      <c r="C55" s="624"/>
      <c r="D55" s="611">
        <v>1</v>
      </c>
      <c r="E55" s="612">
        <f t="shared" si="12"/>
        <v>0.435</v>
      </c>
      <c r="F55" s="612">
        <f t="shared" si="12"/>
        <v>0.129</v>
      </c>
      <c r="G55" s="612">
        <f t="shared" si="8"/>
        <v>0</v>
      </c>
      <c r="H55" s="612">
        <f t="shared" si="12"/>
        <v>0</v>
      </c>
      <c r="I55" s="612">
        <f t="shared" si="8"/>
        <v>9.9000000000000005E-2</v>
      </c>
      <c r="J55" s="612">
        <f t="shared" si="12"/>
        <v>2.7E-2</v>
      </c>
      <c r="K55" s="612">
        <f t="shared" si="12"/>
        <v>8.9999999999999993E-3</v>
      </c>
      <c r="L55" s="612">
        <f t="shared" si="12"/>
        <v>7.1999999999999995E-2</v>
      </c>
      <c r="M55" s="612">
        <f t="shared" si="12"/>
        <v>3.3000000000000002E-2</v>
      </c>
      <c r="N55" s="612">
        <f t="shared" si="12"/>
        <v>0.04</v>
      </c>
      <c r="O55" s="612">
        <f t="shared" si="12"/>
        <v>0.156</v>
      </c>
      <c r="P55" s="619">
        <f t="shared" si="9"/>
        <v>1</v>
      </c>
      <c r="S55" s="618">
        <f t="shared" si="4"/>
        <v>2042</v>
      </c>
      <c r="T55" s="620">
        <v>0</v>
      </c>
      <c r="U55" s="620">
        <v>5</v>
      </c>
      <c r="V55" s="621">
        <f t="shared" si="5"/>
        <v>0</v>
      </c>
      <c r="W55" s="622">
        <v>1</v>
      </c>
      <c r="X55" s="623">
        <f t="shared" si="10"/>
        <v>0</v>
      </c>
    </row>
    <row r="56" spans="2:24">
      <c r="B56" s="618">
        <f t="shared" si="11"/>
        <v>2043</v>
      </c>
      <c r="C56" s="624"/>
      <c r="D56" s="611">
        <v>1</v>
      </c>
      <c r="E56" s="612">
        <f t="shared" si="12"/>
        <v>0.435</v>
      </c>
      <c r="F56" s="612">
        <f t="shared" si="12"/>
        <v>0.129</v>
      </c>
      <c r="G56" s="612">
        <f t="shared" si="8"/>
        <v>0</v>
      </c>
      <c r="H56" s="612">
        <f t="shared" si="12"/>
        <v>0</v>
      </c>
      <c r="I56" s="612">
        <f t="shared" si="8"/>
        <v>9.9000000000000005E-2</v>
      </c>
      <c r="J56" s="612">
        <f t="shared" si="12"/>
        <v>2.7E-2</v>
      </c>
      <c r="K56" s="612">
        <f t="shared" si="12"/>
        <v>8.9999999999999993E-3</v>
      </c>
      <c r="L56" s="612">
        <f t="shared" si="12"/>
        <v>7.1999999999999995E-2</v>
      </c>
      <c r="M56" s="612">
        <f t="shared" si="12"/>
        <v>3.3000000000000002E-2</v>
      </c>
      <c r="N56" s="612">
        <f t="shared" si="12"/>
        <v>0.04</v>
      </c>
      <c r="O56" s="612">
        <f t="shared" si="12"/>
        <v>0.156</v>
      </c>
      <c r="P56" s="619">
        <f t="shared" si="9"/>
        <v>1</v>
      </c>
      <c r="S56" s="618">
        <f t="shared" si="4"/>
        <v>2043</v>
      </c>
      <c r="T56" s="620">
        <v>0</v>
      </c>
      <c r="U56" s="620">
        <v>5</v>
      </c>
      <c r="V56" s="621">
        <f t="shared" si="5"/>
        <v>0</v>
      </c>
      <c r="W56" s="622">
        <v>1</v>
      </c>
      <c r="X56" s="623">
        <f t="shared" si="10"/>
        <v>0</v>
      </c>
    </row>
    <row r="57" spans="2:24">
      <c r="B57" s="618">
        <f t="shared" si="11"/>
        <v>2044</v>
      </c>
      <c r="C57" s="624"/>
      <c r="D57" s="611">
        <v>1</v>
      </c>
      <c r="E57" s="612">
        <f t="shared" si="12"/>
        <v>0.435</v>
      </c>
      <c r="F57" s="612">
        <f t="shared" si="12"/>
        <v>0.129</v>
      </c>
      <c r="G57" s="612">
        <f t="shared" si="8"/>
        <v>0</v>
      </c>
      <c r="H57" s="612">
        <f t="shared" si="12"/>
        <v>0</v>
      </c>
      <c r="I57" s="612">
        <f t="shared" si="8"/>
        <v>9.9000000000000005E-2</v>
      </c>
      <c r="J57" s="612">
        <f t="shared" si="12"/>
        <v>2.7E-2</v>
      </c>
      <c r="K57" s="612">
        <f t="shared" si="12"/>
        <v>8.9999999999999993E-3</v>
      </c>
      <c r="L57" s="612">
        <f t="shared" si="12"/>
        <v>7.1999999999999995E-2</v>
      </c>
      <c r="M57" s="612">
        <f t="shared" si="12"/>
        <v>3.3000000000000002E-2</v>
      </c>
      <c r="N57" s="612">
        <f t="shared" si="12"/>
        <v>0.04</v>
      </c>
      <c r="O57" s="612">
        <f t="shared" si="12"/>
        <v>0.156</v>
      </c>
      <c r="P57" s="619">
        <f t="shared" si="9"/>
        <v>1</v>
      </c>
      <c r="S57" s="618">
        <f t="shared" si="4"/>
        <v>2044</v>
      </c>
      <c r="T57" s="620">
        <v>0</v>
      </c>
      <c r="U57" s="620">
        <v>5</v>
      </c>
      <c r="V57" s="621">
        <f t="shared" si="5"/>
        <v>0</v>
      </c>
      <c r="W57" s="622">
        <v>1</v>
      </c>
      <c r="X57" s="623">
        <f t="shared" si="10"/>
        <v>0</v>
      </c>
    </row>
    <row r="58" spans="2:24">
      <c r="B58" s="618">
        <f t="shared" si="11"/>
        <v>2045</v>
      </c>
      <c r="C58" s="624"/>
      <c r="D58" s="611">
        <v>1</v>
      </c>
      <c r="E58" s="612">
        <f t="shared" si="12"/>
        <v>0.435</v>
      </c>
      <c r="F58" s="612">
        <f t="shared" si="12"/>
        <v>0.129</v>
      </c>
      <c r="G58" s="612">
        <f t="shared" si="8"/>
        <v>0</v>
      </c>
      <c r="H58" s="612">
        <f t="shared" si="12"/>
        <v>0</v>
      </c>
      <c r="I58" s="612">
        <f t="shared" si="8"/>
        <v>9.9000000000000005E-2</v>
      </c>
      <c r="J58" s="612">
        <f t="shared" si="12"/>
        <v>2.7E-2</v>
      </c>
      <c r="K58" s="612">
        <f t="shared" si="12"/>
        <v>8.9999999999999993E-3</v>
      </c>
      <c r="L58" s="612">
        <f t="shared" si="12"/>
        <v>7.1999999999999995E-2</v>
      </c>
      <c r="M58" s="612">
        <f t="shared" si="12"/>
        <v>3.3000000000000002E-2</v>
      </c>
      <c r="N58" s="612">
        <f t="shared" si="12"/>
        <v>0.04</v>
      </c>
      <c r="O58" s="612">
        <f t="shared" si="12"/>
        <v>0.156</v>
      </c>
      <c r="P58" s="619">
        <f t="shared" si="9"/>
        <v>1</v>
      </c>
      <c r="S58" s="618">
        <f t="shared" si="4"/>
        <v>2045</v>
      </c>
      <c r="T58" s="620">
        <v>0</v>
      </c>
      <c r="U58" s="620">
        <v>5</v>
      </c>
      <c r="V58" s="621">
        <f t="shared" si="5"/>
        <v>0</v>
      </c>
      <c r="W58" s="622">
        <v>1</v>
      </c>
      <c r="X58" s="623">
        <f t="shared" si="10"/>
        <v>0</v>
      </c>
    </row>
    <row r="59" spans="2:24">
      <c r="B59" s="618">
        <f t="shared" si="11"/>
        <v>2046</v>
      </c>
      <c r="C59" s="624"/>
      <c r="D59" s="611">
        <v>1</v>
      </c>
      <c r="E59" s="612">
        <f t="shared" si="12"/>
        <v>0.435</v>
      </c>
      <c r="F59" s="612">
        <f t="shared" si="12"/>
        <v>0.129</v>
      </c>
      <c r="G59" s="612">
        <f t="shared" si="12"/>
        <v>0</v>
      </c>
      <c r="H59" s="612">
        <f t="shared" si="12"/>
        <v>0</v>
      </c>
      <c r="I59" s="612">
        <f t="shared" si="12"/>
        <v>9.9000000000000005E-2</v>
      </c>
      <c r="J59" s="612">
        <f t="shared" si="12"/>
        <v>2.7E-2</v>
      </c>
      <c r="K59" s="612">
        <f t="shared" si="12"/>
        <v>8.9999999999999993E-3</v>
      </c>
      <c r="L59" s="612">
        <f t="shared" si="12"/>
        <v>7.1999999999999995E-2</v>
      </c>
      <c r="M59" s="612">
        <f t="shared" si="12"/>
        <v>3.3000000000000002E-2</v>
      </c>
      <c r="N59" s="612">
        <f t="shared" si="12"/>
        <v>0.04</v>
      </c>
      <c r="O59" s="612">
        <f t="shared" si="12"/>
        <v>0.156</v>
      </c>
      <c r="P59" s="619">
        <f t="shared" si="9"/>
        <v>1</v>
      </c>
      <c r="S59" s="618">
        <f t="shared" si="4"/>
        <v>2046</v>
      </c>
      <c r="T59" s="620">
        <v>0</v>
      </c>
      <c r="U59" s="620">
        <v>5</v>
      </c>
      <c r="V59" s="621">
        <f t="shared" si="5"/>
        <v>0</v>
      </c>
      <c r="W59" s="622">
        <v>1</v>
      </c>
      <c r="X59" s="623">
        <f t="shared" si="10"/>
        <v>0</v>
      </c>
    </row>
    <row r="60" spans="2:24">
      <c r="B60" s="618">
        <f t="shared" si="11"/>
        <v>2047</v>
      </c>
      <c r="C60" s="624"/>
      <c r="D60" s="611">
        <v>1</v>
      </c>
      <c r="E60" s="612">
        <f t="shared" si="12"/>
        <v>0.435</v>
      </c>
      <c r="F60" s="612">
        <f t="shared" si="12"/>
        <v>0.129</v>
      </c>
      <c r="G60" s="612">
        <f t="shared" si="12"/>
        <v>0</v>
      </c>
      <c r="H60" s="612">
        <f t="shared" si="12"/>
        <v>0</v>
      </c>
      <c r="I60" s="612">
        <f t="shared" si="12"/>
        <v>9.9000000000000005E-2</v>
      </c>
      <c r="J60" s="612">
        <f t="shared" si="12"/>
        <v>2.7E-2</v>
      </c>
      <c r="K60" s="612">
        <f t="shared" si="12"/>
        <v>8.9999999999999993E-3</v>
      </c>
      <c r="L60" s="612">
        <f t="shared" si="12"/>
        <v>7.1999999999999995E-2</v>
      </c>
      <c r="M60" s="612">
        <f t="shared" si="12"/>
        <v>3.3000000000000002E-2</v>
      </c>
      <c r="N60" s="612">
        <f t="shared" si="12"/>
        <v>0.04</v>
      </c>
      <c r="O60" s="612">
        <f t="shared" si="12"/>
        <v>0.156</v>
      </c>
      <c r="P60" s="619">
        <f t="shared" si="9"/>
        <v>1</v>
      </c>
      <c r="S60" s="618">
        <f t="shared" si="4"/>
        <v>2047</v>
      </c>
      <c r="T60" s="620">
        <v>0</v>
      </c>
      <c r="U60" s="620">
        <v>5</v>
      </c>
      <c r="V60" s="621">
        <f t="shared" si="5"/>
        <v>0</v>
      </c>
      <c r="W60" s="622">
        <v>1</v>
      </c>
      <c r="X60" s="623">
        <f t="shared" si="10"/>
        <v>0</v>
      </c>
    </row>
    <row r="61" spans="2:24">
      <c r="B61" s="618">
        <f t="shared" si="11"/>
        <v>2048</v>
      </c>
      <c r="C61" s="624"/>
      <c r="D61" s="611">
        <v>1</v>
      </c>
      <c r="E61" s="612">
        <f t="shared" si="12"/>
        <v>0.435</v>
      </c>
      <c r="F61" s="612">
        <f t="shared" si="12"/>
        <v>0.129</v>
      </c>
      <c r="G61" s="612">
        <f t="shared" si="12"/>
        <v>0</v>
      </c>
      <c r="H61" s="612">
        <f t="shared" si="12"/>
        <v>0</v>
      </c>
      <c r="I61" s="612">
        <f t="shared" si="12"/>
        <v>9.9000000000000005E-2</v>
      </c>
      <c r="J61" s="612">
        <f t="shared" si="12"/>
        <v>2.7E-2</v>
      </c>
      <c r="K61" s="612">
        <f t="shared" si="12"/>
        <v>8.9999999999999993E-3</v>
      </c>
      <c r="L61" s="612">
        <f t="shared" si="12"/>
        <v>7.1999999999999995E-2</v>
      </c>
      <c r="M61" s="612">
        <f t="shared" si="12"/>
        <v>3.3000000000000002E-2</v>
      </c>
      <c r="N61" s="612">
        <f t="shared" si="12"/>
        <v>0.04</v>
      </c>
      <c r="O61" s="612">
        <f t="shared" si="12"/>
        <v>0.156</v>
      </c>
      <c r="P61" s="619">
        <f t="shared" si="9"/>
        <v>1</v>
      </c>
      <c r="S61" s="618">
        <f t="shared" si="4"/>
        <v>2048</v>
      </c>
      <c r="T61" s="620">
        <v>0</v>
      </c>
      <c r="U61" s="620">
        <v>5</v>
      </c>
      <c r="V61" s="621">
        <f t="shared" si="5"/>
        <v>0</v>
      </c>
      <c r="W61" s="622">
        <v>1</v>
      </c>
      <c r="X61" s="623">
        <f t="shared" si="10"/>
        <v>0</v>
      </c>
    </row>
    <row r="62" spans="2:24">
      <c r="B62" s="618">
        <f t="shared" si="11"/>
        <v>2049</v>
      </c>
      <c r="C62" s="624"/>
      <c r="D62" s="611">
        <v>1</v>
      </c>
      <c r="E62" s="612">
        <f t="shared" si="12"/>
        <v>0.435</v>
      </c>
      <c r="F62" s="612">
        <f t="shared" si="12"/>
        <v>0.129</v>
      </c>
      <c r="G62" s="612">
        <f t="shared" si="12"/>
        <v>0</v>
      </c>
      <c r="H62" s="612">
        <f t="shared" si="12"/>
        <v>0</v>
      </c>
      <c r="I62" s="612">
        <f t="shared" si="12"/>
        <v>9.9000000000000005E-2</v>
      </c>
      <c r="J62" s="612">
        <f t="shared" si="12"/>
        <v>2.7E-2</v>
      </c>
      <c r="K62" s="612">
        <f t="shared" si="12"/>
        <v>8.9999999999999993E-3</v>
      </c>
      <c r="L62" s="612">
        <f t="shared" si="12"/>
        <v>7.1999999999999995E-2</v>
      </c>
      <c r="M62" s="612">
        <f t="shared" si="12"/>
        <v>3.3000000000000002E-2</v>
      </c>
      <c r="N62" s="612">
        <f t="shared" si="12"/>
        <v>0.04</v>
      </c>
      <c r="O62" s="612">
        <f t="shared" si="12"/>
        <v>0.156</v>
      </c>
      <c r="P62" s="619">
        <f t="shared" si="9"/>
        <v>1</v>
      </c>
      <c r="S62" s="618">
        <f t="shared" si="4"/>
        <v>2049</v>
      </c>
      <c r="T62" s="620">
        <v>0</v>
      </c>
      <c r="U62" s="620">
        <v>5</v>
      </c>
      <c r="V62" s="621">
        <f t="shared" si="5"/>
        <v>0</v>
      </c>
      <c r="W62" s="622">
        <v>1</v>
      </c>
      <c r="X62" s="623">
        <f t="shared" si="10"/>
        <v>0</v>
      </c>
    </row>
    <row r="63" spans="2:24">
      <c r="B63" s="618">
        <f t="shared" si="11"/>
        <v>2050</v>
      </c>
      <c r="C63" s="624"/>
      <c r="D63" s="611">
        <v>1</v>
      </c>
      <c r="E63" s="612">
        <f t="shared" ref="E63:O78" si="13">E$8</f>
        <v>0.435</v>
      </c>
      <c r="F63" s="612">
        <f t="shared" si="13"/>
        <v>0.129</v>
      </c>
      <c r="G63" s="612">
        <f t="shared" si="12"/>
        <v>0</v>
      </c>
      <c r="H63" s="612">
        <f t="shared" si="13"/>
        <v>0</v>
      </c>
      <c r="I63" s="612">
        <f t="shared" si="12"/>
        <v>9.9000000000000005E-2</v>
      </c>
      <c r="J63" s="612">
        <f t="shared" si="13"/>
        <v>2.7E-2</v>
      </c>
      <c r="K63" s="612">
        <f t="shared" si="13"/>
        <v>8.9999999999999993E-3</v>
      </c>
      <c r="L63" s="612">
        <f t="shared" si="13"/>
        <v>7.1999999999999995E-2</v>
      </c>
      <c r="M63" s="612">
        <f t="shared" si="13"/>
        <v>3.3000000000000002E-2</v>
      </c>
      <c r="N63" s="612">
        <f t="shared" si="13"/>
        <v>0.04</v>
      </c>
      <c r="O63" s="612">
        <f t="shared" si="13"/>
        <v>0.156</v>
      </c>
      <c r="P63" s="619">
        <f t="shared" si="9"/>
        <v>1</v>
      </c>
      <c r="S63" s="618">
        <f t="shared" si="4"/>
        <v>2050</v>
      </c>
      <c r="T63" s="620">
        <v>0</v>
      </c>
      <c r="U63" s="620">
        <v>5</v>
      </c>
      <c r="V63" s="621">
        <f t="shared" si="5"/>
        <v>0</v>
      </c>
      <c r="W63" s="622">
        <v>1</v>
      </c>
      <c r="X63" s="623">
        <f t="shared" si="10"/>
        <v>0</v>
      </c>
    </row>
    <row r="64" spans="2:24">
      <c r="B64" s="618">
        <f t="shared" si="11"/>
        <v>2051</v>
      </c>
      <c r="C64" s="624"/>
      <c r="D64" s="611">
        <v>1</v>
      </c>
      <c r="E64" s="612">
        <f t="shared" si="13"/>
        <v>0.435</v>
      </c>
      <c r="F64" s="612">
        <f t="shared" si="13"/>
        <v>0.129</v>
      </c>
      <c r="G64" s="612">
        <f t="shared" si="12"/>
        <v>0</v>
      </c>
      <c r="H64" s="612">
        <f t="shared" si="13"/>
        <v>0</v>
      </c>
      <c r="I64" s="612">
        <f t="shared" si="12"/>
        <v>9.9000000000000005E-2</v>
      </c>
      <c r="J64" s="612">
        <f t="shared" si="13"/>
        <v>2.7E-2</v>
      </c>
      <c r="K64" s="612">
        <f t="shared" si="13"/>
        <v>8.9999999999999993E-3</v>
      </c>
      <c r="L64" s="612">
        <f t="shared" si="13"/>
        <v>7.1999999999999995E-2</v>
      </c>
      <c r="M64" s="612">
        <f t="shared" si="13"/>
        <v>3.3000000000000002E-2</v>
      </c>
      <c r="N64" s="612">
        <f t="shared" si="13"/>
        <v>0.04</v>
      </c>
      <c r="O64" s="612">
        <f t="shared" si="13"/>
        <v>0.156</v>
      </c>
      <c r="P64" s="619">
        <f t="shared" si="9"/>
        <v>1</v>
      </c>
      <c r="S64" s="618">
        <f t="shared" si="4"/>
        <v>2051</v>
      </c>
      <c r="T64" s="620">
        <v>0</v>
      </c>
      <c r="U64" s="620">
        <v>5</v>
      </c>
      <c r="V64" s="621">
        <f t="shared" si="5"/>
        <v>0</v>
      </c>
      <c r="W64" s="622">
        <v>1</v>
      </c>
      <c r="X64" s="623">
        <f t="shared" si="10"/>
        <v>0</v>
      </c>
    </row>
    <row r="65" spans="2:24">
      <c r="B65" s="618">
        <f t="shared" si="11"/>
        <v>2052</v>
      </c>
      <c r="C65" s="624"/>
      <c r="D65" s="611">
        <v>1</v>
      </c>
      <c r="E65" s="612">
        <f t="shared" si="13"/>
        <v>0.435</v>
      </c>
      <c r="F65" s="612">
        <f t="shared" si="13"/>
        <v>0.129</v>
      </c>
      <c r="G65" s="612">
        <f t="shared" si="12"/>
        <v>0</v>
      </c>
      <c r="H65" s="612">
        <f t="shared" si="13"/>
        <v>0</v>
      </c>
      <c r="I65" s="612">
        <f t="shared" si="12"/>
        <v>9.9000000000000005E-2</v>
      </c>
      <c r="J65" s="612">
        <f t="shared" si="13"/>
        <v>2.7E-2</v>
      </c>
      <c r="K65" s="612">
        <f t="shared" si="13"/>
        <v>8.9999999999999993E-3</v>
      </c>
      <c r="L65" s="612">
        <f t="shared" si="13"/>
        <v>7.1999999999999995E-2</v>
      </c>
      <c r="M65" s="612">
        <f t="shared" si="13"/>
        <v>3.3000000000000002E-2</v>
      </c>
      <c r="N65" s="612">
        <f t="shared" si="13"/>
        <v>0.04</v>
      </c>
      <c r="O65" s="612">
        <f t="shared" si="13"/>
        <v>0.156</v>
      </c>
      <c r="P65" s="619">
        <f t="shared" si="9"/>
        <v>1</v>
      </c>
      <c r="S65" s="618">
        <f t="shared" si="4"/>
        <v>2052</v>
      </c>
      <c r="T65" s="620">
        <v>0</v>
      </c>
      <c r="U65" s="620">
        <v>5</v>
      </c>
      <c r="V65" s="621">
        <f t="shared" si="5"/>
        <v>0</v>
      </c>
      <c r="W65" s="622">
        <v>1</v>
      </c>
      <c r="X65" s="623">
        <f t="shared" si="10"/>
        <v>0</v>
      </c>
    </row>
    <row r="66" spans="2:24">
      <c r="B66" s="618">
        <f t="shared" si="11"/>
        <v>2053</v>
      </c>
      <c r="C66" s="624"/>
      <c r="D66" s="611">
        <v>1</v>
      </c>
      <c r="E66" s="612">
        <f t="shared" si="13"/>
        <v>0.435</v>
      </c>
      <c r="F66" s="612">
        <f t="shared" si="13"/>
        <v>0.129</v>
      </c>
      <c r="G66" s="612">
        <f t="shared" si="12"/>
        <v>0</v>
      </c>
      <c r="H66" s="612">
        <f t="shared" si="13"/>
        <v>0</v>
      </c>
      <c r="I66" s="612">
        <f t="shared" si="12"/>
        <v>9.9000000000000005E-2</v>
      </c>
      <c r="J66" s="612">
        <f t="shared" si="13"/>
        <v>2.7E-2</v>
      </c>
      <c r="K66" s="612">
        <f t="shared" si="13"/>
        <v>8.9999999999999993E-3</v>
      </c>
      <c r="L66" s="612">
        <f t="shared" si="13"/>
        <v>7.1999999999999995E-2</v>
      </c>
      <c r="M66" s="612">
        <f t="shared" si="13"/>
        <v>3.3000000000000002E-2</v>
      </c>
      <c r="N66" s="612">
        <f t="shared" si="13"/>
        <v>0.04</v>
      </c>
      <c r="O66" s="612">
        <f t="shared" si="13"/>
        <v>0.156</v>
      </c>
      <c r="P66" s="619">
        <f t="shared" si="9"/>
        <v>1</v>
      </c>
      <c r="S66" s="618">
        <f t="shared" si="4"/>
        <v>2053</v>
      </c>
      <c r="T66" s="620">
        <v>0</v>
      </c>
      <c r="U66" s="620">
        <v>5</v>
      </c>
      <c r="V66" s="621">
        <f t="shared" si="5"/>
        <v>0</v>
      </c>
      <c r="W66" s="622">
        <v>1</v>
      </c>
      <c r="X66" s="623">
        <f t="shared" si="10"/>
        <v>0</v>
      </c>
    </row>
    <row r="67" spans="2:24">
      <c r="B67" s="618">
        <f t="shared" si="11"/>
        <v>2054</v>
      </c>
      <c r="C67" s="624"/>
      <c r="D67" s="611">
        <v>1</v>
      </c>
      <c r="E67" s="612">
        <f t="shared" si="13"/>
        <v>0.435</v>
      </c>
      <c r="F67" s="612">
        <f t="shared" si="13"/>
        <v>0.129</v>
      </c>
      <c r="G67" s="612">
        <f t="shared" si="12"/>
        <v>0</v>
      </c>
      <c r="H67" s="612">
        <f t="shared" si="13"/>
        <v>0</v>
      </c>
      <c r="I67" s="612">
        <f t="shared" si="12"/>
        <v>9.9000000000000005E-2</v>
      </c>
      <c r="J67" s="612">
        <f t="shared" si="13"/>
        <v>2.7E-2</v>
      </c>
      <c r="K67" s="612">
        <f t="shared" si="13"/>
        <v>8.9999999999999993E-3</v>
      </c>
      <c r="L67" s="612">
        <f t="shared" si="13"/>
        <v>7.1999999999999995E-2</v>
      </c>
      <c r="M67" s="612">
        <f t="shared" si="13"/>
        <v>3.3000000000000002E-2</v>
      </c>
      <c r="N67" s="612">
        <f t="shared" si="13"/>
        <v>0.04</v>
      </c>
      <c r="O67" s="612">
        <f t="shared" si="13"/>
        <v>0.156</v>
      </c>
      <c r="P67" s="619">
        <f t="shared" si="9"/>
        <v>1</v>
      </c>
      <c r="S67" s="618">
        <f t="shared" si="4"/>
        <v>2054</v>
      </c>
      <c r="T67" s="620">
        <v>0</v>
      </c>
      <c r="U67" s="620">
        <v>5</v>
      </c>
      <c r="V67" s="621">
        <f t="shared" si="5"/>
        <v>0</v>
      </c>
      <c r="W67" s="622">
        <v>1</v>
      </c>
      <c r="X67" s="623">
        <f t="shared" si="10"/>
        <v>0</v>
      </c>
    </row>
    <row r="68" spans="2:24">
      <c r="B68" s="618">
        <f t="shared" si="11"/>
        <v>2055</v>
      </c>
      <c r="C68" s="624"/>
      <c r="D68" s="611">
        <v>1</v>
      </c>
      <c r="E68" s="612">
        <f t="shared" si="13"/>
        <v>0.435</v>
      </c>
      <c r="F68" s="612">
        <f t="shared" si="13"/>
        <v>0.129</v>
      </c>
      <c r="G68" s="612">
        <f t="shared" si="12"/>
        <v>0</v>
      </c>
      <c r="H68" s="612">
        <f t="shared" si="13"/>
        <v>0</v>
      </c>
      <c r="I68" s="612">
        <f t="shared" si="12"/>
        <v>9.9000000000000005E-2</v>
      </c>
      <c r="J68" s="612">
        <f t="shared" si="13"/>
        <v>2.7E-2</v>
      </c>
      <c r="K68" s="612">
        <f t="shared" si="13"/>
        <v>8.9999999999999993E-3</v>
      </c>
      <c r="L68" s="612">
        <f t="shared" si="13"/>
        <v>7.1999999999999995E-2</v>
      </c>
      <c r="M68" s="612">
        <f t="shared" si="13"/>
        <v>3.3000000000000002E-2</v>
      </c>
      <c r="N68" s="612">
        <f t="shared" si="13"/>
        <v>0.04</v>
      </c>
      <c r="O68" s="612">
        <f t="shared" si="13"/>
        <v>0.156</v>
      </c>
      <c r="P68" s="619">
        <f t="shared" si="9"/>
        <v>1</v>
      </c>
      <c r="S68" s="618">
        <f t="shared" si="4"/>
        <v>2055</v>
      </c>
      <c r="T68" s="620">
        <v>0</v>
      </c>
      <c r="U68" s="620">
        <v>5</v>
      </c>
      <c r="V68" s="621">
        <f t="shared" si="5"/>
        <v>0</v>
      </c>
      <c r="W68" s="622">
        <v>1</v>
      </c>
      <c r="X68" s="623">
        <f t="shared" si="10"/>
        <v>0</v>
      </c>
    </row>
    <row r="69" spans="2:24">
      <c r="B69" s="618">
        <f t="shared" si="11"/>
        <v>2056</v>
      </c>
      <c r="C69" s="624"/>
      <c r="D69" s="611">
        <v>1</v>
      </c>
      <c r="E69" s="612">
        <f t="shared" si="13"/>
        <v>0.435</v>
      </c>
      <c r="F69" s="612">
        <f t="shared" si="13"/>
        <v>0.129</v>
      </c>
      <c r="G69" s="612">
        <f t="shared" si="13"/>
        <v>0</v>
      </c>
      <c r="H69" s="612">
        <f t="shared" si="13"/>
        <v>0</v>
      </c>
      <c r="I69" s="612">
        <f t="shared" si="13"/>
        <v>9.9000000000000005E-2</v>
      </c>
      <c r="J69" s="612">
        <f t="shared" si="13"/>
        <v>2.7E-2</v>
      </c>
      <c r="K69" s="612">
        <f t="shared" si="13"/>
        <v>8.9999999999999993E-3</v>
      </c>
      <c r="L69" s="612">
        <f t="shared" si="13"/>
        <v>7.1999999999999995E-2</v>
      </c>
      <c r="M69" s="612">
        <f t="shared" si="13"/>
        <v>3.3000000000000002E-2</v>
      </c>
      <c r="N69" s="612">
        <f t="shared" si="13"/>
        <v>0.04</v>
      </c>
      <c r="O69" s="612">
        <f t="shared" si="13"/>
        <v>0.156</v>
      </c>
      <c r="P69" s="619">
        <f t="shared" si="9"/>
        <v>1</v>
      </c>
      <c r="S69" s="618">
        <f t="shared" si="4"/>
        <v>2056</v>
      </c>
      <c r="T69" s="620">
        <v>0</v>
      </c>
      <c r="U69" s="620">
        <v>5</v>
      </c>
      <c r="V69" s="621">
        <f t="shared" si="5"/>
        <v>0</v>
      </c>
      <c r="W69" s="622">
        <v>1</v>
      </c>
      <c r="X69" s="623">
        <f t="shared" si="10"/>
        <v>0</v>
      </c>
    </row>
    <row r="70" spans="2:24">
      <c r="B70" s="618">
        <f t="shared" si="11"/>
        <v>2057</v>
      </c>
      <c r="C70" s="624"/>
      <c r="D70" s="611">
        <v>1</v>
      </c>
      <c r="E70" s="612">
        <f t="shared" si="13"/>
        <v>0.435</v>
      </c>
      <c r="F70" s="612">
        <f t="shared" si="13"/>
        <v>0.129</v>
      </c>
      <c r="G70" s="612">
        <f t="shared" si="13"/>
        <v>0</v>
      </c>
      <c r="H70" s="612">
        <f t="shared" si="13"/>
        <v>0</v>
      </c>
      <c r="I70" s="612">
        <f t="shared" si="13"/>
        <v>9.9000000000000005E-2</v>
      </c>
      <c r="J70" s="612">
        <f t="shared" si="13"/>
        <v>2.7E-2</v>
      </c>
      <c r="K70" s="612">
        <f t="shared" si="13"/>
        <v>8.9999999999999993E-3</v>
      </c>
      <c r="L70" s="612">
        <f t="shared" si="13"/>
        <v>7.1999999999999995E-2</v>
      </c>
      <c r="M70" s="612">
        <f t="shared" si="13"/>
        <v>3.3000000000000002E-2</v>
      </c>
      <c r="N70" s="612">
        <f t="shared" si="13"/>
        <v>0.04</v>
      </c>
      <c r="O70" s="612">
        <f t="shared" si="13"/>
        <v>0.156</v>
      </c>
      <c r="P70" s="619">
        <f t="shared" si="9"/>
        <v>1</v>
      </c>
      <c r="S70" s="618">
        <f t="shared" si="4"/>
        <v>2057</v>
      </c>
      <c r="T70" s="620">
        <v>0</v>
      </c>
      <c r="U70" s="620">
        <v>5</v>
      </c>
      <c r="V70" s="621">
        <f t="shared" si="5"/>
        <v>0</v>
      </c>
      <c r="W70" s="622">
        <v>1</v>
      </c>
      <c r="X70" s="623">
        <f t="shared" si="10"/>
        <v>0</v>
      </c>
    </row>
    <row r="71" spans="2:24">
      <c r="B71" s="618">
        <f t="shared" si="11"/>
        <v>2058</v>
      </c>
      <c r="C71" s="624"/>
      <c r="D71" s="611">
        <v>1</v>
      </c>
      <c r="E71" s="612">
        <f t="shared" si="13"/>
        <v>0.435</v>
      </c>
      <c r="F71" s="612">
        <f t="shared" si="13"/>
        <v>0.129</v>
      </c>
      <c r="G71" s="612">
        <f t="shared" si="13"/>
        <v>0</v>
      </c>
      <c r="H71" s="612">
        <f t="shared" si="13"/>
        <v>0</v>
      </c>
      <c r="I71" s="612">
        <f t="shared" si="13"/>
        <v>9.9000000000000005E-2</v>
      </c>
      <c r="J71" s="612">
        <f t="shared" si="13"/>
        <v>2.7E-2</v>
      </c>
      <c r="K71" s="612">
        <f t="shared" si="13"/>
        <v>8.9999999999999993E-3</v>
      </c>
      <c r="L71" s="612">
        <f t="shared" si="13"/>
        <v>7.1999999999999995E-2</v>
      </c>
      <c r="M71" s="612">
        <f t="shared" si="13"/>
        <v>3.3000000000000002E-2</v>
      </c>
      <c r="N71" s="612">
        <f t="shared" si="13"/>
        <v>0.04</v>
      </c>
      <c r="O71" s="612">
        <f t="shared" si="13"/>
        <v>0.156</v>
      </c>
      <c r="P71" s="619">
        <f t="shared" si="9"/>
        <v>1</v>
      </c>
      <c r="S71" s="618">
        <f t="shared" si="4"/>
        <v>2058</v>
      </c>
      <c r="T71" s="620">
        <v>0</v>
      </c>
      <c r="U71" s="620">
        <v>5</v>
      </c>
      <c r="V71" s="621">
        <f t="shared" si="5"/>
        <v>0</v>
      </c>
      <c r="W71" s="622">
        <v>1</v>
      </c>
      <c r="X71" s="623">
        <f t="shared" si="10"/>
        <v>0</v>
      </c>
    </row>
    <row r="72" spans="2:24">
      <c r="B72" s="618">
        <f t="shared" si="11"/>
        <v>2059</v>
      </c>
      <c r="C72" s="624"/>
      <c r="D72" s="611">
        <v>1</v>
      </c>
      <c r="E72" s="612">
        <f t="shared" si="13"/>
        <v>0.435</v>
      </c>
      <c r="F72" s="612">
        <f t="shared" si="13"/>
        <v>0.129</v>
      </c>
      <c r="G72" s="612">
        <f t="shared" si="13"/>
        <v>0</v>
      </c>
      <c r="H72" s="612">
        <f t="shared" si="13"/>
        <v>0</v>
      </c>
      <c r="I72" s="612">
        <f t="shared" si="13"/>
        <v>9.9000000000000005E-2</v>
      </c>
      <c r="J72" s="612">
        <f t="shared" si="13"/>
        <v>2.7E-2</v>
      </c>
      <c r="K72" s="612">
        <f t="shared" si="13"/>
        <v>8.9999999999999993E-3</v>
      </c>
      <c r="L72" s="612">
        <f t="shared" si="13"/>
        <v>7.1999999999999995E-2</v>
      </c>
      <c r="M72" s="612">
        <f t="shared" si="13"/>
        <v>3.3000000000000002E-2</v>
      </c>
      <c r="N72" s="612">
        <f t="shared" si="13"/>
        <v>0.04</v>
      </c>
      <c r="O72" s="612">
        <f t="shared" si="13"/>
        <v>0.156</v>
      </c>
      <c r="P72" s="619">
        <f t="shared" si="9"/>
        <v>1</v>
      </c>
      <c r="S72" s="618">
        <f t="shared" si="4"/>
        <v>2059</v>
      </c>
      <c r="T72" s="620">
        <v>0</v>
      </c>
      <c r="U72" s="620">
        <v>5</v>
      </c>
      <c r="V72" s="621">
        <f t="shared" si="5"/>
        <v>0</v>
      </c>
      <c r="W72" s="622">
        <v>1</v>
      </c>
      <c r="X72" s="623">
        <f t="shared" si="10"/>
        <v>0</v>
      </c>
    </row>
    <row r="73" spans="2:24">
      <c r="B73" s="618">
        <f t="shared" si="11"/>
        <v>2060</v>
      </c>
      <c r="C73" s="624"/>
      <c r="D73" s="611">
        <v>1</v>
      </c>
      <c r="E73" s="612">
        <f t="shared" ref="E73:O88" si="14">E$8</f>
        <v>0.435</v>
      </c>
      <c r="F73" s="612">
        <f t="shared" si="14"/>
        <v>0.129</v>
      </c>
      <c r="G73" s="612">
        <f t="shared" si="13"/>
        <v>0</v>
      </c>
      <c r="H73" s="612">
        <f t="shared" si="14"/>
        <v>0</v>
      </c>
      <c r="I73" s="612">
        <f t="shared" si="13"/>
        <v>9.9000000000000005E-2</v>
      </c>
      <c r="J73" s="612">
        <f t="shared" si="14"/>
        <v>2.7E-2</v>
      </c>
      <c r="K73" s="612">
        <f t="shared" si="14"/>
        <v>8.9999999999999993E-3</v>
      </c>
      <c r="L73" s="612">
        <f t="shared" si="14"/>
        <v>7.1999999999999995E-2</v>
      </c>
      <c r="M73" s="612">
        <f t="shared" si="14"/>
        <v>3.3000000000000002E-2</v>
      </c>
      <c r="N73" s="612">
        <f t="shared" si="14"/>
        <v>0.04</v>
      </c>
      <c r="O73" s="612">
        <f t="shared" si="14"/>
        <v>0.156</v>
      </c>
      <c r="P73" s="619">
        <f t="shared" si="9"/>
        <v>1</v>
      </c>
      <c r="S73" s="618">
        <f t="shared" si="4"/>
        <v>2060</v>
      </c>
      <c r="T73" s="620">
        <v>0</v>
      </c>
      <c r="U73" s="620">
        <v>5</v>
      </c>
      <c r="V73" s="621">
        <f t="shared" si="5"/>
        <v>0</v>
      </c>
      <c r="W73" s="622">
        <v>1</v>
      </c>
      <c r="X73" s="623">
        <f t="shared" si="10"/>
        <v>0</v>
      </c>
    </row>
    <row r="74" spans="2:24">
      <c r="B74" s="618">
        <f t="shared" si="11"/>
        <v>2061</v>
      </c>
      <c r="C74" s="624"/>
      <c r="D74" s="611">
        <v>1</v>
      </c>
      <c r="E74" s="612">
        <f t="shared" si="14"/>
        <v>0.435</v>
      </c>
      <c r="F74" s="612">
        <f t="shared" si="14"/>
        <v>0.129</v>
      </c>
      <c r="G74" s="612">
        <f t="shared" si="13"/>
        <v>0</v>
      </c>
      <c r="H74" s="612">
        <f t="shared" si="14"/>
        <v>0</v>
      </c>
      <c r="I74" s="612">
        <f t="shared" si="13"/>
        <v>9.9000000000000005E-2</v>
      </c>
      <c r="J74" s="612">
        <f t="shared" si="14"/>
        <v>2.7E-2</v>
      </c>
      <c r="K74" s="612">
        <f t="shared" si="14"/>
        <v>8.9999999999999993E-3</v>
      </c>
      <c r="L74" s="612">
        <f t="shared" si="14"/>
        <v>7.1999999999999995E-2</v>
      </c>
      <c r="M74" s="612">
        <f t="shared" si="14"/>
        <v>3.3000000000000002E-2</v>
      </c>
      <c r="N74" s="612">
        <f t="shared" si="14"/>
        <v>0.04</v>
      </c>
      <c r="O74" s="612">
        <f t="shared" si="14"/>
        <v>0.156</v>
      </c>
      <c r="P74" s="619">
        <f t="shared" si="9"/>
        <v>1</v>
      </c>
      <c r="S74" s="618">
        <f t="shared" si="4"/>
        <v>2061</v>
      </c>
      <c r="T74" s="620">
        <v>0</v>
      </c>
      <c r="U74" s="620">
        <v>5</v>
      </c>
      <c r="V74" s="621">
        <f t="shared" si="5"/>
        <v>0</v>
      </c>
      <c r="W74" s="622">
        <v>1</v>
      </c>
      <c r="X74" s="623">
        <f t="shared" si="10"/>
        <v>0</v>
      </c>
    </row>
    <row r="75" spans="2:24">
      <c r="B75" s="618">
        <f t="shared" si="11"/>
        <v>2062</v>
      </c>
      <c r="C75" s="624"/>
      <c r="D75" s="611">
        <v>1</v>
      </c>
      <c r="E75" s="612">
        <f t="shared" si="14"/>
        <v>0.435</v>
      </c>
      <c r="F75" s="612">
        <f t="shared" si="14"/>
        <v>0.129</v>
      </c>
      <c r="G75" s="612">
        <f t="shared" si="13"/>
        <v>0</v>
      </c>
      <c r="H75" s="612">
        <f t="shared" si="14"/>
        <v>0</v>
      </c>
      <c r="I75" s="612">
        <f t="shared" si="13"/>
        <v>9.9000000000000005E-2</v>
      </c>
      <c r="J75" s="612">
        <f t="shared" si="14"/>
        <v>2.7E-2</v>
      </c>
      <c r="K75" s="612">
        <f t="shared" si="14"/>
        <v>8.9999999999999993E-3</v>
      </c>
      <c r="L75" s="612">
        <f t="shared" si="14"/>
        <v>7.1999999999999995E-2</v>
      </c>
      <c r="M75" s="612">
        <f t="shared" si="14"/>
        <v>3.3000000000000002E-2</v>
      </c>
      <c r="N75" s="612">
        <f t="shared" si="14"/>
        <v>0.04</v>
      </c>
      <c r="O75" s="612">
        <f t="shared" si="14"/>
        <v>0.156</v>
      </c>
      <c r="P75" s="619">
        <f t="shared" si="9"/>
        <v>1</v>
      </c>
      <c r="S75" s="618">
        <f t="shared" si="4"/>
        <v>2062</v>
      </c>
      <c r="T75" s="620">
        <v>0</v>
      </c>
      <c r="U75" s="620">
        <v>5</v>
      </c>
      <c r="V75" s="621">
        <f t="shared" si="5"/>
        <v>0</v>
      </c>
      <c r="W75" s="622">
        <v>1</v>
      </c>
      <c r="X75" s="623">
        <f t="shared" si="10"/>
        <v>0</v>
      </c>
    </row>
    <row r="76" spans="2:24">
      <c r="B76" s="618">
        <f t="shared" si="11"/>
        <v>2063</v>
      </c>
      <c r="C76" s="624"/>
      <c r="D76" s="611">
        <v>1</v>
      </c>
      <c r="E76" s="612">
        <f t="shared" si="14"/>
        <v>0.435</v>
      </c>
      <c r="F76" s="612">
        <f t="shared" si="14"/>
        <v>0.129</v>
      </c>
      <c r="G76" s="612">
        <f t="shared" si="13"/>
        <v>0</v>
      </c>
      <c r="H76" s="612">
        <f t="shared" si="14"/>
        <v>0</v>
      </c>
      <c r="I76" s="612">
        <f t="shared" si="13"/>
        <v>9.9000000000000005E-2</v>
      </c>
      <c r="J76" s="612">
        <f t="shared" si="14"/>
        <v>2.7E-2</v>
      </c>
      <c r="K76" s="612">
        <f t="shared" si="14"/>
        <v>8.9999999999999993E-3</v>
      </c>
      <c r="L76" s="612">
        <f t="shared" si="14"/>
        <v>7.1999999999999995E-2</v>
      </c>
      <c r="M76" s="612">
        <f t="shared" si="14"/>
        <v>3.3000000000000002E-2</v>
      </c>
      <c r="N76" s="612">
        <f t="shared" si="14"/>
        <v>0.04</v>
      </c>
      <c r="O76" s="612">
        <f t="shared" si="14"/>
        <v>0.156</v>
      </c>
      <c r="P76" s="619">
        <f t="shared" si="9"/>
        <v>1</v>
      </c>
      <c r="S76" s="618">
        <f t="shared" si="4"/>
        <v>2063</v>
      </c>
      <c r="T76" s="620">
        <v>0</v>
      </c>
      <c r="U76" s="620">
        <v>5</v>
      </c>
      <c r="V76" s="621">
        <f t="shared" si="5"/>
        <v>0</v>
      </c>
      <c r="W76" s="622">
        <v>1</v>
      </c>
      <c r="X76" s="623">
        <f t="shared" si="10"/>
        <v>0</v>
      </c>
    </row>
    <row r="77" spans="2:24">
      <c r="B77" s="618">
        <f t="shared" si="11"/>
        <v>2064</v>
      </c>
      <c r="C77" s="624"/>
      <c r="D77" s="611">
        <v>1</v>
      </c>
      <c r="E77" s="612">
        <f t="shared" si="14"/>
        <v>0.435</v>
      </c>
      <c r="F77" s="612">
        <f t="shared" si="14"/>
        <v>0.129</v>
      </c>
      <c r="G77" s="612">
        <f t="shared" si="13"/>
        <v>0</v>
      </c>
      <c r="H77" s="612">
        <f t="shared" si="14"/>
        <v>0</v>
      </c>
      <c r="I77" s="612">
        <f t="shared" si="13"/>
        <v>9.9000000000000005E-2</v>
      </c>
      <c r="J77" s="612">
        <f t="shared" si="14"/>
        <v>2.7E-2</v>
      </c>
      <c r="K77" s="612">
        <f t="shared" si="14"/>
        <v>8.9999999999999993E-3</v>
      </c>
      <c r="L77" s="612">
        <f t="shared" si="14"/>
        <v>7.1999999999999995E-2</v>
      </c>
      <c r="M77" s="612">
        <f t="shared" si="14"/>
        <v>3.3000000000000002E-2</v>
      </c>
      <c r="N77" s="612">
        <f t="shared" si="14"/>
        <v>0.04</v>
      </c>
      <c r="O77" s="612">
        <f t="shared" si="14"/>
        <v>0.156</v>
      </c>
      <c r="P77" s="619">
        <f t="shared" ref="P77:P93" si="15">SUM(E77:O77)</f>
        <v>1</v>
      </c>
      <c r="S77" s="618">
        <f t="shared" si="4"/>
        <v>2064</v>
      </c>
      <c r="T77" s="620">
        <v>0</v>
      </c>
      <c r="U77" s="620">
        <v>5</v>
      </c>
      <c r="V77" s="621">
        <f t="shared" si="5"/>
        <v>0</v>
      </c>
      <c r="W77" s="622">
        <v>1</v>
      </c>
      <c r="X77" s="623">
        <f t="shared" ref="X77:X93" si="16">V77*W77</f>
        <v>0</v>
      </c>
    </row>
    <row r="78" spans="2:24">
      <c r="B78" s="618">
        <f t="shared" ref="B78:B93" si="17">B77+1</f>
        <v>2065</v>
      </c>
      <c r="C78" s="624"/>
      <c r="D78" s="611">
        <v>1</v>
      </c>
      <c r="E78" s="612">
        <f t="shared" si="14"/>
        <v>0.435</v>
      </c>
      <c r="F78" s="612">
        <f t="shared" si="14"/>
        <v>0.129</v>
      </c>
      <c r="G78" s="612">
        <f t="shared" si="13"/>
        <v>0</v>
      </c>
      <c r="H78" s="612">
        <f t="shared" si="14"/>
        <v>0</v>
      </c>
      <c r="I78" s="612">
        <f t="shared" si="13"/>
        <v>9.9000000000000005E-2</v>
      </c>
      <c r="J78" s="612">
        <f t="shared" si="14"/>
        <v>2.7E-2</v>
      </c>
      <c r="K78" s="612">
        <f t="shared" si="14"/>
        <v>8.9999999999999993E-3</v>
      </c>
      <c r="L78" s="612">
        <f t="shared" si="14"/>
        <v>7.1999999999999995E-2</v>
      </c>
      <c r="M78" s="612">
        <f t="shared" si="14"/>
        <v>3.3000000000000002E-2</v>
      </c>
      <c r="N78" s="612">
        <f t="shared" si="14"/>
        <v>0.04</v>
      </c>
      <c r="O78" s="612">
        <f t="shared" si="14"/>
        <v>0.156</v>
      </c>
      <c r="P78" s="619">
        <f t="shared" si="15"/>
        <v>1</v>
      </c>
      <c r="S78" s="618">
        <f t="shared" ref="S78:S93" si="18">S77+1</f>
        <v>2065</v>
      </c>
      <c r="T78" s="620">
        <v>0</v>
      </c>
      <c r="U78" s="620">
        <v>5</v>
      </c>
      <c r="V78" s="621">
        <f t="shared" si="5"/>
        <v>0</v>
      </c>
      <c r="W78" s="622">
        <v>1</v>
      </c>
      <c r="X78" s="623">
        <f t="shared" si="16"/>
        <v>0</v>
      </c>
    </row>
    <row r="79" spans="2:24">
      <c r="B79" s="618">
        <f t="shared" si="17"/>
        <v>2066</v>
      </c>
      <c r="C79" s="624"/>
      <c r="D79" s="611">
        <v>1</v>
      </c>
      <c r="E79" s="612">
        <f t="shared" si="14"/>
        <v>0.435</v>
      </c>
      <c r="F79" s="612">
        <f t="shared" si="14"/>
        <v>0.129</v>
      </c>
      <c r="G79" s="612">
        <f t="shared" si="14"/>
        <v>0</v>
      </c>
      <c r="H79" s="612">
        <f t="shared" si="14"/>
        <v>0</v>
      </c>
      <c r="I79" s="612">
        <f t="shared" si="14"/>
        <v>9.9000000000000005E-2</v>
      </c>
      <c r="J79" s="612">
        <f t="shared" si="14"/>
        <v>2.7E-2</v>
      </c>
      <c r="K79" s="612">
        <f t="shared" si="14"/>
        <v>8.9999999999999993E-3</v>
      </c>
      <c r="L79" s="612">
        <f t="shared" si="14"/>
        <v>7.1999999999999995E-2</v>
      </c>
      <c r="M79" s="612">
        <f t="shared" si="14"/>
        <v>3.3000000000000002E-2</v>
      </c>
      <c r="N79" s="612">
        <f t="shared" si="14"/>
        <v>0.04</v>
      </c>
      <c r="O79" s="612">
        <f t="shared" si="14"/>
        <v>0.156</v>
      </c>
      <c r="P79" s="619">
        <f t="shared" si="15"/>
        <v>1</v>
      </c>
      <c r="S79" s="618">
        <f t="shared" si="18"/>
        <v>2066</v>
      </c>
      <c r="T79" s="620">
        <v>0</v>
      </c>
      <c r="U79" s="620">
        <v>5</v>
      </c>
      <c r="V79" s="621">
        <f t="shared" ref="V79:V93" si="19">T79*U79</f>
        <v>0</v>
      </c>
      <c r="W79" s="622">
        <v>1</v>
      </c>
      <c r="X79" s="623">
        <f t="shared" si="16"/>
        <v>0</v>
      </c>
    </row>
    <row r="80" spans="2:24">
      <c r="B80" s="618">
        <f t="shared" si="17"/>
        <v>2067</v>
      </c>
      <c r="C80" s="624"/>
      <c r="D80" s="611">
        <v>1</v>
      </c>
      <c r="E80" s="612">
        <f t="shared" si="14"/>
        <v>0.435</v>
      </c>
      <c r="F80" s="612">
        <f t="shared" si="14"/>
        <v>0.129</v>
      </c>
      <c r="G80" s="612">
        <f t="shared" si="14"/>
        <v>0</v>
      </c>
      <c r="H80" s="612">
        <f t="shared" si="14"/>
        <v>0</v>
      </c>
      <c r="I80" s="612">
        <f t="shared" si="14"/>
        <v>9.9000000000000005E-2</v>
      </c>
      <c r="J80" s="612">
        <f t="shared" si="14"/>
        <v>2.7E-2</v>
      </c>
      <c r="K80" s="612">
        <f t="shared" si="14"/>
        <v>8.9999999999999993E-3</v>
      </c>
      <c r="L80" s="612">
        <f t="shared" si="14"/>
        <v>7.1999999999999995E-2</v>
      </c>
      <c r="M80" s="612">
        <f t="shared" si="14"/>
        <v>3.3000000000000002E-2</v>
      </c>
      <c r="N80" s="612">
        <f t="shared" si="14"/>
        <v>0.04</v>
      </c>
      <c r="O80" s="612">
        <f t="shared" si="14"/>
        <v>0.156</v>
      </c>
      <c r="P80" s="619">
        <f t="shared" si="15"/>
        <v>1</v>
      </c>
      <c r="S80" s="618">
        <f t="shared" si="18"/>
        <v>2067</v>
      </c>
      <c r="T80" s="620">
        <v>0</v>
      </c>
      <c r="U80" s="620">
        <v>5</v>
      </c>
      <c r="V80" s="621">
        <f t="shared" si="19"/>
        <v>0</v>
      </c>
      <c r="W80" s="622">
        <v>1</v>
      </c>
      <c r="X80" s="623">
        <f t="shared" si="16"/>
        <v>0</v>
      </c>
    </row>
    <row r="81" spans="2:24">
      <c r="B81" s="618">
        <f t="shared" si="17"/>
        <v>2068</v>
      </c>
      <c r="C81" s="624"/>
      <c r="D81" s="611">
        <v>1</v>
      </c>
      <c r="E81" s="612">
        <f t="shared" si="14"/>
        <v>0.435</v>
      </c>
      <c r="F81" s="612">
        <f t="shared" si="14"/>
        <v>0.129</v>
      </c>
      <c r="G81" s="612">
        <f t="shared" si="14"/>
        <v>0</v>
      </c>
      <c r="H81" s="612">
        <f t="shared" si="14"/>
        <v>0</v>
      </c>
      <c r="I81" s="612">
        <f t="shared" si="14"/>
        <v>9.9000000000000005E-2</v>
      </c>
      <c r="J81" s="612">
        <f t="shared" si="14"/>
        <v>2.7E-2</v>
      </c>
      <c r="K81" s="612">
        <f t="shared" si="14"/>
        <v>8.9999999999999993E-3</v>
      </c>
      <c r="L81" s="612">
        <f t="shared" si="14"/>
        <v>7.1999999999999995E-2</v>
      </c>
      <c r="M81" s="612">
        <f t="shared" si="14"/>
        <v>3.3000000000000002E-2</v>
      </c>
      <c r="N81" s="612">
        <f t="shared" si="14"/>
        <v>0.04</v>
      </c>
      <c r="O81" s="612">
        <f t="shared" si="14"/>
        <v>0.156</v>
      </c>
      <c r="P81" s="619">
        <f t="shared" si="15"/>
        <v>1</v>
      </c>
      <c r="S81" s="618">
        <f t="shared" si="18"/>
        <v>2068</v>
      </c>
      <c r="T81" s="620">
        <v>0</v>
      </c>
      <c r="U81" s="620">
        <v>5</v>
      </c>
      <c r="V81" s="621">
        <f t="shared" si="19"/>
        <v>0</v>
      </c>
      <c r="W81" s="622">
        <v>1</v>
      </c>
      <c r="X81" s="623">
        <f t="shared" si="16"/>
        <v>0</v>
      </c>
    </row>
    <row r="82" spans="2:24">
      <c r="B82" s="618">
        <f t="shared" si="17"/>
        <v>2069</v>
      </c>
      <c r="C82" s="624"/>
      <c r="D82" s="611">
        <v>1</v>
      </c>
      <c r="E82" s="612">
        <f t="shared" si="14"/>
        <v>0.435</v>
      </c>
      <c r="F82" s="612">
        <f t="shared" si="14"/>
        <v>0.129</v>
      </c>
      <c r="G82" s="612">
        <f t="shared" si="14"/>
        <v>0</v>
      </c>
      <c r="H82" s="612">
        <f t="shared" si="14"/>
        <v>0</v>
      </c>
      <c r="I82" s="612">
        <f t="shared" si="14"/>
        <v>9.9000000000000005E-2</v>
      </c>
      <c r="J82" s="612">
        <f t="shared" si="14"/>
        <v>2.7E-2</v>
      </c>
      <c r="K82" s="612">
        <f t="shared" si="14"/>
        <v>8.9999999999999993E-3</v>
      </c>
      <c r="L82" s="612">
        <f t="shared" si="14"/>
        <v>7.1999999999999995E-2</v>
      </c>
      <c r="M82" s="612">
        <f t="shared" si="14"/>
        <v>3.3000000000000002E-2</v>
      </c>
      <c r="N82" s="612">
        <f t="shared" si="14"/>
        <v>0.04</v>
      </c>
      <c r="O82" s="612">
        <f t="shared" si="14"/>
        <v>0.156</v>
      </c>
      <c r="P82" s="619">
        <f t="shared" si="15"/>
        <v>1</v>
      </c>
      <c r="S82" s="618">
        <f t="shared" si="18"/>
        <v>2069</v>
      </c>
      <c r="T82" s="620">
        <v>0</v>
      </c>
      <c r="U82" s="620">
        <v>5</v>
      </c>
      <c r="V82" s="621">
        <f t="shared" si="19"/>
        <v>0</v>
      </c>
      <c r="W82" s="622">
        <v>1</v>
      </c>
      <c r="X82" s="623">
        <f t="shared" si="16"/>
        <v>0</v>
      </c>
    </row>
    <row r="83" spans="2:24">
      <c r="B83" s="618">
        <f t="shared" si="17"/>
        <v>2070</v>
      </c>
      <c r="C83" s="624"/>
      <c r="D83" s="611">
        <v>1</v>
      </c>
      <c r="E83" s="612">
        <f t="shared" ref="E83:O93" si="20">E$8</f>
        <v>0.435</v>
      </c>
      <c r="F83" s="612">
        <f t="shared" si="20"/>
        <v>0.129</v>
      </c>
      <c r="G83" s="612">
        <f t="shared" si="14"/>
        <v>0</v>
      </c>
      <c r="H83" s="612">
        <f t="shared" si="20"/>
        <v>0</v>
      </c>
      <c r="I83" s="612">
        <f t="shared" si="14"/>
        <v>9.9000000000000005E-2</v>
      </c>
      <c r="J83" s="612">
        <f t="shared" si="20"/>
        <v>2.7E-2</v>
      </c>
      <c r="K83" s="612">
        <f t="shared" si="20"/>
        <v>8.9999999999999993E-3</v>
      </c>
      <c r="L83" s="612">
        <f t="shared" si="20"/>
        <v>7.1999999999999995E-2</v>
      </c>
      <c r="M83" s="612">
        <f t="shared" si="20"/>
        <v>3.3000000000000002E-2</v>
      </c>
      <c r="N83" s="612">
        <f t="shared" si="20"/>
        <v>0.04</v>
      </c>
      <c r="O83" s="612">
        <f t="shared" si="20"/>
        <v>0.156</v>
      </c>
      <c r="P83" s="619">
        <f t="shared" si="15"/>
        <v>1</v>
      </c>
      <c r="S83" s="618">
        <f t="shared" si="18"/>
        <v>2070</v>
      </c>
      <c r="T83" s="620">
        <v>0</v>
      </c>
      <c r="U83" s="620">
        <v>5</v>
      </c>
      <c r="V83" s="621">
        <f t="shared" si="19"/>
        <v>0</v>
      </c>
      <c r="W83" s="622">
        <v>1</v>
      </c>
      <c r="X83" s="623">
        <f t="shared" si="16"/>
        <v>0</v>
      </c>
    </row>
    <row r="84" spans="2:24">
      <c r="B84" s="618">
        <f t="shared" si="17"/>
        <v>2071</v>
      </c>
      <c r="C84" s="624"/>
      <c r="D84" s="611">
        <v>1</v>
      </c>
      <c r="E84" s="612">
        <f t="shared" si="20"/>
        <v>0.435</v>
      </c>
      <c r="F84" s="612">
        <f t="shared" si="20"/>
        <v>0.129</v>
      </c>
      <c r="G84" s="612">
        <f t="shared" si="14"/>
        <v>0</v>
      </c>
      <c r="H84" s="612">
        <f t="shared" si="20"/>
        <v>0</v>
      </c>
      <c r="I84" s="612">
        <f t="shared" si="14"/>
        <v>9.9000000000000005E-2</v>
      </c>
      <c r="J84" s="612">
        <f t="shared" si="20"/>
        <v>2.7E-2</v>
      </c>
      <c r="K84" s="612">
        <f t="shared" si="20"/>
        <v>8.9999999999999993E-3</v>
      </c>
      <c r="L84" s="612">
        <f t="shared" si="20"/>
        <v>7.1999999999999995E-2</v>
      </c>
      <c r="M84" s="612">
        <f t="shared" si="20"/>
        <v>3.3000000000000002E-2</v>
      </c>
      <c r="N84" s="612">
        <f t="shared" si="20"/>
        <v>0.04</v>
      </c>
      <c r="O84" s="612">
        <f t="shared" si="20"/>
        <v>0.156</v>
      </c>
      <c r="P84" s="619">
        <f t="shared" si="15"/>
        <v>1</v>
      </c>
      <c r="S84" s="618">
        <f t="shared" si="18"/>
        <v>2071</v>
      </c>
      <c r="T84" s="620">
        <v>0</v>
      </c>
      <c r="U84" s="620">
        <v>5</v>
      </c>
      <c r="V84" s="621">
        <f t="shared" si="19"/>
        <v>0</v>
      </c>
      <c r="W84" s="622">
        <v>1</v>
      </c>
      <c r="X84" s="623">
        <f t="shared" si="16"/>
        <v>0</v>
      </c>
    </row>
    <row r="85" spans="2:24">
      <c r="B85" s="618">
        <f t="shared" si="17"/>
        <v>2072</v>
      </c>
      <c r="C85" s="624"/>
      <c r="D85" s="611">
        <v>1</v>
      </c>
      <c r="E85" s="612">
        <f t="shared" si="20"/>
        <v>0.435</v>
      </c>
      <c r="F85" s="612">
        <f t="shared" si="20"/>
        <v>0.129</v>
      </c>
      <c r="G85" s="612">
        <f t="shared" si="14"/>
        <v>0</v>
      </c>
      <c r="H85" s="612">
        <f t="shared" si="20"/>
        <v>0</v>
      </c>
      <c r="I85" s="612">
        <f t="shared" si="14"/>
        <v>9.9000000000000005E-2</v>
      </c>
      <c r="J85" s="612">
        <f t="shared" si="20"/>
        <v>2.7E-2</v>
      </c>
      <c r="K85" s="612">
        <f t="shared" si="20"/>
        <v>8.9999999999999993E-3</v>
      </c>
      <c r="L85" s="612">
        <f t="shared" si="20"/>
        <v>7.1999999999999995E-2</v>
      </c>
      <c r="M85" s="612">
        <f t="shared" si="20"/>
        <v>3.3000000000000002E-2</v>
      </c>
      <c r="N85" s="612">
        <f t="shared" si="20"/>
        <v>0.04</v>
      </c>
      <c r="O85" s="612">
        <f t="shared" si="20"/>
        <v>0.156</v>
      </c>
      <c r="P85" s="619">
        <f t="shared" si="15"/>
        <v>1</v>
      </c>
      <c r="S85" s="618">
        <f t="shared" si="18"/>
        <v>2072</v>
      </c>
      <c r="T85" s="620">
        <v>0</v>
      </c>
      <c r="U85" s="620">
        <v>5</v>
      </c>
      <c r="V85" s="621">
        <f t="shared" si="19"/>
        <v>0</v>
      </c>
      <c r="W85" s="622">
        <v>1</v>
      </c>
      <c r="X85" s="623">
        <f t="shared" si="16"/>
        <v>0</v>
      </c>
    </row>
    <row r="86" spans="2:24">
      <c r="B86" s="618">
        <f t="shared" si="17"/>
        <v>2073</v>
      </c>
      <c r="C86" s="624"/>
      <c r="D86" s="611">
        <v>1</v>
      </c>
      <c r="E86" s="612">
        <f t="shared" si="20"/>
        <v>0.435</v>
      </c>
      <c r="F86" s="612">
        <f t="shared" si="20"/>
        <v>0.129</v>
      </c>
      <c r="G86" s="612">
        <f t="shared" si="14"/>
        <v>0</v>
      </c>
      <c r="H86" s="612">
        <f t="shared" si="20"/>
        <v>0</v>
      </c>
      <c r="I86" s="612">
        <f t="shared" si="14"/>
        <v>9.9000000000000005E-2</v>
      </c>
      <c r="J86" s="612">
        <f t="shared" si="20"/>
        <v>2.7E-2</v>
      </c>
      <c r="K86" s="612">
        <f t="shared" si="20"/>
        <v>8.9999999999999993E-3</v>
      </c>
      <c r="L86" s="612">
        <f t="shared" si="20"/>
        <v>7.1999999999999995E-2</v>
      </c>
      <c r="M86" s="612">
        <f t="shared" si="20"/>
        <v>3.3000000000000002E-2</v>
      </c>
      <c r="N86" s="612">
        <f t="shared" si="20"/>
        <v>0.04</v>
      </c>
      <c r="O86" s="612">
        <f t="shared" si="20"/>
        <v>0.156</v>
      </c>
      <c r="P86" s="619">
        <f t="shared" si="15"/>
        <v>1</v>
      </c>
      <c r="S86" s="618">
        <f t="shared" si="18"/>
        <v>2073</v>
      </c>
      <c r="T86" s="620">
        <v>0</v>
      </c>
      <c r="U86" s="620">
        <v>5</v>
      </c>
      <c r="V86" s="621">
        <f t="shared" si="19"/>
        <v>0</v>
      </c>
      <c r="W86" s="622">
        <v>1</v>
      </c>
      <c r="X86" s="623">
        <f t="shared" si="16"/>
        <v>0</v>
      </c>
    </row>
    <row r="87" spans="2:24">
      <c r="B87" s="618">
        <f t="shared" si="17"/>
        <v>2074</v>
      </c>
      <c r="C87" s="624"/>
      <c r="D87" s="611">
        <v>1</v>
      </c>
      <c r="E87" s="612">
        <f t="shared" si="20"/>
        <v>0.435</v>
      </c>
      <c r="F87" s="612">
        <f t="shared" si="20"/>
        <v>0.129</v>
      </c>
      <c r="G87" s="612">
        <f t="shared" si="14"/>
        <v>0</v>
      </c>
      <c r="H87" s="612">
        <f t="shared" si="20"/>
        <v>0</v>
      </c>
      <c r="I87" s="612">
        <f t="shared" si="14"/>
        <v>9.9000000000000005E-2</v>
      </c>
      <c r="J87" s="612">
        <f t="shared" si="20"/>
        <v>2.7E-2</v>
      </c>
      <c r="K87" s="612">
        <f t="shared" si="20"/>
        <v>8.9999999999999993E-3</v>
      </c>
      <c r="L87" s="612">
        <f t="shared" si="20"/>
        <v>7.1999999999999995E-2</v>
      </c>
      <c r="M87" s="612">
        <f t="shared" si="20"/>
        <v>3.3000000000000002E-2</v>
      </c>
      <c r="N87" s="612">
        <f t="shared" si="20"/>
        <v>0.04</v>
      </c>
      <c r="O87" s="612">
        <f t="shared" si="20"/>
        <v>0.156</v>
      </c>
      <c r="P87" s="619">
        <f t="shared" si="15"/>
        <v>1</v>
      </c>
      <c r="S87" s="618">
        <f t="shared" si="18"/>
        <v>2074</v>
      </c>
      <c r="T87" s="620">
        <v>0</v>
      </c>
      <c r="U87" s="620">
        <v>5</v>
      </c>
      <c r="V87" s="621">
        <f t="shared" si="19"/>
        <v>0</v>
      </c>
      <c r="W87" s="622">
        <v>1</v>
      </c>
      <c r="X87" s="623">
        <f t="shared" si="16"/>
        <v>0</v>
      </c>
    </row>
    <row r="88" spans="2:24">
      <c r="B88" s="618">
        <f t="shared" si="17"/>
        <v>2075</v>
      </c>
      <c r="C88" s="624"/>
      <c r="D88" s="611">
        <v>1</v>
      </c>
      <c r="E88" s="612">
        <f t="shared" si="20"/>
        <v>0.435</v>
      </c>
      <c r="F88" s="612">
        <f t="shared" si="20"/>
        <v>0.129</v>
      </c>
      <c r="G88" s="612">
        <f t="shared" si="14"/>
        <v>0</v>
      </c>
      <c r="H88" s="612">
        <f t="shared" si="20"/>
        <v>0</v>
      </c>
      <c r="I88" s="612">
        <f t="shared" si="14"/>
        <v>9.9000000000000005E-2</v>
      </c>
      <c r="J88" s="612">
        <f t="shared" si="20"/>
        <v>2.7E-2</v>
      </c>
      <c r="K88" s="612">
        <f t="shared" si="20"/>
        <v>8.9999999999999993E-3</v>
      </c>
      <c r="L88" s="612">
        <f t="shared" si="20"/>
        <v>7.1999999999999995E-2</v>
      </c>
      <c r="M88" s="612">
        <f t="shared" si="20"/>
        <v>3.3000000000000002E-2</v>
      </c>
      <c r="N88" s="612">
        <f t="shared" si="20"/>
        <v>0.04</v>
      </c>
      <c r="O88" s="612">
        <f t="shared" si="20"/>
        <v>0.156</v>
      </c>
      <c r="P88" s="619">
        <f t="shared" si="15"/>
        <v>1</v>
      </c>
      <c r="S88" s="618">
        <f t="shared" si="18"/>
        <v>2075</v>
      </c>
      <c r="T88" s="620">
        <v>0</v>
      </c>
      <c r="U88" s="620">
        <v>5</v>
      </c>
      <c r="V88" s="621">
        <f t="shared" si="19"/>
        <v>0</v>
      </c>
      <c r="W88" s="622">
        <v>1</v>
      </c>
      <c r="X88" s="623">
        <f t="shared" si="16"/>
        <v>0</v>
      </c>
    </row>
    <row r="89" spans="2:24">
      <c r="B89" s="618">
        <f t="shared" si="17"/>
        <v>2076</v>
      </c>
      <c r="C89" s="624"/>
      <c r="D89" s="611">
        <v>1</v>
      </c>
      <c r="E89" s="612">
        <f t="shared" si="20"/>
        <v>0.435</v>
      </c>
      <c r="F89" s="612">
        <f t="shared" si="20"/>
        <v>0.129</v>
      </c>
      <c r="G89" s="612">
        <f t="shared" si="20"/>
        <v>0</v>
      </c>
      <c r="H89" s="612">
        <f t="shared" si="20"/>
        <v>0</v>
      </c>
      <c r="I89" s="612">
        <f t="shared" si="20"/>
        <v>9.9000000000000005E-2</v>
      </c>
      <c r="J89" s="612">
        <f t="shared" si="20"/>
        <v>2.7E-2</v>
      </c>
      <c r="K89" s="612">
        <f t="shared" si="20"/>
        <v>8.9999999999999993E-3</v>
      </c>
      <c r="L89" s="612">
        <f t="shared" si="20"/>
        <v>7.1999999999999995E-2</v>
      </c>
      <c r="M89" s="612">
        <f t="shared" si="20"/>
        <v>3.3000000000000002E-2</v>
      </c>
      <c r="N89" s="612">
        <f t="shared" si="20"/>
        <v>0.04</v>
      </c>
      <c r="O89" s="612">
        <f t="shared" si="20"/>
        <v>0.156</v>
      </c>
      <c r="P89" s="619">
        <f t="shared" si="15"/>
        <v>1</v>
      </c>
      <c r="S89" s="618">
        <f t="shared" si="18"/>
        <v>2076</v>
      </c>
      <c r="T89" s="620">
        <v>0</v>
      </c>
      <c r="U89" s="620">
        <v>5</v>
      </c>
      <c r="V89" s="621">
        <f t="shared" si="19"/>
        <v>0</v>
      </c>
      <c r="W89" s="622">
        <v>1</v>
      </c>
      <c r="X89" s="623">
        <f t="shared" si="16"/>
        <v>0</v>
      </c>
    </row>
    <row r="90" spans="2:24">
      <c r="B90" s="618">
        <f t="shared" si="17"/>
        <v>2077</v>
      </c>
      <c r="C90" s="624"/>
      <c r="D90" s="611">
        <v>1</v>
      </c>
      <c r="E90" s="612">
        <f t="shared" si="20"/>
        <v>0.435</v>
      </c>
      <c r="F90" s="612">
        <f t="shared" si="20"/>
        <v>0.129</v>
      </c>
      <c r="G90" s="612">
        <f t="shared" si="20"/>
        <v>0</v>
      </c>
      <c r="H90" s="612">
        <f t="shared" si="20"/>
        <v>0</v>
      </c>
      <c r="I90" s="612">
        <f t="shared" si="20"/>
        <v>9.9000000000000005E-2</v>
      </c>
      <c r="J90" s="612">
        <f t="shared" si="20"/>
        <v>2.7E-2</v>
      </c>
      <c r="K90" s="612">
        <f t="shared" si="20"/>
        <v>8.9999999999999993E-3</v>
      </c>
      <c r="L90" s="612">
        <f t="shared" si="20"/>
        <v>7.1999999999999995E-2</v>
      </c>
      <c r="M90" s="612">
        <f t="shared" si="20"/>
        <v>3.3000000000000002E-2</v>
      </c>
      <c r="N90" s="612">
        <f t="shared" si="20"/>
        <v>0.04</v>
      </c>
      <c r="O90" s="612">
        <f t="shared" si="20"/>
        <v>0.156</v>
      </c>
      <c r="P90" s="619">
        <f t="shared" si="15"/>
        <v>1</v>
      </c>
      <c r="S90" s="618">
        <f t="shared" si="18"/>
        <v>2077</v>
      </c>
      <c r="T90" s="620">
        <v>0</v>
      </c>
      <c r="U90" s="620">
        <v>5</v>
      </c>
      <c r="V90" s="621">
        <f t="shared" si="19"/>
        <v>0</v>
      </c>
      <c r="W90" s="622">
        <v>1</v>
      </c>
      <c r="X90" s="623">
        <f t="shared" si="16"/>
        <v>0</v>
      </c>
    </row>
    <row r="91" spans="2:24">
      <c r="B91" s="618">
        <f t="shared" si="17"/>
        <v>2078</v>
      </c>
      <c r="C91" s="624"/>
      <c r="D91" s="611">
        <v>1</v>
      </c>
      <c r="E91" s="612">
        <f t="shared" si="20"/>
        <v>0.435</v>
      </c>
      <c r="F91" s="612">
        <f t="shared" si="20"/>
        <v>0.129</v>
      </c>
      <c r="G91" s="612">
        <f t="shared" si="20"/>
        <v>0</v>
      </c>
      <c r="H91" s="612">
        <f t="shared" si="20"/>
        <v>0</v>
      </c>
      <c r="I91" s="612">
        <f t="shared" si="20"/>
        <v>9.9000000000000005E-2</v>
      </c>
      <c r="J91" s="612">
        <f t="shared" si="20"/>
        <v>2.7E-2</v>
      </c>
      <c r="K91" s="612">
        <f t="shared" si="20"/>
        <v>8.9999999999999993E-3</v>
      </c>
      <c r="L91" s="612">
        <f t="shared" si="20"/>
        <v>7.1999999999999995E-2</v>
      </c>
      <c r="M91" s="612">
        <f t="shared" si="20"/>
        <v>3.3000000000000002E-2</v>
      </c>
      <c r="N91" s="612">
        <f t="shared" si="20"/>
        <v>0.04</v>
      </c>
      <c r="O91" s="612">
        <f t="shared" si="20"/>
        <v>0.156</v>
      </c>
      <c r="P91" s="619">
        <f t="shared" si="15"/>
        <v>1</v>
      </c>
      <c r="S91" s="618">
        <f t="shared" si="18"/>
        <v>2078</v>
      </c>
      <c r="T91" s="620">
        <v>0</v>
      </c>
      <c r="U91" s="620">
        <v>5</v>
      </c>
      <c r="V91" s="621">
        <f t="shared" si="19"/>
        <v>0</v>
      </c>
      <c r="W91" s="622">
        <v>1</v>
      </c>
      <c r="X91" s="623">
        <f t="shared" si="16"/>
        <v>0</v>
      </c>
    </row>
    <row r="92" spans="2:24">
      <c r="B92" s="618">
        <f t="shared" si="17"/>
        <v>2079</v>
      </c>
      <c r="C92" s="624"/>
      <c r="D92" s="611">
        <v>1</v>
      </c>
      <c r="E92" s="612">
        <f t="shared" si="20"/>
        <v>0.435</v>
      </c>
      <c r="F92" s="612">
        <f t="shared" si="20"/>
        <v>0.129</v>
      </c>
      <c r="G92" s="612">
        <f t="shared" si="20"/>
        <v>0</v>
      </c>
      <c r="H92" s="612">
        <f t="shared" si="20"/>
        <v>0</v>
      </c>
      <c r="I92" s="612">
        <f t="shared" si="20"/>
        <v>9.9000000000000005E-2</v>
      </c>
      <c r="J92" s="612">
        <f t="shared" si="20"/>
        <v>2.7E-2</v>
      </c>
      <c r="K92" s="612">
        <f t="shared" si="20"/>
        <v>8.9999999999999993E-3</v>
      </c>
      <c r="L92" s="612">
        <f t="shared" si="20"/>
        <v>7.1999999999999995E-2</v>
      </c>
      <c r="M92" s="612">
        <f t="shared" si="20"/>
        <v>3.3000000000000002E-2</v>
      </c>
      <c r="N92" s="612">
        <f t="shared" si="20"/>
        <v>0.04</v>
      </c>
      <c r="O92" s="612">
        <f t="shared" si="20"/>
        <v>0.156</v>
      </c>
      <c r="P92" s="619">
        <f t="shared" si="15"/>
        <v>1</v>
      </c>
      <c r="S92" s="618">
        <f t="shared" si="18"/>
        <v>2079</v>
      </c>
      <c r="T92" s="620">
        <v>0</v>
      </c>
      <c r="U92" s="620">
        <v>5</v>
      </c>
      <c r="V92" s="621">
        <f t="shared" si="19"/>
        <v>0</v>
      </c>
      <c r="W92" s="622">
        <v>1</v>
      </c>
      <c r="X92" s="623">
        <f t="shared" si="16"/>
        <v>0</v>
      </c>
    </row>
    <row r="93" spans="2:24" ht="13.5" thickBot="1">
      <c r="B93" s="625">
        <f t="shared" si="17"/>
        <v>2080</v>
      </c>
      <c r="C93" s="626"/>
      <c r="D93" s="611">
        <v>1</v>
      </c>
      <c r="E93" s="627">
        <f t="shared" si="20"/>
        <v>0.435</v>
      </c>
      <c r="F93" s="627">
        <f t="shared" si="20"/>
        <v>0.129</v>
      </c>
      <c r="G93" s="627">
        <f t="shared" si="20"/>
        <v>0</v>
      </c>
      <c r="H93" s="627">
        <f t="shared" si="20"/>
        <v>0</v>
      </c>
      <c r="I93" s="627">
        <f t="shared" si="20"/>
        <v>9.9000000000000005E-2</v>
      </c>
      <c r="J93" s="627">
        <f t="shared" si="20"/>
        <v>2.7E-2</v>
      </c>
      <c r="K93" s="627">
        <f t="shared" si="20"/>
        <v>8.9999999999999993E-3</v>
      </c>
      <c r="L93" s="627">
        <f t="shared" si="20"/>
        <v>7.1999999999999995E-2</v>
      </c>
      <c r="M93" s="627">
        <f t="shared" si="20"/>
        <v>3.3000000000000002E-2</v>
      </c>
      <c r="N93" s="627">
        <f t="shared" si="20"/>
        <v>0.04</v>
      </c>
      <c r="O93" s="628">
        <f t="shared" si="20"/>
        <v>0.156</v>
      </c>
      <c r="P93" s="629">
        <f t="shared" si="15"/>
        <v>1</v>
      </c>
      <c r="S93" s="625">
        <f t="shared" si="18"/>
        <v>2080</v>
      </c>
      <c r="T93" s="630">
        <v>0</v>
      </c>
      <c r="U93" s="631">
        <v>5</v>
      </c>
      <c r="V93" s="632">
        <f t="shared" si="19"/>
        <v>0</v>
      </c>
      <c r="W93" s="633">
        <v>1</v>
      </c>
      <c r="X93" s="634">
        <f t="shared" si="16"/>
        <v>0</v>
      </c>
    </row>
  </sheetData>
  <customSheetViews>
    <customSheetView guid="{B400968E-E9A7-41C3-9739-36597C9C6BC6}" showGridLines="0" showRuler="0">
      <pane xSplit="2" ySplit="10" topLeftCell="C11" activePane="bottomRight" state="frozenSplit"/>
      <selection pane="bottomRight" activeCell="E18" sqref="E18"/>
      <pageMargins left="0.7" right="0.7" top="0.75" bottom="0.75" header="0.3" footer="0.3"/>
      <pageSetup paperSize="9" orientation="portrait"/>
      <headerFooter alignWithMargins="0"/>
    </customSheetView>
  </customSheetViews>
  <mergeCells count="13">
    <mergeCell ref="E9:O9"/>
    <mergeCell ref="J10:J11"/>
    <mergeCell ref="L10:O10"/>
    <mergeCell ref="H10:H11"/>
    <mergeCell ref="K10:K11"/>
    <mergeCell ref="G10:G11"/>
    <mergeCell ref="I10:I11"/>
    <mergeCell ref="P10:P11"/>
    <mergeCell ref="B10:B11"/>
    <mergeCell ref="C10:C11"/>
    <mergeCell ref="D10:D11"/>
    <mergeCell ref="E10:E11"/>
    <mergeCell ref="F10:F11"/>
  </mergeCells>
  <phoneticPr fontId="16" type="noConversion"/>
  <dataValidations count="1">
    <dataValidation type="decimal" showInputMessage="1" showErrorMessage="1" error="Please enter a number between 1% and 100%" sqref="W13:W93">
      <formula1>0</formula1>
      <formula2>1</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2:T86"/>
  <sheetViews>
    <sheetView workbookViewId="0">
      <pane ySplit="5" topLeftCell="A6" activePane="bottomLeft" state="frozen"/>
      <selection pane="bottomLeft" activeCell="C6" sqref="C6"/>
    </sheetView>
  </sheetViews>
  <sheetFormatPr defaultColWidth="8.85546875" defaultRowHeight="12.75"/>
  <cols>
    <col min="1" max="1" width="8.85546875" style="380"/>
    <col min="2" max="2" width="7.42578125" style="380" customWidth="1"/>
    <col min="3" max="3" width="10.42578125" style="380" customWidth="1"/>
    <col min="4" max="4" width="10.28515625" style="380" customWidth="1"/>
    <col min="5" max="5" width="11.140625" style="380" customWidth="1"/>
    <col min="6" max="7" width="11.42578125" style="380" customWidth="1"/>
    <col min="8" max="8" width="8.7109375" style="380" customWidth="1"/>
    <col min="9" max="9" width="11" style="380" customWidth="1"/>
    <col min="10" max="16384" width="8.85546875" style="380"/>
  </cols>
  <sheetData>
    <row r="2" spans="2:16" ht="18">
      <c r="B2" s="379" t="s">
        <v>241</v>
      </c>
    </row>
    <row r="3" spans="2:16" ht="13.5" thickBot="1">
      <c r="B3" s="416" t="s">
        <v>274</v>
      </c>
    </row>
    <row r="4" spans="2:16" ht="25.5">
      <c r="B4" s="421" t="s">
        <v>1</v>
      </c>
      <c r="C4" s="422" t="s">
        <v>6</v>
      </c>
      <c r="D4" s="423" t="s">
        <v>269</v>
      </c>
      <c r="E4" s="423" t="s">
        <v>267</v>
      </c>
      <c r="F4" s="423" t="s">
        <v>139</v>
      </c>
      <c r="G4" s="423" t="s">
        <v>2</v>
      </c>
      <c r="H4" s="422" t="s">
        <v>16</v>
      </c>
      <c r="I4" s="422" t="s">
        <v>229</v>
      </c>
      <c r="J4" s="422" t="s">
        <v>230</v>
      </c>
      <c r="K4" s="422" t="s">
        <v>231</v>
      </c>
      <c r="L4" s="422" t="s">
        <v>232</v>
      </c>
      <c r="M4" s="424" t="s">
        <v>233</v>
      </c>
      <c r="N4" s="424" t="s">
        <v>146</v>
      </c>
      <c r="O4" s="424" t="s">
        <v>204</v>
      </c>
      <c r="P4" s="424" t="s">
        <v>308</v>
      </c>
    </row>
    <row r="5" spans="2:16" ht="13.5" thickBot="1">
      <c r="B5" s="425"/>
      <c r="C5" s="420" t="s">
        <v>24</v>
      </c>
      <c r="D5" s="420" t="s">
        <v>24</v>
      </c>
      <c r="E5" s="420" t="s">
        <v>24</v>
      </c>
      <c r="F5" s="420" t="s">
        <v>24</v>
      </c>
      <c r="G5" s="420" t="s">
        <v>24</v>
      </c>
      <c r="H5" s="420" t="s">
        <v>24</v>
      </c>
      <c r="I5" s="420" t="s">
        <v>24</v>
      </c>
      <c r="J5" s="420" t="s">
        <v>24</v>
      </c>
      <c r="K5" s="420" t="s">
        <v>24</v>
      </c>
      <c r="L5" s="420" t="s">
        <v>24</v>
      </c>
      <c r="M5" s="420" t="s">
        <v>24</v>
      </c>
      <c r="N5" s="420" t="s">
        <v>24</v>
      </c>
      <c r="O5" s="420" t="s">
        <v>24</v>
      </c>
      <c r="P5" s="420" t="s">
        <v>24</v>
      </c>
    </row>
    <row r="6" spans="2:16">
      <c r="B6" s="386">
        <f>year</f>
        <v>2000</v>
      </c>
      <c r="C6" s="419">
        <v>0.59</v>
      </c>
      <c r="D6" s="419">
        <v>0.44</v>
      </c>
      <c r="E6" s="419">
        <v>0.44</v>
      </c>
      <c r="F6" s="419">
        <v>0.56999999999999995</v>
      </c>
      <c r="G6" s="419">
        <v>0.56999999999999995</v>
      </c>
      <c r="H6" s="419">
        <v>0.73</v>
      </c>
      <c r="I6" s="419">
        <v>0.89</v>
      </c>
      <c r="J6" s="419">
        <v>0.56999999999999995</v>
      </c>
      <c r="K6" s="419">
        <v>0.97</v>
      </c>
      <c r="L6" s="419">
        <v>0.66</v>
      </c>
      <c r="M6" s="419">
        <v>0.95</v>
      </c>
      <c r="N6" s="419">
        <v>0</v>
      </c>
      <c r="O6" s="419">
        <v>0</v>
      </c>
      <c r="P6" s="419">
        <v>0</v>
      </c>
    </row>
    <row r="7" spans="2:16">
      <c r="B7" s="381">
        <f>B6+1</f>
        <v>2001</v>
      </c>
      <c r="C7" s="419">
        <v>0.59</v>
      </c>
      <c r="D7" s="419">
        <v>0.44</v>
      </c>
      <c r="E7" s="419">
        <v>0.44</v>
      </c>
      <c r="F7" s="419">
        <v>0.56999999999999995</v>
      </c>
      <c r="G7" s="419">
        <v>0.56999999999999995</v>
      </c>
      <c r="H7" s="419">
        <v>0.73</v>
      </c>
      <c r="I7" s="419">
        <v>0.89</v>
      </c>
      <c r="J7" s="419">
        <v>0.56999999999999995</v>
      </c>
      <c r="K7" s="419">
        <v>0.97</v>
      </c>
      <c r="L7" s="419">
        <v>0.66</v>
      </c>
      <c r="M7" s="419">
        <v>0.95</v>
      </c>
      <c r="N7" s="419">
        <v>0</v>
      </c>
      <c r="O7" s="419">
        <v>0</v>
      </c>
      <c r="P7" s="419">
        <v>0</v>
      </c>
    </row>
    <row r="8" spans="2:16">
      <c r="B8" s="381">
        <f t="shared" ref="B8:B71" si="0">B7+1</f>
        <v>2002</v>
      </c>
      <c r="C8" s="419">
        <v>0.59</v>
      </c>
      <c r="D8" s="419">
        <v>0.44</v>
      </c>
      <c r="E8" s="419">
        <v>0.44</v>
      </c>
      <c r="F8" s="419">
        <v>0.56999999999999995</v>
      </c>
      <c r="G8" s="419">
        <v>0.56999999999999995</v>
      </c>
      <c r="H8" s="419">
        <v>0.73</v>
      </c>
      <c r="I8" s="419">
        <v>0.89</v>
      </c>
      <c r="J8" s="419">
        <v>0.56999999999999995</v>
      </c>
      <c r="K8" s="419">
        <v>0.97</v>
      </c>
      <c r="L8" s="419">
        <v>0.66</v>
      </c>
      <c r="M8" s="419">
        <v>0.95</v>
      </c>
      <c r="N8" s="419">
        <v>0</v>
      </c>
      <c r="O8" s="419">
        <v>0</v>
      </c>
      <c r="P8" s="419">
        <v>0</v>
      </c>
    </row>
    <row r="9" spans="2:16">
      <c r="B9" s="381">
        <f t="shared" si="0"/>
        <v>2003</v>
      </c>
      <c r="C9" s="419">
        <v>0.59</v>
      </c>
      <c r="D9" s="419">
        <v>0.44</v>
      </c>
      <c r="E9" s="419">
        <v>0.44</v>
      </c>
      <c r="F9" s="419">
        <v>0.56999999999999995</v>
      </c>
      <c r="G9" s="419">
        <v>0.56999999999999995</v>
      </c>
      <c r="H9" s="419">
        <v>0.73</v>
      </c>
      <c r="I9" s="419">
        <v>0.89</v>
      </c>
      <c r="J9" s="419">
        <v>0.56999999999999995</v>
      </c>
      <c r="K9" s="419">
        <v>0.97</v>
      </c>
      <c r="L9" s="419">
        <v>0.66</v>
      </c>
      <c r="M9" s="419">
        <v>0.95</v>
      </c>
      <c r="N9" s="419">
        <v>0</v>
      </c>
      <c r="O9" s="419">
        <v>0</v>
      </c>
      <c r="P9" s="419">
        <v>0</v>
      </c>
    </row>
    <row r="10" spans="2:16">
      <c r="B10" s="381">
        <f t="shared" si="0"/>
        <v>2004</v>
      </c>
      <c r="C10" s="419">
        <v>0.59</v>
      </c>
      <c r="D10" s="419">
        <v>0.44</v>
      </c>
      <c r="E10" s="419">
        <v>0.44</v>
      </c>
      <c r="F10" s="419">
        <v>0.56999999999999995</v>
      </c>
      <c r="G10" s="419">
        <v>0.56999999999999995</v>
      </c>
      <c r="H10" s="419">
        <v>0.73</v>
      </c>
      <c r="I10" s="419">
        <v>0.89</v>
      </c>
      <c r="J10" s="419">
        <v>0.56999999999999995</v>
      </c>
      <c r="K10" s="419">
        <v>0.97</v>
      </c>
      <c r="L10" s="419">
        <v>0.66</v>
      </c>
      <c r="M10" s="419">
        <v>0.95</v>
      </c>
      <c r="N10" s="419">
        <v>0</v>
      </c>
      <c r="O10" s="419">
        <v>0</v>
      </c>
      <c r="P10" s="419">
        <v>0</v>
      </c>
    </row>
    <row r="11" spans="2:16">
      <c r="B11" s="381">
        <f t="shared" si="0"/>
        <v>2005</v>
      </c>
      <c r="C11" s="419">
        <v>0.59</v>
      </c>
      <c r="D11" s="419">
        <v>0.44</v>
      </c>
      <c r="E11" s="419">
        <v>0.44</v>
      </c>
      <c r="F11" s="419">
        <v>0.56999999999999995</v>
      </c>
      <c r="G11" s="419">
        <v>0.56999999999999995</v>
      </c>
      <c r="H11" s="419">
        <v>0.73</v>
      </c>
      <c r="I11" s="419">
        <v>0.89</v>
      </c>
      <c r="J11" s="419">
        <v>0.56999999999999995</v>
      </c>
      <c r="K11" s="419">
        <v>0.97</v>
      </c>
      <c r="L11" s="419">
        <v>0.66</v>
      </c>
      <c r="M11" s="419">
        <v>0.95</v>
      </c>
      <c r="N11" s="419">
        <v>0</v>
      </c>
      <c r="O11" s="419">
        <v>0</v>
      </c>
      <c r="P11" s="419">
        <v>0</v>
      </c>
    </row>
    <row r="12" spans="2:16">
      <c r="B12" s="381">
        <f t="shared" si="0"/>
        <v>2006</v>
      </c>
      <c r="C12" s="419">
        <v>0.59</v>
      </c>
      <c r="D12" s="419">
        <v>0.44</v>
      </c>
      <c r="E12" s="419">
        <v>0.44</v>
      </c>
      <c r="F12" s="419">
        <v>0.56999999999999995</v>
      </c>
      <c r="G12" s="419">
        <v>0.56999999999999995</v>
      </c>
      <c r="H12" s="419">
        <v>0.73</v>
      </c>
      <c r="I12" s="419">
        <v>0.89</v>
      </c>
      <c r="J12" s="419">
        <v>0.56999999999999995</v>
      </c>
      <c r="K12" s="419">
        <v>0.97</v>
      </c>
      <c r="L12" s="419">
        <v>0.66</v>
      </c>
      <c r="M12" s="419">
        <v>0.95</v>
      </c>
      <c r="N12" s="419">
        <v>0</v>
      </c>
      <c r="O12" s="419">
        <v>0</v>
      </c>
      <c r="P12" s="419">
        <v>0</v>
      </c>
    </row>
    <row r="13" spans="2:16">
      <c r="B13" s="381">
        <f t="shared" si="0"/>
        <v>2007</v>
      </c>
      <c r="C13" s="419">
        <v>0.59</v>
      </c>
      <c r="D13" s="419">
        <v>0.44</v>
      </c>
      <c r="E13" s="419">
        <v>0.44</v>
      </c>
      <c r="F13" s="419">
        <v>0.56999999999999995</v>
      </c>
      <c r="G13" s="419">
        <v>0.56999999999999995</v>
      </c>
      <c r="H13" s="419">
        <v>0.73</v>
      </c>
      <c r="I13" s="419">
        <v>0.89</v>
      </c>
      <c r="J13" s="419">
        <v>0.56999999999999995</v>
      </c>
      <c r="K13" s="419">
        <v>0.97</v>
      </c>
      <c r="L13" s="419">
        <v>0.66</v>
      </c>
      <c r="M13" s="419">
        <v>0.95</v>
      </c>
      <c r="N13" s="419">
        <v>0</v>
      </c>
      <c r="O13" s="419">
        <v>0</v>
      </c>
      <c r="P13" s="419">
        <v>0</v>
      </c>
    </row>
    <row r="14" spans="2:16">
      <c r="B14" s="381">
        <f t="shared" si="0"/>
        <v>2008</v>
      </c>
      <c r="C14" s="419">
        <v>0.59</v>
      </c>
      <c r="D14" s="419">
        <v>0.44</v>
      </c>
      <c r="E14" s="419">
        <v>0.44</v>
      </c>
      <c r="F14" s="419">
        <v>0.56999999999999995</v>
      </c>
      <c r="G14" s="419">
        <v>0.56999999999999995</v>
      </c>
      <c r="H14" s="419">
        <v>0.73</v>
      </c>
      <c r="I14" s="419">
        <v>0.89</v>
      </c>
      <c r="J14" s="419">
        <v>0.56999999999999995</v>
      </c>
      <c r="K14" s="419">
        <v>0.97</v>
      </c>
      <c r="L14" s="419">
        <v>0.66</v>
      </c>
      <c r="M14" s="419">
        <v>0.95</v>
      </c>
      <c r="N14" s="419">
        <v>0</v>
      </c>
      <c r="O14" s="419">
        <v>0</v>
      </c>
      <c r="P14" s="419">
        <v>0</v>
      </c>
    </row>
    <row r="15" spans="2:16">
      <c r="B15" s="381">
        <f t="shared" si="0"/>
        <v>2009</v>
      </c>
      <c r="C15" s="419">
        <v>0.59</v>
      </c>
      <c r="D15" s="419">
        <v>0.44</v>
      </c>
      <c r="E15" s="419">
        <v>0.44</v>
      </c>
      <c r="F15" s="419">
        <v>0.56999999999999995</v>
      </c>
      <c r="G15" s="419">
        <v>0.56999999999999995</v>
      </c>
      <c r="H15" s="419">
        <v>0.73</v>
      </c>
      <c r="I15" s="419">
        <v>0.89</v>
      </c>
      <c r="J15" s="419">
        <v>0.56999999999999995</v>
      </c>
      <c r="K15" s="419">
        <v>0.97</v>
      </c>
      <c r="L15" s="419">
        <v>0.66</v>
      </c>
      <c r="M15" s="419">
        <v>0.95</v>
      </c>
      <c r="N15" s="419">
        <v>0</v>
      </c>
      <c r="O15" s="419">
        <v>0</v>
      </c>
      <c r="P15" s="419">
        <v>0</v>
      </c>
    </row>
    <row r="16" spans="2:16">
      <c r="B16" s="381">
        <f t="shared" si="0"/>
        <v>2010</v>
      </c>
      <c r="C16" s="419">
        <v>0.59</v>
      </c>
      <c r="D16" s="419">
        <v>0.44</v>
      </c>
      <c r="E16" s="419">
        <v>0.44</v>
      </c>
      <c r="F16" s="419">
        <v>0.56999999999999995</v>
      </c>
      <c r="G16" s="419">
        <v>0.56999999999999995</v>
      </c>
      <c r="H16" s="419">
        <v>0.73</v>
      </c>
      <c r="I16" s="419">
        <v>0.89</v>
      </c>
      <c r="J16" s="419">
        <v>0.56999999999999995</v>
      </c>
      <c r="K16" s="419">
        <v>0.97</v>
      </c>
      <c r="L16" s="419">
        <v>0.66</v>
      </c>
      <c r="M16" s="419">
        <v>0.95</v>
      </c>
      <c r="N16" s="419">
        <v>0</v>
      </c>
      <c r="O16" s="419">
        <v>0</v>
      </c>
      <c r="P16" s="419">
        <v>0</v>
      </c>
    </row>
    <row r="17" spans="2:20">
      <c r="B17" s="381">
        <f t="shared" si="0"/>
        <v>2011</v>
      </c>
      <c r="C17" s="419">
        <v>0.59</v>
      </c>
      <c r="D17" s="419">
        <v>0.44</v>
      </c>
      <c r="E17" s="419">
        <v>0.44</v>
      </c>
      <c r="F17" s="419">
        <v>0.56999999999999995</v>
      </c>
      <c r="G17" s="419">
        <v>0.56999999999999995</v>
      </c>
      <c r="H17" s="419">
        <v>0.73</v>
      </c>
      <c r="I17" s="419">
        <v>0.89</v>
      </c>
      <c r="J17" s="419">
        <v>0.56999999999999995</v>
      </c>
      <c r="K17" s="419">
        <v>0.97</v>
      </c>
      <c r="L17" s="419">
        <v>0.66</v>
      </c>
      <c r="M17" s="419">
        <v>0.95</v>
      </c>
      <c r="N17" s="419">
        <v>0</v>
      </c>
      <c r="O17" s="419">
        <v>0</v>
      </c>
      <c r="P17" s="419">
        <v>0</v>
      </c>
    </row>
    <row r="18" spans="2:20">
      <c r="B18" s="381">
        <f t="shared" si="0"/>
        <v>2012</v>
      </c>
      <c r="C18" s="419">
        <v>0.59</v>
      </c>
      <c r="D18" s="419">
        <v>0.44</v>
      </c>
      <c r="E18" s="419">
        <v>0.44</v>
      </c>
      <c r="F18" s="419">
        <v>0.56999999999999995</v>
      </c>
      <c r="G18" s="419">
        <v>0.56999999999999995</v>
      </c>
      <c r="H18" s="419">
        <v>0.73</v>
      </c>
      <c r="I18" s="419">
        <v>0.89</v>
      </c>
      <c r="J18" s="419">
        <v>0.56999999999999995</v>
      </c>
      <c r="K18" s="419">
        <v>0.97</v>
      </c>
      <c r="L18" s="419">
        <v>0.66</v>
      </c>
      <c r="M18" s="419">
        <v>0.95</v>
      </c>
      <c r="N18" s="419">
        <v>0</v>
      </c>
      <c r="O18" s="419">
        <v>0</v>
      </c>
      <c r="P18" s="419">
        <v>0</v>
      </c>
      <c r="S18" s="382"/>
      <c r="T18" s="383"/>
    </row>
    <row r="19" spans="2:20">
      <c r="B19" s="381">
        <f t="shared" si="0"/>
        <v>2013</v>
      </c>
      <c r="C19" s="419">
        <v>0.59</v>
      </c>
      <c r="D19" s="419">
        <v>0.44</v>
      </c>
      <c r="E19" s="419">
        <v>0.44</v>
      </c>
      <c r="F19" s="419">
        <v>0.56999999999999995</v>
      </c>
      <c r="G19" s="419">
        <v>0.56999999999999995</v>
      </c>
      <c r="H19" s="419">
        <v>0.73</v>
      </c>
      <c r="I19" s="419">
        <v>0.89</v>
      </c>
      <c r="J19" s="419">
        <v>0.56999999999999995</v>
      </c>
      <c r="K19" s="419">
        <v>0.97</v>
      </c>
      <c r="L19" s="419">
        <v>0.66</v>
      </c>
      <c r="M19" s="419">
        <v>0.95</v>
      </c>
      <c r="N19" s="419">
        <v>0</v>
      </c>
      <c r="O19" s="419">
        <v>0</v>
      </c>
      <c r="P19" s="419">
        <v>0</v>
      </c>
      <c r="S19" s="382"/>
      <c r="T19" s="384"/>
    </row>
    <row r="20" spans="2:20">
      <c r="B20" s="381">
        <f t="shared" si="0"/>
        <v>2014</v>
      </c>
      <c r="C20" s="419">
        <v>0.59</v>
      </c>
      <c r="D20" s="419">
        <v>0.44</v>
      </c>
      <c r="E20" s="419">
        <v>0.44</v>
      </c>
      <c r="F20" s="419">
        <v>0.56999999999999995</v>
      </c>
      <c r="G20" s="419">
        <v>0.56999999999999995</v>
      </c>
      <c r="H20" s="419">
        <v>0.73</v>
      </c>
      <c r="I20" s="419">
        <v>0.89</v>
      </c>
      <c r="J20" s="419">
        <v>0.56999999999999995</v>
      </c>
      <c r="K20" s="419">
        <v>0.97</v>
      </c>
      <c r="L20" s="419">
        <v>0.66</v>
      </c>
      <c r="M20" s="419">
        <v>0.95</v>
      </c>
      <c r="N20" s="419">
        <v>0</v>
      </c>
      <c r="O20" s="419">
        <v>0</v>
      </c>
      <c r="P20" s="419">
        <v>0</v>
      </c>
      <c r="S20" s="382"/>
      <c r="T20" s="384"/>
    </row>
    <row r="21" spans="2:20">
      <c r="B21" s="381">
        <f t="shared" si="0"/>
        <v>2015</v>
      </c>
      <c r="C21" s="419">
        <v>0.59</v>
      </c>
      <c r="D21" s="419">
        <v>0.44</v>
      </c>
      <c r="E21" s="419">
        <v>0.44</v>
      </c>
      <c r="F21" s="419">
        <v>0.56999999999999995</v>
      </c>
      <c r="G21" s="419">
        <v>0.56999999999999995</v>
      </c>
      <c r="H21" s="419">
        <v>0.73</v>
      </c>
      <c r="I21" s="419">
        <v>0.89</v>
      </c>
      <c r="J21" s="419">
        <v>0.56999999999999995</v>
      </c>
      <c r="K21" s="419">
        <v>0.97</v>
      </c>
      <c r="L21" s="419">
        <v>0.66</v>
      </c>
      <c r="M21" s="419">
        <v>0.95</v>
      </c>
      <c r="N21" s="419">
        <v>0</v>
      </c>
      <c r="O21" s="419">
        <v>0</v>
      </c>
      <c r="P21" s="419">
        <v>0</v>
      </c>
      <c r="S21" s="382"/>
      <c r="T21" s="384"/>
    </row>
    <row r="22" spans="2:20">
      <c r="B22" s="381">
        <f t="shared" si="0"/>
        <v>2016</v>
      </c>
      <c r="C22" s="419">
        <v>0.59</v>
      </c>
      <c r="D22" s="419">
        <v>0.44</v>
      </c>
      <c r="E22" s="419">
        <v>0.44</v>
      </c>
      <c r="F22" s="419">
        <v>0.56999999999999995</v>
      </c>
      <c r="G22" s="419">
        <v>0.56999999999999995</v>
      </c>
      <c r="H22" s="419">
        <v>0.73</v>
      </c>
      <c r="I22" s="419">
        <v>0.89</v>
      </c>
      <c r="J22" s="419">
        <v>0.56999999999999995</v>
      </c>
      <c r="K22" s="419">
        <v>0.97</v>
      </c>
      <c r="L22" s="419">
        <v>0.66</v>
      </c>
      <c r="M22" s="419">
        <v>0.95</v>
      </c>
      <c r="N22" s="419">
        <v>0</v>
      </c>
      <c r="O22" s="419">
        <v>0</v>
      </c>
      <c r="P22" s="419">
        <v>0</v>
      </c>
      <c r="S22" s="382"/>
      <c r="T22" s="384"/>
    </row>
    <row r="23" spans="2:20">
      <c r="B23" s="381">
        <f t="shared" si="0"/>
        <v>2017</v>
      </c>
      <c r="C23" s="419">
        <v>0.59</v>
      </c>
      <c r="D23" s="419">
        <v>0.44</v>
      </c>
      <c r="E23" s="419">
        <v>0.44</v>
      </c>
      <c r="F23" s="419">
        <v>0.56999999999999995</v>
      </c>
      <c r="G23" s="419">
        <v>0.56999999999999995</v>
      </c>
      <c r="H23" s="419">
        <v>0.73</v>
      </c>
      <c r="I23" s="419">
        <v>0.89</v>
      </c>
      <c r="J23" s="419">
        <v>0.56999999999999995</v>
      </c>
      <c r="K23" s="419">
        <v>0.97</v>
      </c>
      <c r="L23" s="419">
        <v>0.66</v>
      </c>
      <c r="M23" s="419">
        <v>0.95</v>
      </c>
      <c r="N23" s="419">
        <v>0</v>
      </c>
      <c r="O23" s="419">
        <v>0</v>
      </c>
      <c r="P23" s="419">
        <v>0</v>
      </c>
      <c r="S23" s="382"/>
      <c r="T23" s="384"/>
    </row>
    <row r="24" spans="2:20">
      <c r="B24" s="381">
        <f t="shared" si="0"/>
        <v>2018</v>
      </c>
      <c r="C24" s="419">
        <v>0.59</v>
      </c>
      <c r="D24" s="419">
        <v>0.44</v>
      </c>
      <c r="E24" s="419">
        <v>0.44</v>
      </c>
      <c r="F24" s="419">
        <v>0.56999999999999995</v>
      </c>
      <c r="G24" s="419">
        <v>0.56999999999999995</v>
      </c>
      <c r="H24" s="419">
        <v>0.73</v>
      </c>
      <c r="I24" s="419">
        <v>0.89</v>
      </c>
      <c r="J24" s="419">
        <v>0.56999999999999995</v>
      </c>
      <c r="K24" s="419">
        <v>0.97</v>
      </c>
      <c r="L24" s="419">
        <v>0.66</v>
      </c>
      <c r="M24" s="419">
        <v>0.95</v>
      </c>
      <c r="N24" s="419">
        <v>0</v>
      </c>
      <c r="O24" s="419">
        <v>0</v>
      </c>
      <c r="P24" s="419">
        <v>0</v>
      </c>
      <c r="S24" s="382"/>
      <c r="T24" s="384"/>
    </row>
    <row r="25" spans="2:20">
      <c r="B25" s="381">
        <f t="shared" si="0"/>
        <v>2019</v>
      </c>
      <c r="C25" s="419">
        <v>0.59</v>
      </c>
      <c r="D25" s="419">
        <v>0.44</v>
      </c>
      <c r="E25" s="419">
        <v>0.44</v>
      </c>
      <c r="F25" s="419">
        <v>0.56999999999999995</v>
      </c>
      <c r="G25" s="419">
        <v>0.56999999999999995</v>
      </c>
      <c r="H25" s="419">
        <v>0.73</v>
      </c>
      <c r="I25" s="419">
        <v>0.89</v>
      </c>
      <c r="J25" s="419">
        <v>0.56999999999999995</v>
      </c>
      <c r="K25" s="419">
        <v>0.97</v>
      </c>
      <c r="L25" s="419">
        <v>0.66</v>
      </c>
      <c r="M25" s="419">
        <v>0.95</v>
      </c>
      <c r="N25" s="419">
        <v>0</v>
      </c>
      <c r="O25" s="419">
        <v>0</v>
      </c>
      <c r="P25" s="419">
        <v>0</v>
      </c>
      <c r="S25" s="382"/>
      <c r="T25" s="384"/>
    </row>
    <row r="26" spans="2:20">
      <c r="B26" s="381">
        <f t="shared" si="0"/>
        <v>2020</v>
      </c>
      <c r="C26" s="419">
        <v>0.59</v>
      </c>
      <c r="D26" s="419">
        <v>0.44</v>
      </c>
      <c r="E26" s="419">
        <v>0.44</v>
      </c>
      <c r="F26" s="419">
        <v>0.56999999999999995</v>
      </c>
      <c r="G26" s="419">
        <v>0.56999999999999995</v>
      </c>
      <c r="H26" s="419">
        <v>0.73</v>
      </c>
      <c r="I26" s="419">
        <v>0.89</v>
      </c>
      <c r="J26" s="419">
        <v>0.56999999999999995</v>
      </c>
      <c r="K26" s="419">
        <v>0.97</v>
      </c>
      <c r="L26" s="419">
        <v>0.66</v>
      </c>
      <c r="M26" s="419">
        <v>0.95</v>
      </c>
      <c r="N26" s="419">
        <v>0</v>
      </c>
      <c r="O26" s="419">
        <v>0</v>
      </c>
      <c r="P26" s="419">
        <v>0</v>
      </c>
      <c r="S26" s="382"/>
      <c r="T26" s="384"/>
    </row>
    <row r="27" spans="2:20">
      <c r="B27" s="381">
        <f t="shared" si="0"/>
        <v>2021</v>
      </c>
      <c r="C27" s="419">
        <v>0.59</v>
      </c>
      <c r="D27" s="419">
        <v>0.44</v>
      </c>
      <c r="E27" s="419">
        <v>0.44</v>
      </c>
      <c r="F27" s="419">
        <v>0.56999999999999995</v>
      </c>
      <c r="G27" s="419">
        <v>0.56999999999999995</v>
      </c>
      <c r="H27" s="419">
        <v>0.73</v>
      </c>
      <c r="I27" s="419">
        <v>0.89</v>
      </c>
      <c r="J27" s="419">
        <v>0.56999999999999995</v>
      </c>
      <c r="K27" s="419">
        <v>0.97</v>
      </c>
      <c r="L27" s="419">
        <v>0.66</v>
      </c>
      <c r="M27" s="419">
        <v>0.95</v>
      </c>
      <c r="N27" s="419">
        <v>0</v>
      </c>
      <c r="O27" s="419">
        <v>0</v>
      </c>
      <c r="P27" s="419">
        <v>0</v>
      </c>
      <c r="S27" s="385"/>
      <c r="T27" s="384"/>
    </row>
    <row r="28" spans="2:20">
      <c r="B28" s="381">
        <f t="shared" si="0"/>
        <v>2022</v>
      </c>
      <c r="C28" s="419">
        <v>0.59</v>
      </c>
      <c r="D28" s="419">
        <v>0.44</v>
      </c>
      <c r="E28" s="419">
        <v>0.44</v>
      </c>
      <c r="F28" s="419">
        <v>0.56999999999999995</v>
      </c>
      <c r="G28" s="419">
        <v>0.56999999999999995</v>
      </c>
      <c r="H28" s="419">
        <v>0.73</v>
      </c>
      <c r="I28" s="419">
        <v>0.89</v>
      </c>
      <c r="J28" s="419">
        <v>0.56999999999999995</v>
      </c>
      <c r="K28" s="419">
        <v>0.97</v>
      </c>
      <c r="L28" s="419">
        <v>0.66</v>
      </c>
      <c r="M28" s="419">
        <v>0.95</v>
      </c>
      <c r="N28" s="419">
        <v>0</v>
      </c>
      <c r="O28" s="419">
        <v>0</v>
      </c>
      <c r="P28" s="419">
        <v>0</v>
      </c>
    </row>
    <row r="29" spans="2:20">
      <c r="B29" s="381">
        <f t="shared" si="0"/>
        <v>2023</v>
      </c>
      <c r="C29" s="419">
        <v>0.59</v>
      </c>
      <c r="D29" s="419">
        <v>0.44</v>
      </c>
      <c r="E29" s="419">
        <v>0.44</v>
      </c>
      <c r="F29" s="419">
        <v>0.56999999999999995</v>
      </c>
      <c r="G29" s="419">
        <v>0.56999999999999995</v>
      </c>
      <c r="H29" s="419">
        <v>0.73</v>
      </c>
      <c r="I29" s="419">
        <v>0.89</v>
      </c>
      <c r="J29" s="419">
        <v>0.56999999999999995</v>
      </c>
      <c r="K29" s="419">
        <v>0.97</v>
      </c>
      <c r="L29" s="419">
        <v>0.66</v>
      </c>
      <c r="M29" s="419">
        <v>0.95</v>
      </c>
      <c r="N29" s="419">
        <v>0</v>
      </c>
      <c r="O29" s="419">
        <v>0</v>
      </c>
      <c r="P29" s="419">
        <v>0</v>
      </c>
    </row>
    <row r="30" spans="2:20">
      <c r="B30" s="381">
        <f t="shared" si="0"/>
        <v>2024</v>
      </c>
      <c r="C30" s="419">
        <v>0.59</v>
      </c>
      <c r="D30" s="419">
        <v>0.44</v>
      </c>
      <c r="E30" s="419">
        <v>0.44</v>
      </c>
      <c r="F30" s="419">
        <v>0.56999999999999995</v>
      </c>
      <c r="G30" s="419">
        <v>0.56999999999999995</v>
      </c>
      <c r="H30" s="419">
        <v>0.73</v>
      </c>
      <c r="I30" s="419">
        <v>0.89</v>
      </c>
      <c r="J30" s="419">
        <v>0.56999999999999995</v>
      </c>
      <c r="K30" s="419">
        <v>0.97</v>
      </c>
      <c r="L30" s="419">
        <v>0.66</v>
      </c>
      <c r="M30" s="419">
        <v>0.95</v>
      </c>
      <c r="N30" s="419">
        <v>0</v>
      </c>
      <c r="O30" s="419">
        <v>0</v>
      </c>
      <c r="P30" s="419">
        <v>0</v>
      </c>
    </row>
    <row r="31" spans="2:20">
      <c r="B31" s="381">
        <f t="shared" si="0"/>
        <v>2025</v>
      </c>
      <c r="C31" s="419">
        <v>0.59</v>
      </c>
      <c r="D31" s="419">
        <v>0.44</v>
      </c>
      <c r="E31" s="419">
        <v>0.44</v>
      </c>
      <c r="F31" s="419">
        <v>0.56999999999999995</v>
      </c>
      <c r="G31" s="419">
        <v>0.56999999999999995</v>
      </c>
      <c r="H31" s="419">
        <v>0.73</v>
      </c>
      <c r="I31" s="419">
        <v>0.89</v>
      </c>
      <c r="J31" s="419">
        <v>0.56999999999999995</v>
      </c>
      <c r="K31" s="419">
        <v>0.97</v>
      </c>
      <c r="L31" s="419">
        <v>0.66</v>
      </c>
      <c r="M31" s="419">
        <v>0.95</v>
      </c>
      <c r="N31" s="419">
        <v>0</v>
      </c>
      <c r="O31" s="419">
        <v>0</v>
      </c>
      <c r="P31" s="419">
        <v>0</v>
      </c>
    </row>
    <row r="32" spans="2:20">
      <c r="B32" s="381">
        <f t="shared" si="0"/>
        <v>2026</v>
      </c>
      <c r="C32" s="419">
        <v>0.59</v>
      </c>
      <c r="D32" s="419">
        <v>0.44</v>
      </c>
      <c r="E32" s="419">
        <v>0.44</v>
      </c>
      <c r="F32" s="419">
        <v>0.56999999999999995</v>
      </c>
      <c r="G32" s="419">
        <v>0.56999999999999995</v>
      </c>
      <c r="H32" s="419">
        <v>0.73</v>
      </c>
      <c r="I32" s="419">
        <v>0.89</v>
      </c>
      <c r="J32" s="419">
        <v>0.56999999999999995</v>
      </c>
      <c r="K32" s="419">
        <v>0.97</v>
      </c>
      <c r="L32" s="419">
        <v>0.66</v>
      </c>
      <c r="M32" s="419">
        <v>0.95</v>
      </c>
      <c r="N32" s="419">
        <v>0</v>
      </c>
      <c r="O32" s="419">
        <v>0</v>
      </c>
      <c r="P32" s="419">
        <v>0</v>
      </c>
    </row>
    <row r="33" spans="2:16">
      <c r="B33" s="381">
        <f t="shared" si="0"/>
        <v>2027</v>
      </c>
      <c r="C33" s="419">
        <v>0.59</v>
      </c>
      <c r="D33" s="419">
        <v>0.44</v>
      </c>
      <c r="E33" s="419">
        <v>0.44</v>
      </c>
      <c r="F33" s="419">
        <v>0.56999999999999995</v>
      </c>
      <c r="G33" s="419">
        <v>0.56999999999999995</v>
      </c>
      <c r="H33" s="419">
        <v>0.73</v>
      </c>
      <c r="I33" s="419">
        <v>0.89</v>
      </c>
      <c r="J33" s="419">
        <v>0.56999999999999995</v>
      </c>
      <c r="K33" s="419">
        <v>0.97</v>
      </c>
      <c r="L33" s="419">
        <v>0.66</v>
      </c>
      <c r="M33" s="419">
        <v>0.95</v>
      </c>
      <c r="N33" s="419">
        <v>0</v>
      </c>
      <c r="O33" s="419">
        <v>0</v>
      </c>
      <c r="P33" s="419">
        <v>0</v>
      </c>
    </row>
    <row r="34" spans="2:16">
      <c r="B34" s="381">
        <f t="shared" si="0"/>
        <v>2028</v>
      </c>
      <c r="C34" s="419">
        <v>0.59</v>
      </c>
      <c r="D34" s="419">
        <v>0.44</v>
      </c>
      <c r="E34" s="419">
        <v>0.44</v>
      </c>
      <c r="F34" s="419">
        <v>0.56999999999999995</v>
      </c>
      <c r="G34" s="419">
        <v>0.56999999999999995</v>
      </c>
      <c r="H34" s="419">
        <v>0.73</v>
      </c>
      <c r="I34" s="419">
        <v>0.89</v>
      </c>
      <c r="J34" s="419">
        <v>0.56999999999999995</v>
      </c>
      <c r="K34" s="419">
        <v>0.97</v>
      </c>
      <c r="L34" s="419">
        <v>0.66</v>
      </c>
      <c r="M34" s="419">
        <v>0.95</v>
      </c>
      <c r="N34" s="419">
        <v>0</v>
      </c>
      <c r="O34" s="419">
        <v>0</v>
      </c>
      <c r="P34" s="419">
        <v>0</v>
      </c>
    </row>
    <row r="35" spans="2:16">
      <c r="B35" s="381">
        <f t="shared" si="0"/>
        <v>2029</v>
      </c>
      <c r="C35" s="419">
        <v>0.59</v>
      </c>
      <c r="D35" s="419">
        <v>0.44</v>
      </c>
      <c r="E35" s="419">
        <v>0.44</v>
      </c>
      <c r="F35" s="419">
        <v>0.56999999999999995</v>
      </c>
      <c r="G35" s="419">
        <v>0.56999999999999995</v>
      </c>
      <c r="H35" s="419">
        <v>0.73</v>
      </c>
      <c r="I35" s="419">
        <v>0.89</v>
      </c>
      <c r="J35" s="419">
        <v>0.56999999999999995</v>
      </c>
      <c r="K35" s="419">
        <v>0.97</v>
      </c>
      <c r="L35" s="419">
        <v>0.66</v>
      </c>
      <c r="M35" s="419">
        <v>0.95</v>
      </c>
      <c r="N35" s="419">
        <v>0</v>
      </c>
      <c r="O35" s="419">
        <v>0</v>
      </c>
      <c r="P35" s="419">
        <v>0</v>
      </c>
    </row>
    <row r="36" spans="2:16">
      <c r="B36" s="381">
        <f t="shared" si="0"/>
        <v>2030</v>
      </c>
      <c r="C36" s="419">
        <v>0.59</v>
      </c>
      <c r="D36" s="419">
        <v>0.44</v>
      </c>
      <c r="E36" s="419">
        <v>0.44</v>
      </c>
      <c r="F36" s="419">
        <v>0.56999999999999995</v>
      </c>
      <c r="G36" s="419">
        <v>0.56999999999999995</v>
      </c>
      <c r="H36" s="419">
        <v>0.73</v>
      </c>
      <c r="I36" s="419">
        <v>0.89</v>
      </c>
      <c r="J36" s="419">
        <v>0.56999999999999995</v>
      </c>
      <c r="K36" s="419">
        <v>0.97</v>
      </c>
      <c r="L36" s="419">
        <v>0.66</v>
      </c>
      <c r="M36" s="419">
        <v>0.95</v>
      </c>
      <c r="N36" s="419">
        <v>0</v>
      </c>
      <c r="O36" s="419">
        <v>0</v>
      </c>
      <c r="P36" s="419">
        <v>0</v>
      </c>
    </row>
    <row r="37" spans="2:16">
      <c r="B37" s="381">
        <f t="shared" si="0"/>
        <v>2031</v>
      </c>
      <c r="C37" s="419">
        <v>0.59</v>
      </c>
      <c r="D37" s="419">
        <v>0.44</v>
      </c>
      <c r="E37" s="419">
        <v>0.44</v>
      </c>
      <c r="F37" s="419">
        <v>0.56999999999999995</v>
      </c>
      <c r="G37" s="419">
        <v>0.56999999999999995</v>
      </c>
      <c r="H37" s="419">
        <v>0.73</v>
      </c>
      <c r="I37" s="419">
        <v>0.89</v>
      </c>
      <c r="J37" s="419">
        <v>0.56999999999999995</v>
      </c>
      <c r="K37" s="419">
        <v>0.97</v>
      </c>
      <c r="L37" s="419">
        <v>0.66</v>
      </c>
      <c r="M37" s="419">
        <v>0.95</v>
      </c>
      <c r="N37" s="419">
        <v>0</v>
      </c>
      <c r="O37" s="419">
        <v>0</v>
      </c>
      <c r="P37" s="419">
        <v>0</v>
      </c>
    </row>
    <row r="38" spans="2:16">
      <c r="B38" s="381">
        <f t="shared" si="0"/>
        <v>2032</v>
      </c>
      <c r="C38" s="419">
        <v>0.59</v>
      </c>
      <c r="D38" s="419">
        <v>0.44</v>
      </c>
      <c r="E38" s="419">
        <v>0.44</v>
      </c>
      <c r="F38" s="419">
        <v>0.56999999999999995</v>
      </c>
      <c r="G38" s="419">
        <v>0.56999999999999995</v>
      </c>
      <c r="H38" s="419">
        <v>0.73</v>
      </c>
      <c r="I38" s="419">
        <v>0.89</v>
      </c>
      <c r="J38" s="419">
        <v>0.56999999999999995</v>
      </c>
      <c r="K38" s="419">
        <v>0.97</v>
      </c>
      <c r="L38" s="419">
        <v>0.66</v>
      </c>
      <c r="M38" s="419">
        <v>0.95</v>
      </c>
      <c r="N38" s="419">
        <v>0</v>
      </c>
      <c r="O38" s="419">
        <v>0</v>
      </c>
      <c r="P38" s="419">
        <v>0</v>
      </c>
    </row>
    <row r="39" spans="2:16">
      <c r="B39" s="381">
        <f t="shared" si="0"/>
        <v>2033</v>
      </c>
      <c r="C39" s="419">
        <v>0.59</v>
      </c>
      <c r="D39" s="419">
        <v>0.44</v>
      </c>
      <c r="E39" s="419">
        <v>0.44</v>
      </c>
      <c r="F39" s="419">
        <v>0.56999999999999995</v>
      </c>
      <c r="G39" s="419">
        <v>0.56999999999999995</v>
      </c>
      <c r="H39" s="419">
        <v>0.73</v>
      </c>
      <c r="I39" s="419">
        <v>0.89</v>
      </c>
      <c r="J39" s="419">
        <v>0.56999999999999995</v>
      </c>
      <c r="K39" s="419">
        <v>0.97</v>
      </c>
      <c r="L39" s="419">
        <v>0.66</v>
      </c>
      <c r="M39" s="419">
        <v>0.95</v>
      </c>
      <c r="N39" s="419">
        <v>0</v>
      </c>
      <c r="O39" s="419">
        <v>0</v>
      </c>
      <c r="P39" s="419">
        <v>0</v>
      </c>
    </row>
    <row r="40" spans="2:16">
      <c r="B40" s="381">
        <f t="shared" si="0"/>
        <v>2034</v>
      </c>
      <c r="C40" s="419">
        <v>0.59</v>
      </c>
      <c r="D40" s="419">
        <v>0.44</v>
      </c>
      <c r="E40" s="419">
        <v>0.44</v>
      </c>
      <c r="F40" s="419">
        <v>0.56999999999999995</v>
      </c>
      <c r="G40" s="419">
        <v>0.56999999999999995</v>
      </c>
      <c r="H40" s="419">
        <v>0.73</v>
      </c>
      <c r="I40" s="419">
        <v>0.89</v>
      </c>
      <c r="J40" s="419">
        <v>0.56999999999999995</v>
      </c>
      <c r="K40" s="419">
        <v>0.97</v>
      </c>
      <c r="L40" s="419">
        <v>0.66</v>
      </c>
      <c r="M40" s="419">
        <v>0.95</v>
      </c>
      <c r="N40" s="419">
        <v>0</v>
      </c>
      <c r="O40" s="419">
        <v>0</v>
      </c>
      <c r="P40" s="419">
        <v>0</v>
      </c>
    </row>
    <row r="41" spans="2:16">
      <c r="B41" s="381">
        <f t="shared" si="0"/>
        <v>2035</v>
      </c>
      <c r="C41" s="419">
        <v>0.59</v>
      </c>
      <c r="D41" s="419">
        <v>0.44</v>
      </c>
      <c r="E41" s="419">
        <v>0.44</v>
      </c>
      <c r="F41" s="419">
        <v>0.56999999999999995</v>
      </c>
      <c r="G41" s="419">
        <v>0.56999999999999995</v>
      </c>
      <c r="H41" s="419">
        <v>0.73</v>
      </c>
      <c r="I41" s="419">
        <v>0.89</v>
      </c>
      <c r="J41" s="419">
        <v>0.56999999999999995</v>
      </c>
      <c r="K41" s="419">
        <v>0.97</v>
      </c>
      <c r="L41" s="419">
        <v>0.66</v>
      </c>
      <c r="M41" s="419">
        <v>0.95</v>
      </c>
      <c r="N41" s="419">
        <v>0</v>
      </c>
      <c r="O41" s="419">
        <v>0</v>
      </c>
      <c r="P41" s="419">
        <v>0</v>
      </c>
    </row>
    <row r="42" spans="2:16">
      <c r="B42" s="381">
        <f t="shared" si="0"/>
        <v>2036</v>
      </c>
      <c r="C42" s="419">
        <v>0.59</v>
      </c>
      <c r="D42" s="419">
        <v>0.44</v>
      </c>
      <c r="E42" s="419">
        <v>0.44</v>
      </c>
      <c r="F42" s="419">
        <v>0.56999999999999995</v>
      </c>
      <c r="G42" s="419">
        <v>0.56999999999999995</v>
      </c>
      <c r="H42" s="419">
        <v>0.73</v>
      </c>
      <c r="I42" s="419">
        <v>0.89</v>
      </c>
      <c r="J42" s="419">
        <v>0.56999999999999995</v>
      </c>
      <c r="K42" s="419">
        <v>0.97</v>
      </c>
      <c r="L42" s="419">
        <v>0.66</v>
      </c>
      <c r="M42" s="419">
        <v>0.95</v>
      </c>
      <c r="N42" s="419">
        <v>0</v>
      </c>
      <c r="O42" s="419">
        <v>0</v>
      </c>
      <c r="P42" s="419">
        <v>0</v>
      </c>
    </row>
    <row r="43" spans="2:16">
      <c r="B43" s="381">
        <f t="shared" si="0"/>
        <v>2037</v>
      </c>
      <c r="C43" s="419">
        <v>0.59</v>
      </c>
      <c r="D43" s="419">
        <v>0.44</v>
      </c>
      <c r="E43" s="419">
        <v>0.44</v>
      </c>
      <c r="F43" s="419">
        <v>0.56999999999999995</v>
      </c>
      <c r="G43" s="419">
        <v>0.56999999999999995</v>
      </c>
      <c r="H43" s="419">
        <v>0.73</v>
      </c>
      <c r="I43" s="419">
        <v>0.89</v>
      </c>
      <c r="J43" s="419">
        <v>0.56999999999999995</v>
      </c>
      <c r="K43" s="419">
        <v>0.97</v>
      </c>
      <c r="L43" s="419">
        <v>0.66</v>
      </c>
      <c r="M43" s="419">
        <v>0.95</v>
      </c>
      <c r="N43" s="419">
        <v>0</v>
      </c>
      <c r="O43" s="419">
        <v>0</v>
      </c>
      <c r="P43" s="419">
        <v>0</v>
      </c>
    </row>
    <row r="44" spans="2:16">
      <c r="B44" s="381">
        <f t="shared" si="0"/>
        <v>2038</v>
      </c>
      <c r="C44" s="419">
        <v>0.59</v>
      </c>
      <c r="D44" s="419">
        <v>0.44</v>
      </c>
      <c r="E44" s="419">
        <v>0.44</v>
      </c>
      <c r="F44" s="419">
        <v>0.56999999999999995</v>
      </c>
      <c r="G44" s="419">
        <v>0.56999999999999995</v>
      </c>
      <c r="H44" s="419">
        <v>0.73</v>
      </c>
      <c r="I44" s="419">
        <v>0.89</v>
      </c>
      <c r="J44" s="419">
        <v>0.56999999999999995</v>
      </c>
      <c r="K44" s="419">
        <v>0.97</v>
      </c>
      <c r="L44" s="419">
        <v>0.66</v>
      </c>
      <c r="M44" s="419">
        <v>0.95</v>
      </c>
      <c r="N44" s="419">
        <v>0</v>
      </c>
      <c r="O44" s="419">
        <v>0</v>
      </c>
      <c r="P44" s="419">
        <v>0</v>
      </c>
    </row>
    <row r="45" spans="2:16">
      <c r="B45" s="381">
        <f t="shared" si="0"/>
        <v>2039</v>
      </c>
      <c r="C45" s="419">
        <v>0.59</v>
      </c>
      <c r="D45" s="419">
        <v>0.44</v>
      </c>
      <c r="E45" s="419">
        <v>0.44</v>
      </c>
      <c r="F45" s="419">
        <v>0.56999999999999995</v>
      </c>
      <c r="G45" s="419">
        <v>0.56999999999999995</v>
      </c>
      <c r="H45" s="419">
        <v>0.73</v>
      </c>
      <c r="I45" s="419">
        <v>0.89</v>
      </c>
      <c r="J45" s="419">
        <v>0.56999999999999995</v>
      </c>
      <c r="K45" s="419">
        <v>0.97</v>
      </c>
      <c r="L45" s="419">
        <v>0.66</v>
      </c>
      <c r="M45" s="419">
        <v>0.95</v>
      </c>
      <c r="N45" s="419">
        <v>0</v>
      </c>
      <c r="O45" s="419">
        <v>0</v>
      </c>
      <c r="P45" s="419">
        <v>0</v>
      </c>
    </row>
    <row r="46" spans="2:16">
      <c r="B46" s="381">
        <f t="shared" si="0"/>
        <v>2040</v>
      </c>
      <c r="C46" s="419">
        <v>0.59</v>
      </c>
      <c r="D46" s="419">
        <v>0.44</v>
      </c>
      <c r="E46" s="419">
        <v>0.44</v>
      </c>
      <c r="F46" s="419">
        <v>0.56999999999999995</v>
      </c>
      <c r="G46" s="419">
        <v>0.56999999999999995</v>
      </c>
      <c r="H46" s="419">
        <v>0.73</v>
      </c>
      <c r="I46" s="419">
        <v>0.89</v>
      </c>
      <c r="J46" s="419">
        <v>0.56999999999999995</v>
      </c>
      <c r="K46" s="419">
        <v>0.97</v>
      </c>
      <c r="L46" s="419">
        <v>0.66</v>
      </c>
      <c r="M46" s="419">
        <v>0.95</v>
      </c>
      <c r="N46" s="419">
        <v>0</v>
      </c>
      <c r="O46" s="419">
        <v>0</v>
      </c>
      <c r="P46" s="419">
        <v>0</v>
      </c>
    </row>
    <row r="47" spans="2:16">
      <c r="B47" s="381">
        <f t="shared" si="0"/>
        <v>2041</v>
      </c>
      <c r="C47" s="419">
        <v>0.59</v>
      </c>
      <c r="D47" s="419">
        <v>0.44</v>
      </c>
      <c r="E47" s="419">
        <v>0.44</v>
      </c>
      <c r="F47" s="419">
        <v>0.56999999999999995</v>
      </c>
      <c r="G47" s="419">
        <v>0.56999999999999995</v>
      </c>
      <c r="H47" s="419">
        <v>0.73</v>
      </c>
      <c r="I47" s="419">
        <v>0.89</v>
      </c>
      <c r="J47" s="419">
        <v>0.56999999999999995</v>
      </c>
      <c r="K47" s="419">
        <v>0.97</v>
      </c>
      <c r="L47" s="419">
        <v>0.66</v>
      </c>
      <c r="M47" s="419">
        <v>0.95</v>
      </c>
      <c r="N47" s="419">
        <v>0</v>
      </c>
      <c r="O47" s="419">
        <v>0</v>
      </c>
      <c r="P47" s="419">
        <v>0</v>
      </c>
    </row>
    <row r="48" spans="2:16">
      <c r="B48" s="381">
        <f t="shared" si="0"/>
        <v>2042</v>
      </c>
      <c r="C48" s="419">
        <v>0.59</v>
      </c>
      <c r="D48" s="419">
        <v>0.44</v>
      </c>
      <c r="E48" s="419">
        <v>0.44</v>
      </c>
      <c r="F48" s="419">
        <v>0.56999999999999995</v>
      </c>
      <c r="G48" s="419">
        <v>0.56999999999999995</v>
      </c>
      <c r="H48" s="419">
        <v>0.73</v>
      </c>
      <c r="I48" s="419">
        <v>0.89</v>
      </c>
      <c r="J48" s="419">
        <v>0.56999999999999995</v>
      </c>
      <c r="K48" s="419">
        <v>0.97</v>
      </c>
      <c r="L48" s="419">
        <v>0.66</v>
      </c>
      <c r="M48" s="419">
        <v>0.95</v>
      </c>
      <c r="N48" s="419">
        <v>0</v>
      </c>
      <c r="O48" s="419">
        <v>0</v>
      </c>
      <c r="P48" s="419">
        <v>0</v>
      </c>
    </row>
    <row r="49" spans="2:16">
      <c r="B49" s="381">
        <f t="shared" si="0"/>
        <v>2043</v>
      </c>
      <c r="C49" s="419">
        <v>0.59</v>
      </c>
      <c r="D49" s="419">
        <v>0.44</v>
      </c>
      <c r="E49" s="419">
        <v>0.44</v>
      </c>
      <c r="F49" s="419">
        <v>0.56999999999999995</v>
      </c>
      <c r="G49" s="419">
        <v>0.56999999999999995</v>
      </c>
      <c r="H49" s="419">
        <v>0.73</v>
      </c>
      <c r="I49" s="419">
        <v>0.89</v>
      </c>
      <c r="J49" s="419">
        <v>0.56999999999999995</v>
      </c>
      <c r="K49" s="419">
        <v>0.97</v>
      </c>
      <c r="L49" s="419">
        <v>0.66</v>
      </c>
      <c r="M49" s="419">
        <v>0.95</v>
      </c>
      <c r="N49" s="419">
        <v>0</v>
      </c>
      <c r="O49" s="419">
        <v>0</v>
      </c>
      <c r="P49" s="419">
        <v>0</v>
      </c>
    </row>
    <row r="50" spans="2:16">
      <c r="B50" s="381">
        <f t="shared" si="0"/>
        <v>2044</v>
      </c>
      <c r="C50" s="419">
        <v>0.59</v>
      </c>
      <c r="D50" s="419">
        <v>0.44</v>
      </c>
      <c r="E50" s="419">
        <v>0.44</v>
      </c>
      <c r="F50" s="419">
        <v>0.56999999999999995</v>
      </c>
      <c r="G50" s="419">
        <v>0.56999999999999995</v>
      </c>
      <c r="H50" s="419">
        <v>0.73</v>
      </c>
      <c r="I50" s="419">
        <v>0.89</v>
      </c>
      <c r="J50" s="419">
        <v>0.56999999999999995</v>
      </c>
      <c r="K50" s="419">
        <v>0.97</v>
      </c>
      <c r="L50" s="419">
        <v>0.66</v>
      </c>
      <c r="M50" s="419">
        <v>0.95</v>
      </c>
      <c r="N50" s="419">
        <v>0</v>
      </c>
      <c r="O50" s="419">
        <v>0</v>
      </c>
      <c r="P50" s="419">
        <v>0</v>
      </c>
    </row>
    <row r="51" spans="2:16">
      <c r="B51" s="381">
        <f t="shared" si="0"/>
        <v>2045</v>
      </c>
      <c r="C51" s="419">
        <v>0.59</v>
      </c>
      <c r="D51" s="419">
        <v>0.44</v>
      </c>
      <c r="E51" s="419">
        <v>0.44</v>
      </c>
      <c r="F51" s="419">
        <v>0.56999999999999995</v>
      </c>
      <c r="G51" s="419">
        <v>0.56999999999999995</v>
      </c>
      <c r="H51" s="419">
        <v>0.73</v>
      </c>
      <c r="I51" s="419">
        <v>0.89</v>
      </c>
      <c r="J51" s="419">
        <v>0.56999999999999995</v>
      </c>
      <c r="K51" s="419">
        <v>0.97</v>
      </c>
      <c r="L51" s="419">
        <v>0.66</v>
      </c>
      <c r="M51" s="419">
        <v>0.95</v>
      </c>
      <c r="N51" s="419">
        <v>0</v>
      </c>
      <c r="O51" s="419">
        <v>0</v>
      </c>
      <c r="P51" s="419">
        <v>0</v>
      </c>
    </row>
    <row r="52" spans="2:16">
      <c r="B52" s="381">
        <f t="shared" si="0"/>
        <v>2046</v>
      </c>
      <c r="C52" s="419">
        <v>0.59</v>
      </c>
      <c r="D52" s="419">
        <v>0.44</v>
      </c>
      <c r="E52" s="419">
        <v>0.44</v>
      </c>
      <c r="F52" s="419">
        <v>0.56999999999999995</v>
      </c>
      <c r="G52" s="419">
        <v>0.56999999999999995</v>
      </c>
      <c r="H52" s="419">
        <v>0.73</v>
      </c>
      <c r="I52" s="419">
        <v>0.89</v>
      </c>
      <c r="J52" s="419">
        <v>0.56999999999999995</v>
      </c>
      <c r="K52" s="419">
        <v>0.97</v>
      </c>
      <c r="L52" s="419">
        <v>0.66</v>
      </c>
      <c r="M52" s="419">
        <v>0.95</v>
      </c>
      <c r="N52" s="419">
        <v>0</v>
      </c>
      <c r="O52" s="419">
        <v>0</v>
      </c>
      <c r="P52" s="419">
        <v>0</v>
      </c>
    </row>
    <row r="53" spans="2:16">
      <c r="B53" s="381">
        <f t="shared" si="0"/>
        <v>2047</v>
      </c>
      <c r="C53" s="419">
        <v>0.59</v>
      </c>
      <c r="D53" s="419">
        <v>0.44</v>
      </c>
      <c r="E53" s="419">
        <v>0.44</v>
      </c>
      <c r="F53" s="419">
        <v>0.56999999999999995</v>
      </c>
      <c r="G53" s="419">
        <v>0.56999999999999995</v>
      </c>
      <c r="H53" s="419">
        <v>0.73</v>
      </c>
      <c r="I53" s="419">
        <v>0.89</v>
      </c>
      <c r="J53" s="419">
        <v>0.56999999999999995</v>
      </c>
      <c r="K53" s="419">
        <v>0.97</v>
      </c>
      <c r="L53" s="419">
        <v>0.66</v>
      </c>
      <c r="M53" s="419">
        <v>0.95</v>
      </c>
      <c r="N53" s="419">
        <v>0</v>
      </c>
      <c r="O53" s="419">
        <v>0</v>
      </c>
      <c r="P53" s="419">
        <v>0</v>
      </c>
    </row>
    <row r="54" spans="2:16">
      <c r="B54" s="381">
        <f t="shared" si="0"/>
        <v>2048</v>
      </c>
      <c r="C54" s="419">
        <v>0.59</v>
      </c>
      <c r="D54" s="419">
        <v>0.44</v>
      </c>
      <c r="E54" s="419">
        <v>0.44</v>
      </c>
      <c r="F54" s="419">
        <v>0.56999999999999995</v>
      </c>
      <c r="G54" s="419">
        <v>0.56999999999999995</v>
      </c>
      <c r="H54" s="419">
        <v>0.73</v>
      </c>
      <c r="I54" s="419">
        <v>0.89</v>
      </c>
      <c r="J54" s="419">
        <v>0.56999999999999995</v>
      </c>
      <c r="K54" s="419">
        <v>0.97</v>
      </c>
      <c r="L54" s="419">
        <v>0.66</v>
      </c>
      <c r="M54" s="419">
        <v>0.95</v>
      </c>
      <c r="N54" s="419">
        <v>0</v>
      </c>
      <c r="O54" s="419">
        <v>0</v>
      </c>
      <c r="P54" s="419">
        <v>0</v>
      </c>
    </row>
    <row r="55" spans="2:16">
      <c r="B55" s="381">
        <f t="shared" si="0"/>
        <v>2049</v>
      </c>
      <c r="C55" s="419">
        <v>0.59</v>
      </c>
      <c r="D55" s="419">
        <v>0.44</v>
      </c>
      <c r="E55" s="419">
        <v>0.44</v>
      </c>
      <c r="F55" s="419">
        <v>0.56999999999999995</v>
      </c>
      <c r="G55" s="419">
        <v>0.56999999999999995</v>
      </c>
      <c r="H55" s="419">
        <v>0.73</v>
      </c>
      <c r="I55" s="419">
        <v>0.89</v>
      </c>
      <c r="J55" s="419">
        <v>0.56999999999999995</v>
      </c>
      <c r="K55" s="419">
        <v>0.97</v>
      </c>
      <c r="L55" s="419">
        <v>0.66</v>
      </c>
      <c r="M55" s="419">
        <v>0.95</v>
      </c>
      <c r="N55" s="419">
        <v>0</v>
      </c>
      <c r="O55" s="419">
        <v>0</v>
      </c>
      <c r="P55" s="419">
        <v>0</v>
      </c>
    </row>
    <row r="56" spans="2:16">
      <c r="B56" s="381">
        <f t="shared" si="0"/>
        <v>2050</v>
      </c>
      <c r="C56" s="419">
        <v>0.59</v>
      </c>
      <c r="D56" s="419">
        <v>0.44</v>
      </c>
      <c r="E56" s="419">
        <v>0.44</v>
      </c>
      <c r="F56" s="419">
        <v>0.56999999999999995</v>
      </c>
      <c r="G56" s="419">
        <v>0.56999999999999995</v>
      </c>
      <c r="H56" s="419">
        <v>0.73</v>
      </c>
      <c r="I56" s="419">
        <v>0.89</v>
      </c>
      <c r="J56" s="419">
        <v>0.56999999999999995</v>
      </c>
      <c r="K56" s="419">
        <v>0.97</v>
      </c>
      <c r="L56" s="419">
        <v>0.66</v>
      </c>
      <c r="M56" s="419">
        <v>0.95</v>
      </c>
      <c r="N56" s="419">
        <v>0</v>
      </c>
      <c r="O56" s="419">
        <v>0</v>
      </c>
      <c r="P56" s="419">
        <v>0</v>
      </c>
    </row>
    <row r="57" spans="2:16">
      <c r="B57" s="381">
        <f t="shared" si="0"/>
        <v>2051</v>
      </c>
      <c r="C57" s="419">
        <v>0.59</v>
      </c>
      <c r="D57" s="419">
        <v>0.44</v>
      </c>
      <c r="E57" s="419">
        <v>0.44</v>
      </c>
      <c r="F57" s="419">
        <v>0.56999999999999995</v>
      </c>
      <c r="G57" s="419">
        <v>0.56999999999999995</v>
      </c>
      <c r="H57" s="419">
        <v>0.73</v>
      </c>
      <c r="I57" s="419">
        <v>0.89</v>
      </c>
      <c r="J57" s="419">
        <v>0.56999999999999995</v>
      </c>
      <c r="K57" s="419">
        <v>0.97</v>
      </c>
      <c r="L57" s="419">
        <v>0.66</v>
      </c>
      <c r="M57" s="419">
        <v>0.95</v>
      </c>
      <c r="N57" s="419">
        <v>0</v>
      </c>
      <c r="O57" s="419">
        <v>0</v>
      </c>
      <c r="P57" s="419">
        <v>0</v>
      </c>
    </row>
    <row r="58" spans="2:16">
      <c r="B58" s="381">
        <f t="shared" si="0"/>
        <v>2052</v>
      </c>
      <c r="C58" s="419">
        <v>0.59</v>
      </c>
      <c r="D58" s="419">
        <v>0.44</v>
      </c>
      <c r="E58" s="419">
        <v>0.44</v>
      </c>
      <c r="F58" s="419">
        <v>0.56999999999999995</v>
      </c>
      <c r="G58" s="419">
        <v>0.56999999999999995</v>
      </c>
      <c r="H58" s="419">
        <v>0.73</v>
      </c>
      <c r="I58" s="419">
        <v>0.89</v>
      </c>
      <c r="J58" s="419">
        <v>0.56999999999999995</v>
      </c>
      <c r="K58" s="419">
        <v>0.97</v>
      </c>
      <c r="L58" s="419">
        <v>0.66</v>
      </c>
      <c r="M58" s="419">
        <v>0.95</v>
      </c>
      <c r="N58" s="419">
        <v>0</v>
      </c>
      <c r="O58" s="419">
        <v>0</v>
      </c>
      <c r="P58" s="419">
        <v>0</v>
      </c>
    </row>
    <row r="59" spans="2:16">
      <c r="B59" s="381">
        <f t="shared" si="0"/>
        <v>2053</v>
      </c>
      <c r="C59" s="419">
        <v>0.59</v>
      </c>
      <c r="D59" s="419">
        <v>0.44</v>
      </c>
      <c r="E59" s="419">
        <v>0.44</v>
      </c>
      <c r="F59" s="419">
        <v>0.56999999999999995</v>
      </c>
      <c r="G59" s="419">
        <v>0.56999999999999995</v>
      </c>
      <c r="H59" s="419">
        <v>0.73</v>
      </c>
      <c r="I59" s="419">
        <v>0.89</v>
      </c>
      <c r="J59" s="419">
        <v>0.56999999999999995</v>
      </c>
      <c r="K59" s="419">
        <v>0.97</v>
      </c>
      <c r="L59" s="419">
        <v>0.66</v>
      </c>
      <c r="M59" s="419">
        <v>0.95</v>
      </c>
      <c r="N59" s="419">
        <v>0</v>
      </c>
      <c r="O59" s="419">
        <v>0</v>
      </c>
      <c r="P59" s="419">
        <v>0</v>
      </c>
    </row>
    <row r="60" spans="2:16">
      <c r="B60" s="381">
        <f t="shared" si="0"/>
        <v>2054</v>
      </c>
      <c r="C60" s="419">
        <v>0.59</v>
      </c>
      <c r="D60" s="419">
        <v>0.44</v>
      </c>
      <c r="E60" s="419">
        <v>0.44</v>
      </c>
      <c r="F60" s="419">
        <v>0.56999999999999995</v>
      </c>
      <c r="G60" s="419">
        <v>0.56999999999999995</v>
      </c>
      <c r="H60" s="419">
        <v>0.73</v>
      </c>
      <c r="I60" s="419">
        <v>0.89</v>
      </c>
      <c r="J60" s="419">
        <v>0.56999999999999995</v>
      </c>
      <c r="K60" s="419">
        <v>0.97</v>
      </c>
      <c r="L60" s="419">
        <v>0.66</v>
      </c>
      <c r="M60" s="419">
        <v>0.95</v>
      </c>
      <c r="N60" s="419">
        <v>0</v>
      </c>
      <c r="O60" s="419">
        <v>0</v>
      </c>
      <c r="P60" s="419">
        <v>0</v>
      </c>
    </row>
    <row r="61" spans="2:16">
      <c r="B61" s="381">
        <f t="shared" si="0"/>
        <v>2055</v>
      </c>
      <c r="C61" s="419">
        <v>0.59</v>
      </c>
      <c r="D61" s="419">
        <v>0.44</v>
      </c>
      <c r="E61" s="419">
        <v>0.44</v>
      </c>
      <c r="F61" s="419">
        <v>0.56999999999999995</v>
      </c>
      <c r="G61" s="419">
        <v>0.56999999999999995</v>
      </c>
      <c r="H61" s="419">
        <v>0.73</v>
      </c>
      <c r="I61" s="419">
        <v>0.89</v>
      </c>
      <c r="J61" s="419">
        <v>0.56999999999999995</v>
      </c>
      <c r="K61" s="419">
        <v>0.97</v>
      </c>
      <c r="L61" s="419">
        <v>0.66</v>
      </c>
      <c r="M61" s="419">
        <v>0.95</v>
      </c>
      <c r="N61" s="419">
        <v>0</v>
      </c>
      <c r="O61" s="419">
        <v>0</v>
      </c>
      <c r="P61" s="419">
        <v>0</v>
      </c>
    </row>
    <row r="62" spans="2:16">
      <c r="B62" s="381">
        <f t="shared" si="0"/>
        <v>2056</v>
      </c>
      <c r="C62" s="419">
        <v>0.59</v>
      </c>
      <c r="D62" s="419">
        <v>0.44</v>
      </c>
      <c r="E62" s="419">
        <v>0.44</v>
      </c>
      <c r="F62" s="419">
        <v>0.56999999999999995</v>
      </c>
      <c r="G62" s="419">
        <v>0.56999999999999995</v>
      </c>
      <c r="H62" s="419">
        <v>0.73</v>
      </c>
      <c r="I62" s="419">
        <v>0.89</v>
      </c>
      <c r="J62" s="419">
        <v>0.56999999999999995</v>
      </c>
      <c r="K62" s="419">
        <v>0.97</v>
      </c>
      <c r="L62" s="419">
        <v>0.66</v>
      </c>
      <c r="M62" s="419">
        <v>0.95</v>
      </c>
      <c r="N62" s="419">
        <v>0</v>
      </c>
      <c r="O62" s="419">
        <v>0</v>
      </c>
      <c r="P62" s="419">
        <v>0</v>
      </c>
    </row>
    <row r="63" spans="2:16">
      <c r="B63" s="381">
        <f t="shared" si="0"/>
        <v>2057</v>
      </c>
      <c r="C63" s="419">
        <v>0.59</v>
      </c>
      <c r="D63" s="419">
        <v>0.44</v>
      </c>
      <c r="E63" s="419">
        <v>0.44</v>
      </c>
      <c r="F63" s="419">
        <v>0.56999999999999995</v>
      </c>
      <c r="G63" s="419">
        <v>0.56999999999999995</v>
      </c>
      <c r="H63" s="419">
        <v>0.73</v>
      </c>
      <c r="I63" s="419">
        <v>0.89</v>
      </c>
      <c r="J63" s="419">
        <v>0.56999999999999995</v>
      </c>
      <c r="K63" s="419">
        <v>0.97</v>
      </c>
      <c r="L63" s="419">
        <v>0.66</v>
      </c>
      <c r="M63" s="419">
        <v>0.95</v>
      </c>
      <c r="N63" s="419">
        <v>0</v>
      </c>
      <c r="O63" s="419">
        <v>0</v>
      </c>
      <c r="P63" s="419">
        <v>0</v>
      </c>
    </row>
    <row r="64" spans="2:16">
      <c r="B64" s="381">
        <f t="shared" si="0"/>
        <v>2058</v>
      </c>
      <c r="C64" s="419">
        <v>0.59</v>
      </c>
      <c r="D64" s="419">
        <v>0.44</v>
      </c>
      <c r="E64" s="419">
        <v>0.44</v>
      </c>
      <c r="F64" s="419">
        <v>0.56999999999999995</v>
      </c>
      <c r="G64" s="419">
        <v>0.56999999999999995</v>
      </c>
      <c r="H64" s="419">
        <v>0.73</v>
      </c>
      <c r="I64" s="419">
        <v>0.89</v>
      </c>
      <c r="J64" s="419">
        <v>0.56999999999999995</v>
      </c>
      <c r="K64" s="419">
        <v>0.97</v>
      </c>
      <c r="L64" s="419">
        <v>0.66</v>
      </c>
      <c r="M64" s="419">
        <v>0.95</v>
      </c>
      <c r="N64" s="419">
        <v>0</v>
      </c>
      <c r="O64" s="419">
        <v>0</v>
      </c>
      <c r="P64" s="419">
        <v>0</v>
      </c>
    </row>
    <row r="65" spans="2:16">
      <c r="B65" s="381">
        <f t="shared" si="0"/>
        <v>2059</v>
      </c>
      <c r="C65" s="419">
        <v>0.59</v>
      </c>
      <c r="D65" s="419">
        <v>0.44</v>
      </c>
      <c r="E65" s="419">
        <v>0.44</v>
      </c>
      <c r="F65" s="419">
        <v>0.56999999999999995</v>
      </c>
      <c r="G65" s="419">
        <v>0.56999999999999995</v>
      </c>
      <c r="H65" s="419">
        <v>0.73</v>
      </c>
      <c r="I65" s="419">
        <v>0.89</v>
      </c>
      <c r="J65" s="419">
        <v>0.56999999999999995</v>
      </c>
      <c r="K65" s="419">
        <v>0.97</v>
      </c>
      <c r="L65" s="419">
        <v>0.66</v>
      </c>
      <c r="M65" s="419">
        <v>0.95</v>
      </c>
      <c r="N65" s="419">
        <v>0</v>
      </c>
      <c r="O65" s="419">
        <v>0</v>
      </c>
      <c r="P65" s="419">
        <v>0</v>
      </c>
    </row>
    <row r="66" spans="2:16">
      <c r="B66" s="381">
        <f t="shared" si="0"/>
        <v>2060</v>
      </c>
      <c r="C66" s="419">
        <v>0.59</v>
      </c>
      <c r="D66" s="419">
        <v>0.44</v>
      </c>
      <c r="E66" s="419">
        <v>0.44</v>
      </c>
      <c r="F66" s="419">
        <v>0.56999999999999995</v>
      </c>
      <c r="G66" s="419">
        <v>0.56999999999999995</v>
      </c>
      <c r="H66" s="419">
        <v>0.73</v>
      </c>
      <c r="I66" s="419">
        <v>0.89</v>
      </c>
      <c r="J66" s="419">
        <v>0.56999999999999995</v>
      </c>
      <c r="K66" s="419">
        <v>0.97</v>
      </c>
      <c r="L66" s="419">
        <v>0.66</v>
      </c>
      <c r="M66" s="419">
        <v>0.95</v>
      </c>
      <c r="N66" s="419">
        <v>0</v>
      </c>
      <c r="O66" s="419">
        <v>0</v>
      </c>
      <c r="P66" s="419">
        <v>0</v>
      </c>
    </row>
    <row r="67" spans="2:16">
      <c r="B67" s="381">
        <f t="shared" si="0"/>
        <v>2061</v>
      </c>
      <c r="C67" s="419">
        <v>0.59</v>
      </c>
      <c r="D67" s="419">
        <v>0.44</v>
      </c>
      <c r="E67" s="419">
        <v>0.44</v>
      </c>
      <c r="F67" s="419">
        <v>0.56999999999999995</v>
      </c>
      <c r="G67" s="419">
        <v>0.56999999999999995</v>
      </c>
      <c r="H67" s="419">
        <v>0.73</v>
      </c>
      <c r="I67" s="419">
        <v>0.89</v>
      </c>
      <c r="J67" s="419">
        <v>0.56999999999999995</v>
      </c>
      <c r="K67" s="419">
        <v>0.97</v>
      </c>
      <c r="L67" s="419">
        <v>0.66</v>
      </c>
      <c r="M67" s="419">
        <v>0.95</v>
      </c>
      <c r="N67" s="419">
        <v>0</v>
      </c>
      <c r="O67" s="419">
        <v>0</v>
      </c>
      <c r="P67" s="419">
        <v>0</v>
      </c>
    </row>
    <row r="68" spans="2:16">
      <c r="B68" s="381">
        <f t="shared" si="0"/>
        <v>2062</v>
      </c>
      <c r="C68" s="419">
        <v>0.59</v>
      </c>
      <c r="D68" s="419">
        <v>0.44</v>
      </c>
      <c r="E68" s="419">
        <v>0.44</v>
      </c>
      <c r="F68" s="419">
        <v>0.56999999999999995</v>
      </c>
      <c r="G68" s="419">
        <v>0.56999999999999995</v>
      </c>
      <c r="H68" s="419">
        <v>0.73</v>
      </c>
      <c r="I68" s="419">
        <v>0.89</v>
      </c>
      <c r="J68" s="419">
        <v>0.56999999999999995</v>
      </c>
      <c r="K68" s="419">
        <v>0.97</v>
      </c>
      <c r="L68" s="419">
        <v>0.66</v>
      </c>
      <c r="M68" s="419">
        <v>0.95</v>
      </c>
      <c r="N68" s="419">
        <v>0</v>
      </c>
      <c r="O68" s="419">
        <v>0</v>
      </c>
      <c r="P68" s="419">
        <v>0</v>
      </c>
    </row>
    <row r="69" spans="2:16">
      <c r="B69" s="381">
        <f t="shared" si="0"/>
        <v>2063</v>
      </c>
      <c r="C69" s="419">
        <v>0.59</v>
      </c>
      <c r="D69" s="419">
        <v>0.44</v>
      </c>
      <c r="E69" s="419">
        <v>0.44</v>
      </c>
      <c r="F69" s="419">
        <v>0.56999999999999995</v>
      </c>
      <c r="G69" s="419">
        <v>0.56999999999999995</v>
      </c>
      <c r="H69" s="419">
        <v>0.73</v>
      </c>
      <c r="I69" s="419">
        <v>0.89</v>
      </c>
      <c r="J69" s="419">
        <v>0.56999999999999995</v>
      </c>
      <c r="K69" s="419">
        <v>0.97</v>
      </c>
      <c r="L69" s="419">
        <v>0.66</v>
      </c>
      <c r="M69" s="419">
        <v>0.95</v>
      </c>
      <c r="N69" s="419">
        <v>0</v>
      </c>
      <c r="O69" s="419">
        <v>0</v>
      </c>
      <c r="P69" s="419">
        <v>0</v>
      </c>
    </row>
    <row r="70" spans="2:16">
      <c r="B70" s="381">
        <f t="shared" si="0"/>
        <v>2064</v>
      </c>
      <c r="C70" s="419">
        <v>0.59</v>
      </c>
      <c r="D70" s="419">
        <v>0.44</v>
      </c>
      <c r="E70" s="419">
        <v>0.44</v>
      </c>
      <c r="F70" s="419">
        <v>0.56999999999999995</v>
      </c>
      <c r="G70" s="419">
        <v>0.56999999999999995</v>
      </c>
      <c r="H70" s="419">
        <v>0.73</v>
      </c>
      <c r="I70" s="419">
        <v>0.89</v>
      </c>
      <c r="J70" s="419">
        <v>0.56999999999999995</v>
      </c>
      <c r="K70" s="419">
        <v>0.97</v>
      </c>
      <c r="L70" s="419">
        <v>0.66</v>
      </c>
      <c r="M70" s="419">
        <v>0.95</v>
      </c>
      <c r="N70" s="419">
        <v>0</v>
      </c>
      <c r="O70" s="419">
        <v>0</v>
      </c>
      <c r="P70" s="419">
        <v>0</v>
      </c>
    </row>
    <row r="71" spans="2:16">
      <c r="B71" s="381">
        <f t="shared" si="0"/>
        <v>2065</v>
      </c>
      <c r="C71" s="419">
        <v>0.59</v>
      </c>
      <c r="D71" s="419">
        <v>0.44</v>
      </c>
      <c r="E71" s="419">
        <v>0.44</v>
      </c>
      <c r="F71" s="419">
        <v>0.56999999999999995</v>
      </c>
      <c r="G71" s="419">
        <v>0.56999999999999995</v>
      </c>
      <c r="H71" s="419">
        <v>0.73</v>
      </c>
      <c r="I71" s="419">
        <v>0.89</v>
      </c>
      <c r="J71" s="419">
        <v>0.56999999999999995</v>
      </c>
      <c r="K71" s="419">
        <v>0.97</v>
      </c>
      <c r="L71" s="419">
        <v>0.66</v>
      </c>
      <c r="M71" s="419">
        <v>0.95</v>
      </c>
      <c r="N71" s="419">
        <v>0</v>
      </c>
      <c r="O71" s="419">
        <v>0</v>
      </c>
      <c r="P71" s="419">
        <v>0</v>
      </c>
    </row>
    <row r="72" spans="2:16">
      <c r="B72" s="381">
        <f t="shared" ref="B72:B86" si="1">B71+1</f>
        <v>2066</v>
      </c>
      <c r="C72" s="419">
        <v>0.59</v>
      </c>
      <c r="D72" s="419">
        <v>0.44</v>
      </c>
      <c r="E72" s="419">
        <v>0.44</v>
      </c>
      <c r="F72" s="419">
        <v>0.56999999999999995</v>
      </c>
      <c r="G72" s="419">
        <v>0.56999999999999995</v>
      </c>
      <c r="H72" s="419">
        <v>0.73</v>
      </c>
      <c r="I72" s="419">
        <v>0.89</v>
      </c>
      <c r="J72" s="419">
        <v>0.56999999999999995</v>
      </c>
      <c r="K72" s="419">
        <v>0.97</v>
      </c>
      <c r="L72" s="419">
        <v>0.66</v>
      </c>
      <c r="M72" s="419">
        <v>0.95</v>
      </c>
      <c r="N72" s="419">
        <v>0</v>
      </c>
      <c r="O72" s="419">
        <v>0</v>
      </c>
      <c r="P72" s="419">
        <v>0</v>
      </c>
    </row>
    <row r="73" spans="2:16">
      <c r="B73" s="381">
        <f t="shared" si="1"/>
        <v>2067</v>
      </c>
      <c r="C73" s="419">
        <v>0.59</v>
      </c>
      <c r="D73" s="419">
        <v>0.44</v>
      </c>
      <c r="E73" s="419">
        <v>0.44</v>
      </c>
      <c r="F73" s="419">
        <v>0.56999999999999995</v>
      </c>
      <c r="G73" s="419">
        <v>0.56999999999999995</v>
      </c>
      <c r="H73" s="419">
        <v>0.73</v>
      </c>
      <c r="I73" s="419">
        <v>0.89</v>
      </c>
      <c r="J73" s="419">
        <v>0.56999999999999995</v>
      </c>
      <c r="K73" s="419">
        <v>0.97</v>
      </c>
      <c r="L73" s="419">
        <v>0.66</v>
      </c>
      <c r="M73" s="419">
        <v>0.95</v>
      </c>
      <c r="N73" s="419">
        <v>0</v>
      </c>
      <c r="O73" s="419">
        <v>0</v>
      </c>
      <c r="P73" s="419">
        <v>0</v>
      </c>
    </row>
    <row r="74" spans="2:16">
      <c r="B74" s="381">
        <f t="shared" si="1"/>
        <v>2068</v>
      </c>
      <c r="C74" s="419">
        <v>0.59</v>
      </c>
      <c r="D74" s="419">
        <v>0.44</v>
      </c>
      <c r="E74" s="419">
        <v>0.44</v>
      </c>
      <c r="F74" s="419">
        <v>0.56999999999999995</v>
      </c>
      <c r="G74" s="419">
        <v>0.56999999999999995</v>
      </c>
      <c r="H74" s="419">
        <v>0.73</v>
      </c>
      <c r="I74" s="419">
        <v>0.89</v>
      </c>
      <c r="J74" s="419">
        <v>0.56999999999999995</v>
      </c>
      <c r="K74" s="419">
        <v>0.97</v>
      </c>
      <c r="L74" s="419">
        <v>0.66</v>
      </c>
      <c r="M74" s="419">
        <v>0.95</v>
      </c>
      <c r="N74" s="419">
        <v>0</v>
      </c>
      <c r="O74" s="419">
        <v>0</v>
      </c>
      <c r="P74" s="419">
        <v>0</v>
      </c>
    </row>
    <row r="75" spans="2:16">
      <c r="B75" s="381">
        <f t="shared" si="1"/>
        <v>2069</v>
      </c>
      <c r="C75" s="419">
        <v>0.59</v>
      </c>
      <c r="D75" s="419">
        <v>0.44</v>
      </c>
      <c r="E75" s="419">
        <v>0.44</v>
      </c>
      <c r="F75" s="419">
        <v>0.56999999999999995</v>
      </c>
      <c r="G75" s="419">
        <v>0.56999999999999995</v>
      </c>
      <c r="H75" s="419">
        <v>0.73</v>
      </c>
      <c r="I75" s="419">
        <v>0.89</v>
      </c>
      <c r="J75" s="419">
        <v>0.56999999999999995</v>
      </c>
      <c r="K75" s="419">
        <v>0.97</v>
      </c>
      <c r="L75" s="419">
        <v>0.66</v>
      </c>
      <c r="M75" s="419">
        <v>0.95</v>
      </c>
      <c r="N75" s="419">
        <v>0</v>
      </c>
      <c r="O75" s="419">
        <v>0</v>
      </c>
      <c r="P75" s="419">
        <v>0</v>
      </c>
    </row>
    <row r="76" spans="2:16">
      <c r="B76" s="381">
        <f t="shared" si="1"/>
        <v>2070</v>
      </c>
      <c r="C76" s="419">
        <v>0.59</v>
      </c>
      <c r="D76" s="419">
        <v>0.44</v>
      </c>
      <c r="E76" s="419">
        <v>0.44</v>
      </c>
      <c r="F76" s="419">
        <v>0.56999999999999995</v>
      </c>
      <c r="G76" s="419">
        <v>0.56999999999999995</v>
      </c>
      <c r="H76" s="419">
        <v>0.73</v>
      </c>
      <c r="I76" s="419">
        <v>0.89</v>
      </c>
      <c r="J76" s="419">
        <v>0.56999999999999995</v>
      </c>
      <c r="K76" s="419">
        <v>0.97</v>
      </c>
      <c r="L76" s="419">
        <v>0.66</v>
      </c>
      <c r="M76" s="419">
        <v>0.95</v>
      </c>
      <c r="N76" s="419">
        <v>0</v>
      </c>
      <c r="O76" s="419">
        <v>0</v>
      </c>
      <c r="P76" s="419">
        <v>0</v>
      </c>
    </row>
    <row r="77" spans="2:16">
      <c r="B77" s="381">
        <f t="shared" si="1"/>
        <v>2071</v>
      </c>
      <c r="C77" s="419">
        <v>0.59</v>
      </c>
      <c r="D77" s="419">
        <v>0.44</v>
      </c>
      <c r="E77" s="419">
        <v>0.44</v>
      </c>
      <c r="F77" s="419">
        <v>0.56999999999999995</v>
      </c>
      <c r="G77" s="419">
        <v>0.56999999999999995</v>
      </c>
      <c r="H77" s="419">
        <v>0.73</v>
      </c>
      <c r="I77" s="419">
        <v>0.89</v>
      </c>
      <c r="J77" s="419">
        <v>0.56999999999999995</v>
      </c>
      <c r="K77" s="419">
        <v>0.97</v>
      </c>
      <c r="L77" s="419">
        <v>0.66</v>
      </c>
      <c r="M77" s="419">
        <v>0.95</v>
      </c>
      <c r="N77" s="419">
        <v>0</v>
      </c>
      <c r="O77" s="419">
        <v>0</v>
      </c>
      <c r="P77" s="419">
        <v>0</v>
      </c>
    </row>
    <row r="78" spans="2:16">
      <c r="B78" s="381">
        <f t="shared" si="1"/>
        <v>2072</v>
      </c>
      <c r="C78" s="419">
        <v>0.59</v>
      </c>
      <c r="D78" s="419">
        <v>0.44</v>
      </c>
      <c r="E78" s="419">
        <v>0.44</v>
      </c>
      <c r="F78" s="419">
        <v>0.56999999999999995</v>
      </c>
      <c r="G78" s="419">
        <v>0.56999999999999995</v>
      </c>
      <c r="H78" s="419">
        <v>0.73</v>
      </c>
      <c r="I78" s="419">
        <v>0.89</v>
      </c>
      <c r="J78" s="419">
        <v>0.56999999999999995</v>
      </c>
      <c r="K78" s="419">
        <v>0.97</v>
      </c>
      <c r="L78" s="419">
        <v>0.66</v>
      </c>
      <c r="M78" s="419">
        <v>0.95</v>
      </c>
      <c r="N78" s="419">
        <v>0</v>
      </c>
      <c r="O78" s="419">
        <v>0</v>
      </c>
      <c r="P78" s="419">
        <v>0</v>
      </c>
    </row>
    <row r="79" spans="2:16">
      <c r="B79" s="381">
        <f t="shared" si="1"/>
        <v>2073</v>
      </c>
      <c r="C79" s="419">
        <v>0.59</v>
      </c>
      <c r="D79" s="419">
        <v>0.44</v>
      </c>
      <c r="E79" s="419">
        <v>0.44</v>
      </c>
      <c r="F79" s="419">
        <v>0.56999999999999995</v>
      </c>
      <c r="G79" s="419">
        <v>0.56999999999999995</v>
      </c>
      <c r="H79" s="419">
        <v>0.73</v>
      </c>
      <c r="I79" s="419">
        <v>0.89</v>
      </c>
      <c r="J79" s="419">
        <v>0.56999999999999995</v>
      </c>
      <c r="K79" s="419">
        <v>0.97</v>
      </c>
      <c r="L79" s="419">
        <v>0.66</v>
      </c>
      <c r="M79" s="419">
        <v>0.95</v>
      </c>
      <c r="N79" s="419">
        <v>0</v>
      </c>
      <c r="O79" s="419">
        <v>0</v>
      </c>
      <c r="P79" s="419">
        <v>0</v>
      </c>
    </row>
    <row r="80" spans="2:16">
      <c r="B80" s="381">
        <f t="shared" si="1"/>
        <v>2074</v>
      </c>
      <c r="C80" s="419">
        <v>0.59</v>
      </c>
      <c r="D80" s="419">
        <v>0.44</v>
      </c>
      <c r="E80" s="419">
        <v>0.44</v>
      </c>
      <c r="F80" s="419">
        <v>0.56999999999999995</v>
      </c>
      <c r="G80" s="419">
        <v>0.56999999999999995</v>
      </c>
      <c r="H80" s="419">
        <v>0.73</v>
      </c>
      <c r="I80" s="419">
        <v>0.89</v>
      </c>
      <c r="J80" s="419">
        <v>0.56999999999999995</v>
      </c>
      <c r="K80" s="419">
        <v>0.97</v>
      </c>
      <c r="L80" s="419">
        <v>0.66</v>
      </c>
      <c r="M80" s="419">
        <v>0.95</v>
      </c>
      <c r="N80" s="419">
        <v>0</v>
      </c>
      <c r="O80" s="419">
        <v>0</v>
      </c>
      <c r="P80" s="419">
        <v>0</v>
      </c>
    </row>
    <row r="81" spans="2:16">
      <c r="B81" s="381">
        <f t="shared" si="1"/>
        <v>2075</v>
      </c>
      <c r="C81" s="419">
        <v>0.59</v>
      </c>
      <c r="D81" s="419">
        <v>0.44</v>
      </c>
      <c r="E81" s="419">
        <v>0.44</v>
      </c>
      <c r="F81" s="419">
        <v>0.56999999999999995</v>
      </c>
      <c r="G81" s="419">
        <v>0.56999999999999995</v>
      </c>
      <c r="H81" s="419">
        <v>0.73</v>
      </c>
      <c r="I81" s="419">
        <v>0.89</v>
      </c>
      <c r="J81" s="419">
        <v>0.56999999999999995</v>
      </c>
      <c r="K81" s="419">
        <v>0.97</v>
      </c>
      <c r="L81" s="419">
        <v>0.66</v>
      </c>
      <c r="M81" s="419">
        <v>0.95</v>
      </c>
      <c r="N81" s="419">
        <v>0</v>
      </c>
      <c r="O81" s="419">
        <v>0</v>
      </c>
      <c r="P81" s="419">
        <v>0</v>
      </c>
    </row>
    <row r="82" spans="2:16">
      <c r="B82" s="381">
        <f t="shared" si="1"/>
        <v>2076</v>
      </c>
      <c r="C82" s="419">
        <v>0.59</v>
      </c>
      <c r="D82" s="419">
        <v>0.44</v>
      </c>
      <c r="E82" s="419">
        <v>0.44</v>
      </c>
      <c r="F82" s="419">
        <v>0.56999999999999995</v>
      </c>
      <c r="G82" s="419">
        <v>0.56999999999999995</v>
      </c>
      <c r="H82" s="419">
        <v>0.73</v>
      </c>
      <c r="I82" s="419">
        <v>0.89</v>
      </c>
      <c r="J82" s="419">
        <v>0.56999999999999995</v>
      </c>
      <c r="K82" s="419">
        <v>0.97</v>
      </c>
      <c r="L82" s="419">
        <v>0.66</v>
      </c>
      <c r="M82" s="419">
        <v>0.95</v>
      </c>
      <c r="N82" s="419">
        <v>0</v>
      </c>
      <c r="O82" s="419">
        <v>0</v>
      </c>
      <c r="P82" s="419">
        <v>0</v>
      </c>
    </row>
    <row r="83" spans="2:16">
      <c r="B83" s="381">
        <f t="shared" si="1"/>
        <v>2077</v>
      </c>
      <c r="C83" s="419">
        <v>0.59</v>
      </c>
      <c r="D83" s="419">
        <v>0.44</v>
      </c>
      <c r="E83" s="419">
        <v>0.44</v>
      </c>
      <c r="F83" s="419">
        <v>0.56999999999999995</v>
      </c>
      <c r="G83" s="419">
        <v>0.56999999999999995</v>
      </c>
      <c r="H83" s="419">
        <v>0.73</v>
      </c>
      <c r="I83" s="419">
        <v>0.89</v>
      </c>
      <c r="J83" s="419">
        <v>0.56999999999999995</v>
      </c>
      <c r="K83" s="419">
        <v>0.97</v>
      </c>
      <c r="L83" s="419">
        <v>0.66</v>
      </c>
      <c r="M83" s="419">
        <v>0.95</v>
      </c>
      <c r="N83" s="419">
        <v>0</v>
      </c>
      <c r="O83" s="419">
        <v>0</v>
      </c>
      <c r="P83" s="419">
        <v>0</v>
      </c>
    </row>
    <row r="84" spans="2:16">
      <c r="B84" s="381">
        <f t="shared" si="1"/>
        <v>2078</v>
      </c>
      <c r="C84" s="419">
        <v>0.59</v>
      </c>
      <c r="D84" s="419">
        <v>0.44</v>
      </c>
      <c r="E84" s="419">
        <v>0.44</v>
      </c>
      <c r="F84" s="419">
        <v>0.56999999999999995</v>
      </c>
      <c r="G84" s="419">
        <v>0.56999999999999995</v>
      </c>
      <c r="H84" s="419">
        <v>0.73</v>
      </c>
      <c r="I84" s="419">
        <v>0.89</v>
      </c>
      <c r="J84" s="419">
        <v>0.56999999999999995</v>
      </c>
      <c r="K84" s="419">
        <v>0.97</v>
      </c>
      <c r="L84" s="419">
        <v>0.66</v>
      </c>
      <c r="M84" s="419">
        <v>0.95</v>
      </c>
      <c r="N84" s="419">
        <v>0</v>
      </c>
      <c r="O84" s="419">
        <v>0</v>
      </c>
      <c r="P84" s="419">
        <v>0</v>
      </c>
    </row>
    <row r="85" spans="2:16">
      <c r="B85" s="381">
        <f t="shared" si="1"/>
        <v>2079</v>
      </c>
      <c r="C85" s="419">
        <v>0.59</v>
      </c>
      <c r="D85" s="419">
        <v>0.44</v>
      </c>
      <c r="E85" s="419">
        <v>0.44</v>
      </c>
      <c r="F85" s="419">
        <v>0.56999999999999995</v>
      </c>
      <c r="G85" s="419">
        <v>0.56999999999999995</v>
      </c>
      <c r="H85" s="419">
        <v>0.73</v>
      </c>
      <c r="I85" s="419">
        <v>0.89</v>
      </c>
      <c r="J85" s="419">
        <v>0.56999999999999995</v>
      </c>
      <c r="K85" s="419">
        <v>0.97</v>
      </c>
      <c r="L85" s="419">
        <v>0.66</v>
      </c>
      <c r="M85" s="419">
        <v>0.95</v>
      </c>
      <c r="N85" s="419">
        <v>0</v>
      </c>
      <c r="O85" s="419">
        <v>0</v>
      </c>
      <c r="P85" s="419">
        <v>0</v>
      </c>
    </row>
    <row r="86" spans="2:16">
      <c r="B86" s="381">
        <f t="shared" si="1"/>
        <v>2080</v>
      </c>
      <c r="C86" s="419">
        <v>0.59</v>
      </c>
      <c r="D86" s="419">
        <v>0.44</v>
      </c>
      <c r="E86" s="419">
        <v>0.44</v>
      </c>
      <c r="F86" s="419">
        <v>0.56999999999999995</v>
      </c>
      <c r="G86" s="419">
        <v>0.56999999999999995</v>
      </c>
      <c r="H86" s="419">
        <v>0.73</v>
      </c>
      <c r="I86" s="419">
        <v>0.89</v>
      </c>
      <c r="J86" s="419">
        <v>0.56999999999999995</v>
      </c>
      <c r="K86" s="419">
        <v>0.97</v>
      </c>
      <c r="L86" s="419">
        <v>0.66</v>
      </c>
      <c r="M86" s="419">
        <v>0.95</v>
      </c>
      <c r="N86" s="419">
        <v>0</v>
      </c>
      <c r="O86" s="419">
        <v>0</v>
      </c>
      <c r="P86" s="419">
        <v>0</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B1:P94"/>
  <sheetViews>
    <sheetView showGridLines="0" workbookViewId="0">
      <pane xSplit="2" ySplit="13" topLeftCell="C29" activePane="bottomRight" state="frozen"/>
      <selection activeCell="E19" sqref="E19"/>
      <selection pane="topRight" activeCell="E19" sqref="E19"/>
      <selection pane="bottomLeft" activeCell="E19" sqref="E19"/>
      <selection pane="bottomRight" activeCell="C14" sqref="C14"/>
    </sheetView>
  </sheetViews>
  <sheetFormatPr defaultColWidth="11.42578125" defaultRowHeight="12.75"/>
  <cols>
    <col min="1" max="1" width="3.42578125" customWidth="1"/>
    <col min="2" max="2" width="5.42578125" customWidth="1"/>
    <col min="3" max="8" width="10.140625" customWidth="1"/>
    <col min="9" max="9" width="11.85546875" customWidth="1"/>
    <col min="10" max="14" width="10.140625" customWidth="1"/>
    <col min="15" max="15" width="11.42578125" customWidth="1"/>
    <col min="16" max="16" width="10.140625" customWidth="1"/>
  </cols>
  <sheetData>
    <row r="1" spans="2:16" ht="13.5" thickBot="1"/>
    <row r="2" spans="2:16" ht="16.5" thickBot="1">
      <c r="C2" s="4" t="s">
        <v>164</v>
      </c>
      <c r="H2" s="5" t="s">
        <v>265</v>
      </c>
      <c r="I2" s="934" t="str">
        <f>city</f>
        <v>Balikpapan</v>
      </c>
      <c r="J2" s="935"/>
      <c r="K2" s="935"/>
      <c r="L2" s="935"/>
      <c r="M2" s="935"/>
      <c r="N2" s="935"/>
      <c r="O2" s="935"/>
    </row>
    <row r="3" spans="2:16" ht="16.5" thickBot="1">
      <c r="C3" s="4"/>
      <c r="H3" s="5" t="s">
        <v>276</v>
      </c>
      <c r="I3" s="934" t="str">
        <f>province</f>
        <v>Kalimantan Timur</v>
      </c>
      <c r="J3" s="935"/>
      <c r="K3" s="935"/>
      <c r="L3" s="935"/>
      <c r="M3" s="935"/>
      <c r="N3" s="935"/>
      <c r="O3" s="935"/>
    </row>
    <row r="4" spans="2:16" ht="16.5" thickBot="1">
      <c r="D4" s="4"/>
      <c r="E4" s="4"/>
      <c r="H4" s="5" t="s">
        <v>30</v>
      </c>
      <c r="I4" s="934" t="str">
        <f>country</f>
        <v>Indonesia</v>
      </c>
      <c r="J4" s="935"/>
      <c r="K4" s="935"/>
      <c r="L4" s="935"/>
      <c r="M4" s="935"/>
      <c r="N4" s="935"/>
      <c r="O4" s="935"/>
      <c r="P4" s="538"/>
    </row>
    <row r="5" spans="2:16">
      <c r="C5" s="5"/>
      <c r="D5" s="5"/>
      <c r="E5" s="5"/>
      <c r="F5" s="69"/>
      <c r="G5" s="69"/>
      <c r="P5" s="538"/>
    </row>
    <row r="6" spans="2:16" s="133" customFormat="1">
      <c r="C6" s="69" t="s">
        <v>101</v>
      </c>
      <c r="D6" s="69"/>
      <c r="E6" s="69"/>
      <c r="F6" s="69"/>
      <c r="G6" s="69"/>
      <c r="P6"/>
    </row>
    <row r="7" spans="2:16" s="133" customFormat="1">
      <c r="C7" s="69" t="s">
        <v>96</v>
      </c>
      <c r="D7" s="69"/>
      <c r="E7" s="69"/>
      <c r="F7" s="69"/>
      <c r="G7" s="69"/>
      <c r="P7"/>
    </row>
    <row r="9" spans="2:16" ht="13.5" thickBot="1"/>
    <row r="10" spans="2:16" ht="13.5" thickBot="1">
      <c r="C10" s="940" t="s">
        <v>32</v>
      </c>
      <c r="D10" s="941"/>
      <c r="E10" s="941"/>
      <c r="F10" s="941"/>
      <c r="G10" s="941"/>
      <c r="H10" s="941"/>
      <c r="I10" s="941"/>
      <c r="J10" s="941"/>
      <c r="K10" s="941"/>
      <c r="L10" s="941"/>
      <c r="M10" s="941"/>
      <c r="N10" s="941"/>
      <c r="O10" s="941"/>
      <c r="P10" s="942"/>
    </row>
    <row r="11" spans="2:16" ht="13.5" customHeight="1" thickBot="1">
      <c r="C11" s="923" t="s">
        <v>228</v>
      </c>
      <c r="D11" s="923" t="s">
        <v>262</v>
      </c>
      <c r="E11" s="923" t="s">
        <v>267</v>
      </c>
      <c r="F11" s="923" t="s">
        <v>261</v>
      </c>
      <c r="G11" s="923" t="s">
        <v>2</v>
      </c>
      <c r="H11" s="923" t="s">
        <v>16</v>
      </c>
      <c r="I11" s="923" t="s">
        <v>229</v>
      </c>
      <c r="J11" s="936" t="s">
        <v>273</v>
      </c>
      <c r="K11" s="937"/>
      <c r="L11" s="937"/>
      <c r="M11" s="938"/>
      <c r="N11" s="923" t="s">
        <v>146</v>
      </c>
      <c r="O11" s="923" t="s">
        <v>210</v>
      </c>
      <c r="P11" s="922" t="s">
        <v>308</v>
      </c>
    </row>
    <row r="12" spans="2:16" s="1" customFormat="1">
      <c r="B12" s="364" t="s">
        <v>1</v>
      </c>
      <c r="C12" s="939"/>
      <c r="D12" s="939"/>
      <c r="E12" s="939"/>
      <c r="F12" s="939"/>
      <c r="G12" s="939"/>
      <c r="H12" s="939"/>
      <c r="I12" s="939"/>
      <c r="J12" s="368" t="s">
        <v>230</v>
      </c>
      <c r="K12" s="368" t="s">
        <v>231</v>
      </c>
      <c r="L12" s="368" t="s">
        <v>232</v>
      </c>
      <c r="M12" s="364" t="s">
        <v>233</v>
      </c>
      <c r="N12" s="939"/>
      <c r="O12" s="939"/>
      <c r="P12" s="939"/>
    </row>
    <row r="13" spans="2:16" s="3" customFormat="1" ht="13.5" thickBot="1">
      <c r="B13" s="33"/>
      <c r="C13" s="365" t="s">
        <v>15</v>
      </c>
      <c r="D13" s="366" t="s">
        <v>15</v>
      </c>
      <c r="E13" s="366" t="s">
        <v>15</v>
      </c>
      <c r="F13" s="367" t="s">
        <v>15</v>
      </c>
      <c r="G13" s="366" t="s">
        <v>15</v>
      </c>
      <c r="H13" s="367" t="s">
        <v>15</v>
      </c>
      <c r="I13" s="367" t="s">
        <v>15</v>
      </c>
      <c r="J13" s="367" t="s">
        <v>15</v>
      </c>
      <c r="K13" s="367" t="s">
        <v>15</v>
      </c>
      <c r="L13" s="367" t="s">
        <v>15</v>
      </c>
      <c r="M13" s="367" t="s">
        <v>15</v>
      </c>
      <c r="N13" s="367" t="s">
        <v>15</v>
      </c>
      <c r="O13" s="427" t="s">
        <v>15</v>
      </c>
      <c r="P13" s="427" t="s">
        <v>15</v>
      </c>
    </row>
    <row r="14" spans="2:16">
      <c r="B14" s="129">
        <f>year</f>
        <v>2000</v>
      </c>
      <c r="C14" s="767">
        <f>Activity!$C13*Activity!$D13*Activity!E13</f>
        <v>12.30701151141</v>
      </c>
      <c r="D14" s="547">
        <f>Activity!$C13*Activity!$D13*Activity!F13</f>
        <v>3.649665482694</v>
      </c>
      <c r="E14" s="547">
        <f>Activity!$C13*Activity!$D13*Activity!G13</f>
        <v>0</v>
      </c>
      <c r="F14" s="547">
        <f>Activity!$C13*Activity!$D13*Activity!H13</f>
        <v>0</v>
      </c>
      <c r="G14" s="547">
        <f>Activity!$C13*Activity!$D13*Activity!I13</f>
        <v>2.8009060681140001</v>
      </c>
      <c r="H14" s="547">
        <f>Activity!$C13*Activity!$D13*Activity!J13</f>
        <v>0.763883473122</v>
      </c>
      <c r="I14" s="547">
        <f>Activity!$C13*Activity!$D13*Activity!K13</f>
        <v>0.254627824374</v>
      </c>
      <c r="J14" s="547">
        <f>Activity!$C13*Activity!$D13*Activity!L13</f>
        <v>2.037022594992</v>
      </c>
      <c r="K14" s="548">
        <f>Activity!$C13*Activity!$D13*Activity!M13</f>
        <v>0.93363535603800007</v>
      </c>
      <c r="L14" s="548">
        <f>Activity!$C13*Activity!$D13*Activity!N13</f>
        <v>1.1316792194400001</v>
      </c>
      <c r="M14" s="547">
        <f>Activity!$C13*Activity!$D13*Activity!O13</f>
        <v>4.4135489558160002</v>
      </c>
      <c r="N14" s="411">
        <v>0</v>
      </c>
      <c r="O14" s="555">
        <f>Activity!C13*Activity!D13</f>
        <v>28.291980486</v>
      </c>
      <c r="P14" s="556">
        <f>Activity!X13</f>
        <v>0</v>
      </c>
    </row>
    <row r="15" spans="2:16">
      <c r="B15" s="34">
        <f>B14+1</f>
        <v>2001</v>
      </c>
      <c r="C15" s="768">
        <f>Activity!$C14*Activity!$D14*Activity!E14</f>
        <v>12.464678524649997</v>
      </c>
      <c r="D15" s="550">
        <f>Activity!$C14*Activity!$D14*Activity!F14</f>
        <v>3.6964219073099995</v>
      </c>
      <c r="E15" s="548">
        <f>Activity!$C14*Activity!$D14*Activity!G14</f>
        <v>0</v>
      </c>
      <c r="F15" s="550">
        <f>Activity!$C14*Activity!$D14*Activity!H14</f>
        <v>0</v>
      </c>
      <c r="G15" s="550">
        <f>Activity!$C14*Activity!$D14*Activity!I14</f>
        <v>2.8367889056099997</v>
      </c>
      <c r="H15" s="550">
        <f>Activity!$C14*Activity!$D14*Activity!J14</f>
        <v>0.77366970152999981</v>
      </c>
      <c r="I15" s="550">
        <f>Activity!$C14*Activity!$D14*Activity!K14</f>
        <v>0.25788990050999994</v>
      </c>
      <c r="J15" s="551">
        <f>Activity!$C14*Activity!$D14*Activity!L14</f>
        <v>2.0631192040799995</v>
      </c>
      <c r="K15" s="550">
        <f>Activity!$C14*Activity!$D14*Activity!M14</f>
        <v>0.94559630186999988</v>
      </c>
      <c r="L15" s="550">
        <f>Activity!$C14*Activity!$D14*Activity!N14</f>
        <v>1.1461773355999998</v>
      </c>
      <c r="M15" s="548">
        <f>Activity!$C14*Activity!$D14*Activity!O14</f>
        <v>4.4700916088399989</v>
      </c>
      <c r="N15" s="412">
        <v>0</v>
      </c>
      <c r="O15" s="550">
        <f>Activity!C14*Activity!D14</f>
        <v>28.654433389999994</v>
      </c>
      <c r="P15" s="557">
        <f>Activity!X14</f>
        <v>0</v>
      </c>
    </row>
    <row r="16" spans="2:16">
      <c r="B16" s="7">
        <f t="shared" ref="B16:B21" si="0">B15+1</f>
        <v>2002</v>
      </c>
      <c r="C16" s="768">
        <f>Activity!$C15*Activity!$D15*Activity!E15</f>
        <v>12.745556924099999</v>
      </c>
      <c r="D16" s="550">
        <f>Activity!$C15*Activity!$D15*Activity!F15</f>
        <v>3.7797168809400001</v>
      </c>
      <c r="E16" s="548">
        <f>Activity!$C15*Activity!$D15*Activity!G15</f>
        <v>0</v>
      </c>
      <c r="F16" s="550">
        <f>Activity!$C15*Activity!$D15*Activity!H15</f>
        <v>0</v>
      </c>
      <c r="G16" s="550">
        <f>Activity!$C15*Activity!$D15*Activity!I15</f>
        <v>2.9007129551399999</v>
      </c>
      <c r="H16" s="550">
        <f>Activity!$C15*Activity!$D15*Activity!J15</f>
        <v>0.79110353321999993</v>
      </c>
      <c r="I16" s="550">
        <f>Activity!$C15*Activity!$D15*Activity!K15</f>
        <v>0.26370117773999996</v>
      </c>
      <c r="J16" s="551">
        <f>Activity!$C15*Activity!$D15*Activity!L15</f>
        <v>2.1096094219199997</v>
      </c>
      <c r="K16" s="550">
        <f>Activity!$C15*Activity!$D15*Activity!M15</f>
        <v>0.96690431838000002</v>
      </c>
      <c r="L16" s="550">
        <f>Activity!$C15*Activity!$D15*Activity!N15</f>
        <v>1.1720052344</v>
      </c>
      <c r="M16" s="548">
        <f>Activity!$C15*Activity!$D15*Activity!O15</f>
        <v>4.57082041416</v>
      </c>
      <c r="N16" s="412">
        <v>0</v>
      </c>
      <c r="O16" s="550">
        <f>Activity!C15*Activity!D15</f>
        <v>29.300130859999999</v>
      </c>
      <c r="P16" s="557">
        <f>Activity!X15</f>
        <v>0</v>
      </c>
    </row>
    <row r="17" spans="2:16">
      <c r="B17" s="7">
        <f t="shared" si="0"/>
        <v>2003</v>
      </c>
      <c r="C17" s="768">
        <f>Activity!$C16*Activity!$D16*Activity!E16</f>
        <v>12.97210494063</v>
      </c>
      <c r="D17" s="550">
        <f>Activity!$C16*Activity!$D16*Activity!F16</f>
        <v>3.8469000858419999</v>
      </c>
      <c r="E17" s="548">
        <f>Activity!$C16*Activity!$D16*Activity!G16</f>
        <v>0</v>
      </c>
      <c r="F17" s="550">
        <f>Activity!$C16*Activity!$D16*Activity!H16</f>
        <v>0</v>
      </c>
      <c r="G17" s="550">
        <f>Activity!$C16*Activity!$D16*Activity!I16</f>
        <v>2.9522721589020002</v>
      </c>
      <c r="H17" s="550">
        <f>Activity!$C16*Activity!$D16*Activity!J16</f>
        <v>0.805165134246</v>
      </c>
      <c r="I17" s="550">
        <f>Activity!$C16*Activity!$D16*Activity!K16</f>
        <v>0.268388378082</v>
      </c>
      <c r="J17" s="551">
        <f>Activity!$C16*Activity!$D16*Activity!L16</f>
        <v>2.147107024656</v>
      </c>
      <c r="K17" s="550">
        <f>Activity!$C16*Activity!$D16*Activity!M16</f>
        <v>0.98409071963400008</v>
      </c>
      <c r="L17" s="550">
        <f>Activity!$C16*Activity!$D16*Activity!N16</f>
        <v>1.1928372359200001</v>
      </c>
      <c r="M17" s="548">
        <f>Activity!$C16*Activity!$D16*Activity!O16</f>
        <v>4.6520652200879997</v>
      </c>
      <c r="N17" s="412">
        <v>0</v>
      </c>
      <c r="O17" s="550">
        <f>Activity!C16*Activity!D16</f>
        <v>29.820930898</v>
      </c>
      <c r="P17" s="557">
        <f>Activity!X16</f>
        <v>0</v>
      </c>
    </row>
    <row r="18" spans="2:16">
      <c r="B18" s="7">
        <f t="shared" si="0"/>
        <v>2004</v>
      </c>
      <c r="C18" s="768">
        <f>Activity!$C17*Activity!$D17*Activity!E17</f>
        <v>13.041500207009999</v>
      </c>
      <c r="D18" s="550">
        <f>Activity!$C17*Activity!$D17*Activity!F17</f>
        <v>3.8674793717339999</v>
      </c>
      <c r="E18" s="548">
        <f>Activity!$C17*Activity!$D17*Activity!G17</f>
        <v>0</v>
      </c>
      <c r="F18" s="550">
        <f>Activity!$C17*Activity!$D17*Activity!H17</f>
        <v>0</v>
      </c>
      <c r="G18" s="550">
        <f>Activity!$C17*Activity!$D17*Activity!I17</f>
        <v>2.9680655643540002</v>
      </c>
      <c r="H18" s="550">
        <f>Activity!$C17*Activity!$D17*Activity!J17</f>
        <v>0.80947242664200003</v>
      </c>
      <c r="I18" s="550">
        <f>Activity!$C17*Activity!$D17*Activity!K17</f>
        <v>0.26982414221399997</v>
      </c>
      <c r="J18" s="551">
        <f>Activity!$C17*Activity!$D17*Activity!L17</f>
        <v>2.1585931377119998</v>
      </c>
      <c r="K18" s="550">
        <f>Activity!$C17*Activity!$D17*Activity!M17</f>
        <v>0.98935518811800005</v>
      </c>
      <c r="L18" s="550">
        <f>Activity!$C17*Activity!$D17*Activity!N17</f>
        <v>1.1992184098400001</v>
      </c>
      <c r="M18" s="548">
        <f>Activity!$C17*Activity!$D17*Activity!O17</f>
        <v>4.6769517983759998</v>
      </c>
      <c r="N18" s="412">
        <v>0</v>
      </c>
      <c r="O18" s="550">
        <f>Activity!C17*Activity!D17</f>
        <v>29.980460246</v>
      </c>
      <c r="P18" s="557">
        <f>Activity!X17</f>
        <v>0</v>
      </c>
    </row>
    <row r="19" spans="2:16">
      <c r="B19" s="7">
        <f t="shared" si="0"/>
        <v>2005</v>
      </c>
      <c r="C19" s="768">
        <f>Activity!$C18*Activity!$D18*Activity!E18</f>
        <v>14.445650198099999</v>
      </c>
      <c r="D19" s="550">
        <f>Activity!$C18*Activity!$D18*Activity!F18</f>
        <v>4.2838824725400002</v>
      </c>
      <c r="E19" s="548">
        <f>Activity!$C18*Activity!$D18*Activity!G18</f>
        <v>0</v>
      </c>
      <c r="F19" s="550">
        <f>Activity!$C18*Activity!$D18*Activity!H18</f>
        <v>0</v>
      </c>
      <c r="G19" s="550">
        <f>Activity!$C18*Activity!$D18*Activity!I18</f>
        <v>3.28763073474</v>
      </c>
      <c r="H19" s="550">
        <f>Activity!$C18*Activity!$D18*Activity!J18</f>
        <v>0.89662656401999996</v>
      </c>
      <c r="I19" s="550">
        <f>Activity!$C18*Activity!$D18*Activity!K18</f>
        <v>0.29887552133999995</v>
      </c>
      <c r="J19" s="551">
        <f>Activity!$C18*Activity!$D18*Activity!L18</f>
        <v>2.3910041707199996</v>
      </c>
      <c r="K19" s="550">
        <f>Activity!$C18*Activity!$D18*Activity!M18</f>
        <v>1.09587691158</v>
      </c>
      <c r="L19" s="550">
        <f>Activity!$C18*Activity!$D18*Activity!N18</f>
        <v>1.3283356503999999</v>
      </c>
      <c r="M19" s="548">
        <f>Activity!$C18*Activity!$D18*Activity!O18</f>
        <v>5.1805090365600002</v>
      </c>
      <c r="N19" s="412">
        <v>0</v>
      </c>
      <c r="O19" s="550">
        <f>Activity!C18*Activity!D18</f>
        <v>33.208391259999999</v>
      </c>
      <c r="P19" s="557">
        <f>Activity!X18</f>
        <v>0</v>
      </c>
    </row>
    <row r="20" spans="2:16">
      <c r="B20" s="7">
        <f t="shared" si="0"/>
        <v>2006</v>
      </c>
      <c r="C20" s="768">
        <f>Activity!$C19*Activity!$D19*Activity!E19</f>
        <v>14.742803511810001</v>
      </c>
      <c r="D20" s="550">
        <f>Activity!$C19*Activity!$D19*Activity!F19</f>
        <v>4.3720038000540002</v>
      </c>
      <c r="E20" s="548">
        <f>Activity!$C19*Activity!$D19*Activity!G19</f>
        <v>0</v>
      </c>
      <c r="F20" s="550">
        <f>Activity!$C19*Activity!$D19*Activity!H19</f>
        <v>0</v>
      </c>
      <c r="G20" s="550">
        <f>Activity!$C19*Activity!$D19*Activity!I19</f>
        <v>3.3552587302740005</v>
      </c>
      <c r="H20" s="550">
        <f>Activity!$C19*Activity!$D19*Activity!J19</f>
        <v>0.91507056280200005</v>
      </c>
      <c r="I20" s="550">
        <f>Activity!$C19*Activity!$D19*Activity!K19</f>
        <v>0.30502352093399998</v>
      </c>
      <c r="J20" s="551">
        <f>Activity!$C19*Activity!$D19*Activity!L19</f>
        <v>2.4401881674719998</v>
      </c>
      <c r="K20" s="550">
        <f>Activity!$C19*Activity!$D19*Activity!M19</f>
        <v>1.1184195767580001</v>
      </c>
      <c r="L20" s="550">
        <f>Activity!$C19*Activity!$D19*Activity!N19</f>
        <v>1.35566009304</v>
      </c>
      <c r="M20" s="548">
        <f>Activity!$C19*Activity!$D19*Activity!O19</f>
        <v>5.287074362856</v>
      </c>
      <c r="N20" s="412">
        <v>0</v>
      </c>
      <c r="O20" s="550">
        <f>Activity!C19*Activity!D19</f>
        <v>33.891502326000001</v>
      </c>
      <c r="P20" s="557">
        <f>Activity!X19</f>
        <v>0</v>
      </c>
    </row>
    <row r="21" spans="2:16">
      <c r="B21" s="7">
        <f t="shared" si="0"/>
        <v>2007</v>
      </c>
      <c r="C21" s="768">
        <f>Activity!$C20*Activity!$D20*Activity!E20</f>
        <v>15.03971481936</v>
      </c>
      <c r="D21" s="550">
        <f>Activity!$C20*Activity!$D20*Activity!F20</f>
        <v>4.4600533602240002</v>
      </c>
      <c r="E21" s="548">
        <f>Activity!$C20*Activity!$D20*Activity!G20</f>
        <v>0</v>
      </c>
      <c r="F21" s="550">
        <f>Activity!$C20*Activity!$D20*Activity!H20</f>
        <v>0</v>
      </c>
      <c r="G21" s="550">
        <f>Activity!$C20*Activity!$D20*Activity!I20</f>
        <v>3.4228316485440002</v>
      </c>
      <c r="H21" s="550">
        <f>Activity!$C20*Activity!$D20*Activity!J20</f>
        <v>0.93349954051200001</v>
      </c>
      <c r="I21" s="550">
        <f>Activity!$C20*Activity!$D20*Activity!K20</f>
        <v>0.31116651350399999</v>
      </c>
      <c r="J21" s="551">
        <f>Activity!$C20*Activity!$D20*Activity!L20</f>
        <v>2.4893321080319999</v>
      </c>
      <c r="K21" s="550">
        <f>Activity!$C20*Activity!$D20*Activity!M20</f>
        <v>1.1409438828480001</v>
      </c>
      <c r="L21" s="550">
        <f>Activity!$C20*Activity!$D20*Activity!N20</f>
        <v>1.3829622822400001</v>
      </c>
      <c r="M21" s="548">
        <f>Activity!$C20*Activity!$D20*Activity!O20</f>
        <v>5.3935529007360001</v>
      </c>
      <c r="N21" s="412">
        <v>0</v>
      </c>
      <c r="O21" s="550">
        <f>Activity!C20*Activity!D20</f>
        <v>34.574057056000001</v>
      </c>
      <c r="P21" s="557">
        <f>Activity!X20</f>
        <v>0</v>
      </c>
    </row>
    <row r="22" spans="2:16">
      <c r="B22" s="7">
        <f t="shared" ref="B22:B85" si="1">B21+1</f>
        <v>2008</v>
      </c>
      <c r="C22" s="768">
        <f>Activity!$C21*Activity!$D21*Activity!E21</f>
        <v>15.33456907455</v>
      </c>
      <c r="D22" s="550">
        <f>Activity!$C21*Activity!$D21*Activity!F21</f>
        <v>4.5474928979699998</v>
      </c>
      <c r="E22" s="548">
        <f>Activity!$C21*Activity!$D21*Activity!G21</f>
        <v>0</v>
      </c>
      <c r="F22" s="550">
        <f>Activity!$C21*Activity!$D21*Activity!H21</f>
        <v>0</v>
      </c>
      <c r="G22" s="550">
        <f>Activity!$C21*Activity!$D21*Activity!I21</f>
        <v>3.4899364100700003</v>
      </c>
      <c r="H22" s="550">
        <f>Activity!$C21*Activity!$D21*Activity!J21</f>
        <v>0.95180083911000002</v>
      </c>
      <c r="I22" s="550">
        <f>Activity!$C21*Activity!$D21*Activity!K21</f>
        <v>0.31726694636999997</v>
      </c>
      <c r="J22" s="551">
        <f>Activity!$C21*Activity!$D21*Activity!L21</f>
        <v>2.5381355709599998</v>
      </c>
      <c r="K22" s="550">
        <f>Activity!$C21*Activity!$D21*Activity!M21</f>
        <v>1.1633121366900001</v>
      </c>
      <c r="L22" s="550">
        <f>Activity!$C21*Activity!$D21*Activity!N21</f>
        <v>1.4100753172</v>
      </c>
      <c r="M22" s="548">
        <f>Activity!$C21*Activity!$D21*Activity!O21</f>
        <v>5.4992937370800004</v>
      </c>
      <c r="N22" s="412">
        <v>0</v>
      </c>
      <c r="O22" s="550">
        <f>Activity!C21*Activity!D21</f>
        <v>35.251882930000001</v>
      </c>
      <c r="P22" s="557">
        <f>Activity!X21</f>
        <v>0</v>
      </c>
    </row>
    <row r="23" spans="2:16">
      <c r="B23" s="7">
        <f t="shared" si="1"/>
        <v>2009</v>
      </c>
      <c r="C23" s="768">
        <f>Activity!$C22*Activity!$D22*Activity!E22</f>
        <v>15.62518822194</v>
      </c>
      <c r="D23" s="550">
        <f>Activity!$C22*Activity!$D22*Activity!F22</f>
        <v>4.6336765071960002</v>
      </c>
      <c r="E23" s="548">
        <f>Activity!$C22*Activity!$D22*Activity!G22</f>
        <v>0</v>
      </c>
      <c r="F23" s="550">
        <f>Activity!$C22*Activity!$D22*Activity!H22</f>
        <v>0</v>
      </c>
      <c r="G23" s="550">
        <f>Activity!$C22*Activity!$D22*Activity!I22</f>
        <v>3.556077319476</v>
      </c>
      <c r="H23" s="550">
        <f>Activity!$C22*Activity!$D22*Activity!J22</f>
        <v>0.96983926894799999</v>
      </c>
      <c r="I23" s="550">
        <f>Activity!$C22*Activity!$D22*Activity!K22</f>
        <v>0.32327975631599998</v>
      </c>
      <c r="J23" s="551">
        <f>Activity!$C22*Activity!$D22*Activity!L22</f>
        <v>2.5862380505279998</v>
      </c>
      <c r="K23" s="550">
        <f>Activity!$C22*Activity!$D22*Activity!M22</f>
        <v>1.1853591064919999</v>
      </c>
      <c r="L23" s="550">
        <f>Activity!$C22*Activity!$D22*Activity!N22</f>
        <v>1.4367989169599999</v>
      </c>
      <c r="M23" s="548">
        <f>Activity!$C22*Activity!$D22*Activity!O22</f>
        <v>5.6035157761439995</v>
      </c>
      <c r="N23" s="412">
        <v>0</v>
      </c>
      <c r="O23" s="550">
        <f>Activity!C22*Activity!D22</f>
        <v>35.919972924</v>
      </c>
      <c r="P23" s="557">
        <f>Activity!X22</f>
        <v>0</v>
      </c>
    </row>
    <row r="24" spans="2:16">
      <c r="B24" s="7">
        <f t="shared" si="1"/>
        <v>2010</v>
      </c>
      <c r="C24" s="768">
        <f>Activity!$C23*Activity!$D23*Activity!E23</f>
        <v>16.86719408583</v>
      </c>
      <c r="D24" s="550">
        <f>Activity!$C23*Activity!$D23*Activity!F23</f>
        <v>5.0019954875220005</v>
      </c>
      <c r="E24" s="548">
        <f>Activity!$C23*Activity!$D23*Activity!G23</f>
        <v>0</v>
      </c>
      <c r="F24" s="550">
        <f>Activity!$C23*Activity!$D23*Activity!H23</f>
        <v>0</v>
      </c>
      <c r="G24" s="550">
        <f>Activity!$C23*Activity!$D23*Activity!I23</f>
        <v>3.8387407229820005</v>
      </c>
      <c r="H24" s="550">
        <f>Activity!$C23*Activity!$D23*Activity!J23</f>
        <v>1.0469292880859999</v>
      </c>
      <c r="I24" s="550">
        <f>Activity!$C23*Activity!$D23*Activity!K23</f>
        <v>0.34897642936199996</v>
      </c>
      <c r="J24" s="551">
        <f>Activity!$C23*Activity!$D23*Activity!L23</f>
        <v>2.7918114348959997</v>
      </c>
      <c r="K24" s="550">
        <f>Activity!$C23*Activity!$D23*Activity!M23</f>
        <v>1.279580240994</v>
      </c>
      <c r="L24" s="550">
        <f>Activity!$C23*Activity!$D23*Activity!N23</f>
        <v>1.55100635272</v>
      </c>
      <c r="M24" s="548">
        <f>Activity!$C23*Activity!$D23*Activity!O23</f>
        <v>6.0489247756080005</v>
      </c>
      <c r="N24" s="412">
        <v>0</v>
      </c>
      <c r="O24" s="550">
        <f>Activity!C23*Activity!D23</f>
        <v>38.775158818000001</v>
      </c>
      <c r="P24" s="557">
        <f>Activity!X23</f>
        <v>0</v>
      </c>
    </row>
    <row r="25" spans="2:16">
      <c r="B25" s="7">
        <f t="shared" si="1"/>
        <v>2011</v>
      </c>
      <c r="C25" s="769">
        <f>Activity!$C24*Activity!$D24*Activity!E24</f>
        <v>17.309006581679999</v>
      </c>
      <c r="D25" s="550">
        <f>Activity!$C24*Activity!$D24*Activity!F24</f>
        <v>5.133015744912</v>
      </c>
      <c r="E25" s="548">
        <f>Activity!$C24*Activity!$D24*Activity!G24</f>
        <v>0</v>
      </c>
      <c r="F25" s="550">
        <f>Activity!$C24*Activity!$D24*Activity!H24</f>
        <v>0</v>
      </c>
      <c r="G25" s="550">
        <f>Activity!$C24*Activity!$D24*Activity!I24</f>
        <v>3.9392911530719998</v>
      </c>
      <c r="H25" s="550">
        <f>Activity!$C24*Activity!$D24*Activity!J24</f>
        <v>1.0743521326559999</v>
      </c>
      <c r="I25" s="550">
        <f>Activity!$C24*Activity!$D24*Activity!K24</f>
        <v>0.3581173775519999</v>
      </c>
      <c r="J25" s="551">
        <f>Activity!$C24*Activity!$D24*Activity!L24</f>
        <v>2.8649390204159992</v>
      </c>
      <c r="K25" s="550">
        <f>Activity!$C24*Activity!$D24*Activity!M24</f>
        <v>1.3130970510239999</v>
      </c>
      <c r="L25" s="550">
        <f>Activity!$C24*Activity!$D24*Activity!N24</f>
        <v>1.5916327891199999</v>
      </c>
      <c r="M25" s="548">
        <f>Activity!$C24*Activity!$D24*Activity!O24</f>
        <v>6.2073678775679992</v>
      </c>
      <c r="N25" s="412">
        <v>0</v>
      </c>
      <c r="O25" s="550">
        <f>Activity!C24*Activity!D24</f>
        <v>39.790819727999995</v>
      </c>
      <c r="P25" s="557">
        <f>Activity!X24</f>
        <v>0</v>
      </c>
    </row>
    <row r="26" spans="2:16">
      <c r="B26" s="7">
        <f t="shared" si="1"/>
        <v>2012</v>
      </c>
      <c r="C26" s="769">
        <f>Activity!$C25*Activity!$D25*Activity!E25</f>
        <v>17.64442711944</v>
      </c>
      <c r="D26" s="550">
        <f>Activity!$C25*Activity!$D25*Activity!F25</f>
        <v>5.2324852836959996</v>
      </c>
      <c r="E26" s="548">
        <f>Activity!$C25*Activity!$D25*Activity!G25</f>
        <v>0</v>
      </c>
      <c r="F26" s="550">
        <f>Activity!$C25*Activity!$D25*Activity!H25</f>
        <v>0</v>
      </c>
      <c r="G26" s="550">
        <f>Activity!$C25*Activity!$D25*Activity!I25</f>
        <v>4.0156282409760005</v>
      </c>
      <c r="H26" s="550">
        <f>Activity!$C25*Activity!$D25*Activity!J25</f>
        <v>1.095171338448</v>
      </c>
      <c r="I26" s="550">
        <f>Activity!$C25*Activity!$D25*Activity!K25</f>
        <v>0.36505711281599995</v>
      </c>
      <c r="J26" s="551">
        <f>Activity!$C25*Activity!$D25*Activity!L25</f>
        <v>2.9204569025279996</v>
      </c>
      <c r="K26" s="550">
        <f>Activity!$C25*Activity!$D25*Activity!M25</f>
        <v>1.3385427469919999</v>
      </c>
      <c r="L26" s="550">
        <f>Activity!$C25*Activity!$D25*Activity!N25</f>
        <v>1.6224760569600001</v>
      </c>
      <c r="M26" s="548">
        <f>Activity!$C25*Activity!$D25*Activity!O25</f>
        <v>6.3276566221439996</v>
      </c>
      <c r="N26" s="412">
        <v>0</v>
      </c>
      <c r="O26" s="550">
        <f>Activity!C25*Activity!D25</f>
        <v>40.561901423999998</v>
      </c>
      <c r="P26" s="557">
        <f>Activity!X25</f>
        <v>0</v>
      </c>
    </row>
    <row r="27" spans="2:16">
      <c r="B27" s="7">
        <f t="shared" si="1"/>
        <v>2013</v>
      </c>
      <c r="C27" s="769">
        <f>Activity!$C26*Activity!$D26*Activity!E26</f>
        <v>17.978698127939996</v>
      </c>
      <c r="D27" s="550">
        <f>Activity!$C26*Activity!$D26*Activity!F26</f>
        <v>5.3316139275959991</v>
      </c>
      <c r="E27" s="548">
        <f>Activity!$C26*Activity!$D26*Activity!G26</f>
        <v>0</v>
      </c>
      <c r="F27" s="550">
        <f>Activity!$C26*Activity!$D26*Activity!H26</f>
        <v>0</v>
      </c>
      <c r="G27" s="550">
        <f>Activity!$C26*Activity!$D26*Activity!I26</f>
        <v>4.0917037118759998</v>
      </c>
      <c r="H27" s="550">
        <f>Activity!$C26*Activity!$D26*Activity!J26</f>
        <v>1.1159191941479998</v>
      </c>
      <c r="I27" s="550">
        <f>Activity!$C26*Activity!$D26*Activity!K26</f>
        <v>0.37197306471599989</v>
      </c>
      <c r="J27" s="551">
        <f>Activity!$C26*Activity!$D26*Activity!L26</f>
        <v>2.9757845177279991</v>
      </c>
      <c r="K27" s="550">
        <f>Activity!$C26*Activity!$D26*Activity!M26</f>
        <v>1.3639012372919999</v>
      </c>
      <c r="L27" s="550">
        <f>Activity!$C26*Activity!$D26*Activity!N26</f>
        <v>1.6532136209599997</v>
      </c>
      <c r="M27" s="548">
        <f>Activity!$C26*Activity!$D26*Activity!O26</f>
        <v>6.4475331217439988</v>
      </c>
      <c r="N27" s="412">
        <v>0</v>
      </c>
      <c r="O27" s="550">
        <f>Activity!C26*Activity!D26</f>
        <v>41.330340523999993</v>
      </c>
      <c r="P27" s="557">
        <f>Activity!X26</f>
        <v>0</v>
      </c>
    </row>
    <row r="28" spans="2:16">
      <c r="B28" s="7">
        <f t="shared" si="1"/>
        <v>2014</v>
      </c>
      <c r="C28" s="769">
        <f>Activity!$C27*Activity!$D27*Activity!E27</f>
        <v>18.304619923919997</v>
      </c>
      <c r="D28" s="550">
        <f>Activity!$C27*Activity!$D27*Activity!F27</f>
        <v>5.4282665981279994</v>
      </c>
      <c r="E28" s="548">
        <f>Activity!$C27*Activity!$D27*Activity!G27</f>
        <v>0</v>
      </c>
      <c r="F28" s="550">
        <f>Activity!$C27*Activity!$D27*Activity!H27</f>
        <v>0</v>
      </c>
      <c r="G28" s="550">
        <f>Activity!$C27*Activity!$D27*Activity!I27</f>
        <v>4.1658790171679998</v>
      </c>
      <c r="H28" s="550">
        <f>Activity!$C27*Activity!$D27*Activity!J27</f>
        <v>1.1361488228639998</v>
      </c>
      <c r="I28" s="550">
        <f>Activity!$C27*Activity!$D27*Activity!K27</f>
        <v>0.37871627428799992</v>
      </c>
      <c r="J28" s="551">
        <f>Activity!$C27*Activity!$D27*Activity!L27</f>
        <v>3.0297301943039994</v>
      </c>
      <c r="K28" s="550">
        <f>Activity!$C27*Activity!$D27*Activity!M27</f>
        <v>1.3886263390559999</v>
      </c>
      <c r="L28" s="550">
        <f>Activity!$C27*Activity!$D27*Activity!N27</f>
        <v>1.6831834412799997</v>
      </c>
      <c r="M28" s="548">
        <f>Activity!$C27*Activity!$D27*Activity!O27</f>
        <v>6.5644154209919989</v>
      </c>
      <c r="N28" s="412">
        <v>0</v>
      </c>
      <c r="O28" s="550">
        <f>Activity!C27*Activity!D27</f>
        <v>42.079586031999995</v>
      </c>
      <c r="P28" s="557">
        <f>Activity!X27</f>
        <v>0</v>
      </c>
    </row>
    <row r="29" spans="2:16">
      <c r="B29" s="7">
        <f t="shared" si="1"/>
        <v>2015</v>
      </c>
      <c r="C29" s="769">
        <f>Activity!$C28*Activity!$D28*Activity!E28</f>
        <v>18.621587491979998</v>
      </c>
      <c r="D29" s="550">
        <f>Activity!$C28*Activity!$D28*Activity!F28</f>
        <v>5.5222638769319996</v>
      </c>
      <c r="E29" s="548">
        <f>Activity!$C28*Activity!$D28*Activity!G28</f>
        <v>0</v>
      </c>
      <c r="F29" s="550">
        <f>Activity!$C28*Activity!$D28*Activity!H28</f>
        <v>0</v>
      </c>
      <c r="G29" s="550">
        <f>Activity!$C28*Activity!$D28*Activity!I28</f>
        <v>4.2380164636919995</v>
      </c>
      <c r="H29" s="550">
        <f>Activity!$C28*Activity!$D28*Activity!J28</f>
        <v>1.1558226719159999</v>
      </c>
      <c r="I29" s="550">
        <f>Activity!$C28*Activity!$D28*Activity!K28</f>
        <v>0.38527422397199995</v>
      </c>
      <c r="J29" s="551">
        <f>Activity!$C28*Activity!$D28*Activity!L28</f>
        <v>3.0821937917759996</v>
      </c>
      <c r="K29" s="550">
        <f>Activity!$C28*Activity!$D28*Activity!M28</f>
        <v>1.412672154564</v>
      </c>
      <c r="L29" s="550">
        <f>Activity!$C28*Activity!$D28*Activity!N28</f>
        <v>1.7123298843199999</v>
      </c>
      <c r="M29" s="548">
        <f>Activity!$C28*Activity!$D28*Activity!O28</f>
        <v>6.6780865488479995</v>
      </c>
      <c r="N29" s="412">
        <v>0</v>
      </c>
      <c r="O29" s="550">
        <f>Activity!C28*Activity!D28</f>
        <v>42.808247107999996</v>
      </c>
      <c r="P29" s="557">
        <f>Activity!X28</f>
        <v>0</v>
      </c>
    </row>
    <row r="30" spans="2:16">
      <c r="B30" s="7">
        <f t="shared" si="1"/>
        <v>2016</v>
      </c>
      <c r="C30" s="769">
        <f>Activity!$C29*Activity!$D29*Activity!E29</f>
        <v>18.936013995359996</v>
      </c>
      <c r="D30" s="550">
        <f>Activity!$C29*Activity!$D29*Activity!F29</f>
        <v>5.6155075986239993</v>
      </c>
      <c r="E30" s="548">
        <f>Activity!$C29*Activity!$D29*Activity!G29</f>
        <v>0</v>
      </c>
      <c r="F30" s="550">
        <f>Activity!$C29*Activity!$D29*Activity!H29</f>
        <v>0</v>
      </c>
      <c r="G30" s="550">
        <f>Activity!$C29*Activity!$D29*Activity!I29</f>
        <v>4.3095755989439999</v>
      </c>
      <c r="H30" s="550">
        <f>Activity!$C29*Activity!$D29*Activity!J29</f>
        <v>1.1753387997119997</v>
      </c>
      <c r="I30" s="550">
        <f>Activity!$C29*Activity!$D29*Activity!K29</f>
        <v>0.39177959990399991</v>
      </c>
      <c r="J30" s="551">
        <f>Activity!$C29*Activity!$D29*Activity!L29</f>
        <v>3.1342367992319993</v>
      </c>
      <c r="K30" s="550">
        <f>Activity!$C29*Activity!$D29*Activity!M29</f>
        <v>1.4365251996479997</v>
      </c>
      <c r="L30" s="550">
        <f>Activity!$C29*Activity!$D29*Activity!N29</f>
        <v>1.7412426662399998</v>
      </c>
      <c r="M30" s="548">
        <f>Activity!$C29*Activity!$D29*Activity!O29</f>
        <v>6.790846398335999</v>
      </c>
      <c r="N30" s="412">
        <v>0</v>
      </c>
      <c r="O30" s="550">
        <f>Activity!C29*Activity!D29</f>
        <v>43.531066655999993</v>
      </c>
      <c r="P30" s="557">
        <f>Activity!X29</f>
        <v>0</v>
      </c>
    </row>
    <row r="31" spans="2:16">
      <c r="B31" s="7">
        <f t="shared" si="1"/>
        <v>2017</v>
      </c>
      <c r="C31" s="769">
        <f>Activity!$C30*Activity!$D30*Activity!E30</f>
        <v>18.919986822939013</v>
      </c>
      <c r="D31" s="550">
        <f>Activity!$C30*Activity!$D30*Activity!F30</f>
        <v>5.6107547130095003</v>
      </c>
      <c r="E31" s="548">
        <f>Activity!$C30*Activity!$D30*Activity!G30</f>
        <v>0</v>
      </c>
      <c r="F31" s="550">
        <f>Activity!$C30*Activity!$D30*Activity!H30</f>
        <v>0</v>
      </c>
      <c r="G31" s="550">
        <f>Activity!$C30*Activity!$D30*Activity!I30</f>
        <v>4.3059280355654312</v>
      </c>
      <c r="H31" s="550">
        <f>Activity!$C30*Activity!$D30*Activity!J30</f>
        <v>1.1743440096996629</v>
      </c>
      <c r="I31" s="550">
        <f>Activity!$C30*Activity!$D30*Activity!K30</f>
        <v>0.39144800323322093</v>
      </c>
      <c r="J31" s="551">
        <f>Activity!$C30*Activity!$D30*Activity!L30</f>
        <v>3.1315840258657675</v>
      </c>
      <c r="K31" s="550">
        <f>Activity!$C30*Activity!$D30*Activity!M30</f>
        <v>1.4353093451884769</v>
      </c>
      <c r="L31" s="550">
        <f>Activity!$C30*Activity!$D30*Activity!N30</f>
        <v>1.73976890325876</v>
      </c>
      <c r="M31" s="548">
        <f>Activity!$C30*Activity!$D30*Activity!O30</f>
        <v>6.7850987227091633</v>
      </c>
      <c r="N31" s="412">
        <v>0</v>
      </c>
      <c r="O31" s="550">
        <f>Activity!C30*Activity!D30</f>
        <v>43.494222581468996</v>
      </c>
      <c r="P31" s="557">
        <f>Activity!X30</f>
        <v>0</v>
      </c>
    </row>
    <row r="32" spans="2:16">
      <c r="B32" s="7">
        <f t="shared" si="1"/>
        <v>2018</v>
      </c>
      <c r="C32" s="769">
        <f>Activity!$C31*Activity!$D31*Activity!E31</f>
        <v>19.792691545762334</v>
      </c>
      <c r="D32" s="550">
        <f>Activity!$C31*Activity!$D31*Activity!F31</f>
        <v>5.8695568032260717</v>
      </c>
      <c r="E32" s="548">
        <f>Activity!$C31*Activity!$D31*Activity!G31</f>
        <v>0</v>
      </c>
      <c r="F32" s="550">
        <f>Activity!$C31*Activity!$D31*Activity!H31</f>
        <v>0</v>
      </c>
      <c r="G32" s="550">
        <f>Activity!$C31*Activity!$D31*Activity!I31</f>
        <v>4.504543593173497</v>
      </c>
      <c r="H32" s="550">
        <f>Activity!$C31*Activity!$D31*Activity!J31</f>
        <v>1.2285118890473172</v>
      </c>
      <c r="I32" s="550">
        <f>Activity!$C31*Activity!$D31*Activity!K31</f>
        <v>0.40950396301577241</v>
      </c>
      <c r="J32" s="551">
        <f>Activity!$C31*Activity!$D31*Activity!L31</f>
        <v>3.2760317041261793</v>
      </c>
      <c r="K32" s="550">
        <f>Activity!$C31*Activity!$D31*Activity!M31</f>
        <v>1.5015145310578324</v>
      </c>
      <c r="L32" s="550">
        <f>Activity!$C31*Activity!$D31*Activity!N31</f>
        <v>1.8200176134034332</v>
      </c>
      <c r="M32" s="548">
        <f>Activity!$C31*Activity!$D31*Activity!O31</f>
        <v>7.0980686922733893</v>
      </c>
      <c r="N32" s="412">
        <v>0</v>
      </c>
      <c r="O32" s="550">
        <f>Activity!C31*Activity!D31</f>
        <v>45.500440335085827</v>
      </c>
      <c r="P32" s="557">
        <f>Activity!X31</f>
        <v>0</v>
      </c>
    </row>
    <row r="33" spans="2:16">
      <c r="B33" s="7">
        <f t="shared" si="1"/>
        <v>2019</v>
      </c>
      <c r="C33" s="769">
        <f>Activity!$C32*Activity!$D32*Activity!E32</f>
        <v>20.691848665790705</v>
      </c>
      <c r="D33" s="550">
        <f>Activity!$C32*Activity!$D32*Activity!F32</f>
        <v>6.1362033974413812</v>
      </c>
      <c r="E33" s="548">
        <f>Activity!$C32*Activity!$D32*Activity!G32</f>
        <v>0</v>
      </c>
      <c r="F33" s="550">
        <f>Activity!$C32*Activity!$D32*Activity!H32</f>
        <v>0</v>
      </c>
      <c r="G33" s="550">
        <f>Activity!$C32*Activity!$D32*Activity!I32</f>
        <v>4.7091793515247815</v>
      </c>
      <c r="H33" s="550">
        <f>Activity!$C32*Activity!$D32*Activity!J32</f>
        <v>1.2843216413249403</v>
      </c>
      <c r="I33" s="550">
        <f>Activity!$C32*Activity!$D32*Activity!K32</f>
        <v>0.42810721377498007</v>
      </c>
      <c r="J33" s="551">
        <f>Activity!$C32*Activity!$D32*Activity!L32</f>
        <v>3.4248577101998405</v>
      </c>
      <c r="K33" s="550">
        <f>Activity!$C32*Activity!$D32*Activity!M32</f>
        <v>1.5697264505082604</v>
      </c>
      <c r="L33" s="550">
        <f>Activity!$C32*Activity!$D32*Activity!N32</f>
        <v>1.9026987278888003</v>
      </c>
      <c r="M33" s="548">
        <f>Activity!$C32*Activity!$D32*Activity!O32</f>
        <v>7.4205250387663213</v>
      </c>
      <c r="N33" s="412">
        <v>0</v>
      </c>
      <c r="O33" s="550">
        <f>Activity!C32*Activity!D32</f>
        <v>47.567468197220009</v>
      </c>
      <c r="P33" s="557">
        <f>Activity!X32</f>
        <v>0</v>
      </c>
    </row>
    <row r="34" spans="2:16">
      <c r="B34" s="7">
        <f t="shared" si="1"/>
        <v>2020</v>
      </c>
      <c r="C34" s="769">
        <f>Activity!$C33*Activity!$D33*Activity!E33</f>
        <v>21.617749858621725</v>
      </c>
      <c r="D34" s="550">
        <f>Activity!$C33*Activity!$D33*Activity!F33</f>
        <v>6.4107809925567878</v>
      </c>
      <c r="E34" s="548">
        <f>Activity!$C33*Activity!$D33*Activity!G33</f>
        <v>0</v>
      </c>
      <c r="F34" s="550">
        <f>Activity!$C33*Activity!$D33*Activity!H33</f>
        <v>0</v>
      </c>
      <c r="G34" s="550">
        <f>Activity!$C33*Activity!$D33*Activity!I33</f>
        <v>4.9199016919621856</v>
      </c>
      <c r="H34" s="550">
        <f>Activity!$C33*Activity!$D33*Activity!J33</f>
        <v>1.3417913705351414</v>
      </c>
      <c r="I34" s="550">
        <f>Activity!$C33*Activity!$D33*Activity!K33</f>
        <v>0.44726379017838047</v>
      </c>
      <c r="J34" s="551">
        <f>Activity!$C33*Activity!$D33*Activity!L33</f>
        <v>3.5781103214270438</v>
      </c>
      <c r="K34" s="550">
        <f>Activity!$C33*Activity!$D33*Activity!M33</f>
        <v>1.639967230654062</v>
      </c>
      <c r="L34" s="550">
        <f>Activity!$C33*Activity!$D33*Activity!N33</f>
        <v>1.987839067459469</v>
      </c>
      <c r="M34" s="548">
        <f>Activity!$C33*Activity!$D33*Activity!O33</f>
        <v>7.7525723630919288</v>
      </c>
      <c r="N34" s="412">
        <v>0</v>
      </c>
      <c r="O34" s="550">
        <f>Activity!C33*Activity!D33</f>
        <v>49.695976686486723</v>
      </c>
      <c r="P34" s="557">
        <f>Activity!X33</f>
        <v>0</v>
      </c>
    </row>
    <row r="35" spans="2:16">
      <c r="B35" s="7">
        <f t="shared" si="1"/>
        <v>2021</v>
      </c>
      <c r="C35" s="769">
        <f>Activity!$C34*Activity!$D34*Activity!E34</f>
        <v>22.570643603046403</v>
      </c>
      <c r="D35" s="550">
        <f>Activity!$C34*Activity!$D34*Activity!F34</f>
        <v>6.6933632753861749</v>
      </c>
      <c r="E35" s="548">
        <f>Activity!$C34*Activity!$D34*Activity!G34</f>
        <v>0</v>
      </c>
      <c r="F35" s="550">
        <f>Activity!$C34*Activity!$D34*Activity!H34</f>
        <v>0</v>
      </c>
      <c r="G35" s="550">
        <f>Activity!$C34*Activity!$D34*Activity!I34</f>
        <v>5.1367671648312507</v>
      </c>
      <c r="H35" s="550">
        <f>Activity!$C34*Activity!$D34*Activity!J34</f>
        <v>1.400936499499432</v>
      </c>
      <c r="I35" s="550">
        <f>Activity!$C34*Activity!$D34*Activity!K34</f>
        <v>0.46697883316647726</v>
      </c>
      <c r="J35" s="551">
        <f>Activity!$C34*Activity!$D34*Activity!L34</f>
        <v>3.7358306653318181</v>
      </c>
      <c r="K35" s="550">
        <f>Activity!$C34*Activity!$D34*Activity!M34</f>
        <v>1.7122557216104168</v>
      </c>
      <c r="L35" s="550">
        <f>Activity!$C34*Activity!$D34*Activity!N34</f>
        <v>2.0754614807398992</v>
      </c>
      <c r="M35" s="548">
        <f>Activity!$C34*Activity!$D34*Activity!O34</f>
        <v>8.0942997748856058</v>
      </c>
      <c r="N35" s="412">
        <v>0</v>
      </c>
      <c r="O35" s="550">
        <f>Activity!C34*Activity!D34</f>
        <v>51.886537018497478</v>
      </c>
      <c r="P35" s="557">
        <f>Activity!X34</f>
        <v>0</v>
      </c>
    </row>
    <row r="36" spans="2:16">
      <c r="B36" s="7">
        <f t="shared" si="1"/>
        <v>2022</v>
      </c>
      <c r="C36" s="769">
        <f>Activity!$C35*Activity!$D35*Activity!E35</f>
        <v>23.550729431883614</v>
      </c>
      <c r="D36" s="550">
        <f>Activity!$C35*Activity!$D35*Activity!F35</f>
        <v>6.984009417731003</v>
      </c>
      <c r="E36" s="548">
        <f>Activity!$C35*Activity!$D35*Activity!G35</f>
        <v>0</v>
      </c>
      <c r="F36" s="550">
        <f>Activity!$C35*Activity!$D35*Activity!H35</f>
        <v>0</v>
      </c>
      <c r="G36" s="550">
        <f>Activity!$C35*Activity!$D35*Activity!I35</f>
        <v>5.3598211810493748</v>
      </c>
      <c r="H36" s="550">
        <f>Activity!$C35*Activity!$D35*Activity!J35</f>
        <v>1.4617694130134657</v>
      </c>
      <c r="I36" s="550">
        <f>Activity!$C35*Activity!$D35*Activity!K35</f>
        <v>0.48725647100448854</v>
      </c>
      <c r="J36" s="551">
        <f>Activity!$C35*Activity!$D35*Activity!L35</f>
        <v>3.8980517680359084</v>
      </c>
      <c r="K36" s="550">
        <f>Activity!$C35*Activity!$D35*Activity!M35</f>
        <v>1.7866070603497914</v>
      </c>
      <c r="L36" s="550">
        <f>Activity!$C35*Activity!$D35*Activity!N35</f>
        <v>2.1655843155755048</v>
      </c>
      <c r="M36" s="548">
        <f>Activity!$C35*Activity!$D35*Activity!O35</f>
        <v>8.4457788307444694</v>
      </c>
      <c r="N36" s="412">
        <v>0</v>
      </c>
      <c r="O36" s="550">
        <f>Activity!C35*Activity!D35</f>
        <v>54.139607889387619</v>
      </c>
      <c r="P36" s="557">
        <f>Activity!X35</f>
        <v>0</v>
      </c>
    </row>
    <row r="37" spans="2:16">
      <c r="B37" s="7">
        <f t="shared" si="1"/>
        <v>2023</v>
      </c>
      <c r="C37" s="769">
        <f>Activity!$C36*Activity!$D36*Activity!E36</f>
        <v>24.558151645456444</v>
      </c>
      <c r="D37" s="550">
        <f>Activity!$C36*Activity!$D36*Activity!F36</f>
        <v>7.2827622121008764</v>
      </c>
      <c r="E37" s="548">
        <f>Activity!$C36*Activity!$D36*Activity!G36</f>
        <v>0</v>
      </c>
      <c r="F37" s="550">
        <f>Activity!$C36*Activity!$D36*Activity!H36</f>
        <v>0</v>
      </c>
      <c r="G37" s="550">
        <f>Activity!$C36*Activity!$D36*Activity!I36</f>
        <v>5.5890965813797422</v>
      </c>
      <c r="H37" s="550">
        <f>Activity!$C36*Activity!$D36*Activity!J36</f>
        <v>1.5242990676490207</v>
      </c>
      <c r="I37" s="550">
        <f>Activity!$C36*Activity!$D36*Activity!K36</f>
        <v>0.50809968921634019</v>
      </c>
      <c r="J37" s="551">
        <f>Activity!$C36*Activity!$D36*Activity!L36</f>
        <v>4.0647975137307215</v>
      </c>
      <c r="K37" s="550">
        <f>Activity!$C36*Activity!$D36*Activity!M36</f>
        <v>1.8630321937932475</v>
      </c>
      <c r="L37" s="550">
        <f>Activity!$C36*Activity!$D36*Activity!N36</f>
        <v>2.2582208409615121</v>
      </c>
      <c r="M37" s="548">
        <f>Activity!$C36*Activity!$D36*Activity!O36</f>
        <v>8.8070612797498971</v>
      </c>
      <c r="N37" s="412">
        <v>0</v>
      </c>
      <c r="O37" s="550">
        <f>Activity!C36*Activity!D36</f>
        <v>56.4555210240378</v>
      </c>
      <c r="P37" s="557">
        <f>Activity!X36</f>
        <v>0</v>
      </c>
    </row>
    <row r="38" spans="2:16">
      <c r="B38" s="7">
        <f t="shared" si="1"/>
        <v>2024</v>
      </c>
      <c r="C38" s="769">
        <f>Activity!$C37*Activity!$D37*Activity!E37</f>
        <v>25.592992442183192</v>
      </c>
      <c r="D38" s="550">
        <f>Activity!$C37*Activity!$D37*Activity!F37</f>
        <v>7.5896460345784638</v>
      </c>
      <c r="E38" s="548">
        <f>Activity!$C37*Activity!$D37*Activity!G37</f>
        <v>0</v>
      </c>
      <c r="F38" s="550">
        <f>Activity!$C37*Activity!$D37*Activity!H37</f>
        <v>0</v>
      </c>
      <c r="G38" s="550">
        <f>Activity!$C37*Activity!$D37*Activity!I37</f>
        <v>5.8246120730485886</v>
      </c>
      <c r="H38" s="550">
        <f>Activity!$C37*Activity!$D37*Activity!J37</f>
        <v>1.5885305653768877</v>
      </c>
      <c r="I38" s="550">
        <f>Activity!$C37*Activity!$D37*Activity!K37</f>
        <v>0.52951018845896258</v>
      </c>
      <c r="J38" s="551">
        <f>Activity!$C37*Activity!$D37*Activity!L37</f>
        <v>4.2360815076717007</v>
      </c>
      <c r="K38" s="550">
        <f>Activity!$C37*Activity!$D37*Activity!M37</f>
        <v>1.941537357682863</v>
      </c>
      <c r="L38" s="550">
        <f>Activity!$C37*Activity!$D37*Activity!N37</f>
        <v>2.3533786153731673</v>
      </c>
      <c r="M38" s="548">
        <f>Activity!$C37*Activity!$D37*Activity!O37</f>
        <v>9.1781765999553517</v>
      </c>
      <c r="N38" s="412">
        <v>0</v>
      </c>
      <c r="O38" s="550">
        <f>Activity!C37*Activity!D37</f>
        <v>58.834465384329178</v>
      </c>
      <c r="P38" s="557">
        <f>Activity!X37</f>
        <v>0</v>
      </c>
    </row>
    <row r="39" spans="2:16">
      <c r="B39" s="7">
        <f t="shared" si="1"/>
        <v>2025</v>
      </c>
      <c r="C39" s="769">
        <f>Activity!$C38*Activity!$D38*Activity!E38</f>
        <v>26.655264417042574</v>
      </c>
      <c r="D39" s="550">
        <f>Activity!$C38*Activity!$D38*Activity!F38</f>
        <v>7.904664620226419</v>
      </c>
      <c r="E39" s="548">
        <f>Activity!$C38*Activity!$D38*Activity!G38</f>
        <v>0</v>
      </c>
      <c r="F39" s="550">
        <f>Activity!$C38*Activity!$D38*Activity!H38</f>
        <v>0</v>
      </c>
      <c r="G39" s="550">
        <f>Activity!$C38*Activity!$D38*Activity!I38</f>
        <v>6.0663705224993452</v>
      </c>
      <c r="H39" s="550">
        <f>Activity!$C38*Activity!$D38*Activity!J38</f>
        <v>1.6544646879543667</v>
      </c>
      <c r="I39" s="550">
        <f>Activity!$C38*Activity!$D38*Activity!K38</f>
        <v>0.55148822931812225</v>
      </c>
      <c r="J39" s="551">
        <f>Activity!$C38*Activity!$D38*Activity!L38</f>
        <v>4.411905834544978</v>
      </c>
      <c r="K39" s="550">
        <f>Activity!$C38*Activity!$D38*Activity!M38</f>
        <v>2.0221235074997819</v>
      </c>
      <c r="L39" s="550">
        <f>Activity!$C38*Activity!$D38*Activity!N38</f>
        <v>2.4510587969694324</v>
      </c>
      <c r="M39" s="548">
        <f>Activity!$C38*Activity!$D38*Activity!O38</f>
        <v>9.5591293081807862</v>
      </c>
      <c r="N39" s="412">
        <v>0</v>
      </c>
      <c r="O39" s="550">
        <f>Activity!C38*Activity!D38</f>
        <v>61.276469924235805</v>
      </c>
      <c r="P39" s="557">
        <f>Activity!X38</f>
        <v>0</v>
      </c>
    </row>
    <row r="40" spans="2:16">
      <c r="B40" s="7">
        <f t="shared" si="1"/>
        <v>2026</v>
      </c>
      <c r="C40" s="769">
        <f>Activity!$C39*Activity!$D39*Activity!E39</f>
        <v>27.744902374661791</v>
      </c>
      <c r="D40" s="550">
        <f>Activity!$C39*Activity!$D39*Activity!F39</f>
        <v>8.2277986352445307</v>
      </c>
      <c r="E40" s="548">
        <f>Activity!$C39*Activity!$D39*Activity!G39</f>
        <v>0</v>
      </c>
      <c r="F40" s="550">
        <f>Activity!$C39*Activity!$D39*Activity!H39</f>
        <v>0</v>
      </c>
      <c r="G40" s="550">
        <f>Activity!$C39*Activity!$D39*Activity!I39</f>
        <v>6.3143570921644079</v>
      </c>
      <c r="H40" s="550">
        <f>Activity!$C39*Activity!$D39*Activity!J39</f>
        <v>1.7220973887721112</v>
      </c>
      <c r="I40" s="550">
        <f>Activity!$C39*Activity!$D39*Activity!K39</f>
        <v>0.57403246292403698</v>
      </c>
      <c r="J40" s="551">
        <f>Activity!$C39*Activity!$D39*Activity!L39</f>
        <v>4.5922597033922958</v>
      </c>
      <c r="K40" s="550">
        <f>Activity!$C39*Activity!$D39*Activity!M39</f>
        <v>2.1047856973881358</v>
      </c>
      <c r="L40" s="550">
        <f>Activity!$C39*Activity!$D39*Activity!N39</f>
        <v>2.5512553907734978</v>
      </c>
      <c r="M40" s="548">
        <f>Activity!$C39*Activity!$D39*Activity!O39</f>
        <v>9.9498960240166419</v>
      </c>
      <c r="N40" s="412">
        <v>0</v>
      </c>
      <c r="O40" s="550">
        <f>Activity!C39*Activity!D39</f>
        <v>63.78138476933745</v>
      </c>
      <c r="P40" s="557">
        <f>Activity!X39</f>
        <v>0</v>
      </c>
    </row>
    <row r="41" spans="2:16">
      <c r="B41" s="7">
        <f t="shared" si="1"/>
        <v>2027</v>
      </c>
      <c r="C41" s="769">
        <f>Activity!$C40*Activity!$D40*Activity!E40</f>
        <v>28.861754399444397</v>
      </c>
      <c r="D41" s="550">
        <f>Activity!$C40*Activity!$D40*Activity!F40</f>
        <v>8.5590030288007526</v>
      </c>
      <c r="E41" s="548">
        <f>Activity!$C40*Activity!$D40*Activity!G40</f>
        <v>0</v>
      </c>
      <c r="F41" s="550">
        <f>Activity!$C40*Activity!$D40*Activity!H40</f>
        <v>0</v>
      </c>
      <c r="G41" s="550">
        <f>Activity!$C40*Activity!$D40*Activity!I40</f>
        <v>6.5685372081494151</v>
      </c>
      <c r="H41" s="550">
        <f>Activity!$C40*Activity!$D40*Activity!J40</f>
        <v>1.791419238586204</v>
      </c>
      <c r="I41" s="550">
        <f>Activity!$C40*Activity!$D40*Activity!K40</f>
        <v>0.59713974619540133</v>
      </c>
      <c r="J41" s="551">
        <f>Activity!$C40*Activity!$D40*Activity!L40</f>
        <v>4.7771179695632107</v>
      </c>
      <c r="K41" s="550">
        <f>Activity!$C40*Activity!$D40*Activity!M40</f>
        <v>2.1895124027164719</v>
      </c>
      <c r="L41" s="550">
        <f>Activity!$C40*Activity!$D40*Activity!N40</f>
        <v>2.6539544275351172</v>
      </c>
      <c r="M41" s="548">
        <f>Activity!$C40*Activity!$D40*Activity!O40</f>
        <v>10.350422267386957</v>
      </c>
      <c r="N41" s="412">
        <v>0</v>
      </c>
      <c r="O41" s="550">
        <f>Activity!C40*Activity!D40</f>
        <v>66.348860688377925</v>
      </c>
      <c r="P41" s="557">
        <f>Activity!X40</f>
        <v>0</v>
      </c>
    </row>
    <row r="42" spans="2:16">
      <c r="B42" s="7">
        <f t="shared" si="1"/>
        <v>2028</v>
      </c>
      <c r="C42" s="769">
        <f>Activity!$C41*Activity!$D41*Activity!E41</f>
        <v>30.005572120476643</v>
      </c>
      <c r="D42" s="550">
        <f>Activity!$C41*Activity!$D41*Activity!F41</f>
        <v>8.8982041460723842</v>
      </c>
      <c r="E42" s="548">
        <f>Activity!$C41*Activity!$D41*Activity!G41</f>
        <v>0</v>
      </c>
      <c r="F42" s="550">
        <f>Activity!$C41*Activity!$D41*Activity!H41</f>
        <v>0</v>
      </c>
      <c r="G42" s="550">
        <f>Activity!$C41*Activity!$D41*Activity!I41</f>
        <v>6.8288543446602015</v>
      </c>
      <c r="H42" s="550">
        <f>Activity!$C41*Activity!$D41*Activity!J41</f>
        <v>1.8624148212709639</v>
      </c>
      <c r="I42" s="550">
        <f>Activity!$C41*Activity!$D41*Activity!K41</f>
        <v>0.62080494042365464</v>
      </c>
      <c r="J42" s="551">
        <f>Activity!$C41*Activity!$D41*Activity!L41</f>
        <v>4.9664395233892371</v>
      </c>
      <c r="K42" s="550">
        <f>Activity!$C41*Activity!$D41*Activity!M41</f>
        <v>2.2762847815534006</v>
      </c>
      <c r="L42" s="550">
        <f>Activity!$C41*Activity!$D41*Activity!N41</f>
        <v>2.7591330685495765</v>
      </c>
      <c r="M42" s="548">
        <f>Activity!$C41*Activity!$D41*Activity!O41</f>
        <v>10.760618967343348</v>
      </c>
      <c r="N42" s="412">
        <v>0</v>
      </c>
      <c r="O42" s="550">
        <f>Activity!C41*Activity!D41</f>
        <v>68.978326713739406</v>
      </c>
      <c r="P42" s="557">
        <f>Activity!X41</f>
        <v>0</v>
      </c>
    </row>
    <row r="43" spans="2:16">
      <c r="B43" s="7">
        <f t="shared" si="1"/>
        <v>2029</v>
      </c>
      <c r="C43" s="769">
        <f>Activity!$C42*Activity!$D42*Activity!E42</f>
        <v>31.176000103898911</v>
      </c>
      <c r="D43" s="550">
        <f>Activity!$C42*Activity!$D42*Activity!F42</f>
        <v>9.2452965825355395</v>
      </c>
      <c r="E43" s="548">
        <f>Activity!$C42*Activity!$D42*Activity!G42</f>
        <v>0</v>
      </c>
      <c r="F43" s="550">
        <f>Activity!$C42*Activity!$D42*Activity!H42</f>
        <v>0</v>
      </c>
      <c r="G43" s="550">
        <f>Activity!$C42*Activity!$D42*Activity!I42</f>
        <v>7.0952276098528557</v>
      </c>
      <c r="H43" s="550">
        <f>Activity!$C42*Activity!$D42*Activity!J42</f>
        <v>1.935062075414415</v>
      </c>
      <c r="I43" s="550">
        <f>Activity!$C42*Activity!$D42*Activity!K42</f>
        <v>0.64502069180480504</v>
      </c>
      <c r="J43" s="551">
        <f>Activity!$C42*Activity!$D42*Activity!L42</f>
        <v>5.1601655344384403</v>
      </c>
      <c r="K43" s="550">
        <f>Activity!$C42*Activity!$D42*Activity!M42</f>
        <v>2.3650758699509518</v>
      </c>
      <c r="L43" s="550">
        <f>Activity!$C42*Activity!$D42*Activity!N42</f>
        <v>2.8667586302435781</v>
      </c>
      <c r="M43" s="548">
        <f>Activity!$C42*Activity!$D42*Activity!O42</f>
        <v>11.180358657949954</v>
      </c>
      <c r="N43" s="412">
        <v>0</v>
      </c>
      <c r="O43" s="550">
        <f>Activity!C42*Activity!D42</f>
        <v>71.668965756089449</v>
      </c>
      <c r="P43" s="557">
        <f>Activity!X42</f>
        <v>0</v>
      </c>
    </row>
    <row r="44" spans="2:16">
      <c r="B44" s="7">
        <f t="shared" si="1"/>
        <v>2030</v>
      </c>
      <c r="C44" s="769">
        <f>Activity!$C43*Activity!$D43*Activity!E43</f>
        <v>32.395445280000004</v>
      </c>
      <c r="D44" s="550">
        <f>Activity!$C43*Activity!$D43*Activity!F43</f>
        <v>9.6069251520000005</v>
      </c>
      <c r="E44" s="548">
        <f>Activity!$C43*Activity!$D43*Activity!G43</f>
        <v>0</v>
      </c>
      <c r="F44" s="550">
        <f>Activity!$C43*Activity!$D43*Activity!H43</f>
        <v>0</v>
      </c>
      <c r="G44" s="550">
        <f>Activity!$C43*Activity!$D43*Activity!I43</f>
        <v>7.3727565120000014</v>
      </c>
      <c r="H44" s="550">
        <f>Activity!$C43*Activity!$D43*Activity!J43</f>
        <v>2.0107517760000002</v>
      </c>
      <c r="I44" s="550">
        <f>Activity!$C43*Activity!$D43*Activity!K43</f>
        <v>0.67025059200000003</v>
      </c>
      <c r="J44" s="551">
        <f>Activity!$C43*Activity!$D43*Activity!L43</f>
        <v>5.3620047360000003</v>
      </c>
      <c r="K44" s="550">
        <f>Activity!$C43*Activity!$D43*Activity!M43</f>
        <v>2.4575855040000003</v>
      </c>
      <c r="L44" s="550">
        <f>Activity!$C43*Activity!$D43*Activity!N43</f>
        <v>2.9788915200000003</v>
      </c>
      <c r="M44" s="548">
        <f>Activity!$C43*Activity!$D43*Activity!O43</f>
        <v>11.617676928000002</v>
      </c>
      <c r="N44" s="412">
        <v>0</v>
      </c>
      <c r="O44" s="550">
        <f>Activity!C43*Activity!D43</f>
        <v>74.472288000000006</v>
      </c>
      <c r="P44" s="557">
        <f>Activity!X43</f>
        <v>0</v>
      </c>
    </row>
    <row r="45" spans="2:16">
      <c r="B45" s="7">
        <f t="shared" si="1"/>
        <v>2031</v>
      </c>
      <c r="C45" s="549">
        <f>Activity!$C44*Activity!$D44*Activity!E44</f>
        <v>0</v>
      </c>
      <c r="D45" s="550">
        <f>Activity!$C44*Activity!$D44*Activity!F44</f>
        <v>0</v>
      </c>
      <c r="E45" s="548">
        <f>Activity!$C44*Activity!$D44*Activity!G44</f>
        <v>0</v>
      </c>
      <c r="F45" s="550">
        <f>Activity!$C44*Activity!$D44*Activity!H44</f>
        <v>0</v>
      </c>
      <c r="G45" s="550">
        <f>Activity!$C44*Activity!$D44*Activity!I44</f>
        <v>0</v>
      </c>
      <c r="H45" s="550">
        <f>Activity!$C44*Activity!$D44*Activity!J44</f>
        <v>0</v>
      </c>
      <c r="I45" s="550">
        <f>Activity!$C44*Activity!$D44*Activity!K44</f>
        <v>0</v>
      </c>
      <c r="J45" s="551">
        <f>Activity!$C44*Activity!$D44*Activity!L44</f>
        <v>0</v>
      </c>
      <c r="K45" s="550">
        <f>Activity!$C44*Activity!$D44*Activity!M44</f>
        <v>0</v>
      </c>
      <c r="L45" s="550">
        <f>Activity!$C44*Activity!$D44*Activity!N44</f>
        <v>0</v>
      </c>
      <c r="M45" s="548">
        <f>Activity!$C44*Activity!$D44*Activity!O44</f>
        <v>0</v>
      </c>
      <c r="N45" s="412">
        <v>0</v>
      </c>
      <c r="O45" s="550">
        <f>Activity!C44*Activity!D44</f>
        <v>0</v>
      </c>
      <c r="P45" s="557">
        <f>Activity!X44</f>
        <v>0</v>
      </c>
    </row>
    <row r="46" spans="2:16">
      <c r="B46" s="7">
        <f t="shared" si="1"/>
        <v>2032</v>
      </c>
      <c r="C46" s="549">
        <f>Activity!$C45*Activity!$D45*Activity!E45</f>
        <v>0</v>
      </c>
      <c r="D46" s="550">
        <f>Activity!$C45*Activity!$D45*Activity!F45</f>
        <v>0</v>
      </c>
      <c r="E46" s="548">
        <f>Activity!$C45*Activity!$D45*Activity!G45</f>
        <v>0</v>
      </c>
      <c r="F46" s="550">
        <f>Activity!$C45*Activity!$D45*Activity!H45</f>
        <v>0</v>
      </c>
      <c r="G46" s="550">
        <f>Activity!$C45*Activity!$D45*Activity!I45</f>
        <v>0</v>
      </c>
      <c r="H46" s="550">
        <f>Activity!$C45*Activity!$D45*Activity!J45</f>
        <v>0</v>
      </c>
      <c r="I46" s="550">
        <f>Activity!$C45*Activity!$D45*Activity!K45</f>
        <v>0</v>
      </c>
      <c r="J46" s="551">
        <f>Activity!$C45*Activity!$D45*Activity!L45</f>
        <v>0</v>
      </c>
      <c r="K46" s="550">
        <f>Activity!$C45*Activity!$D45*Activity!M45</f>
        <v>0</v>
      </c>
      <c r="L46" s="550">
        <f>Activity!$C45*Activity!$D45*Activity!N45</f>
        <v>0</v>
      </c>
      <c r="M46" s="548">
        <f>Activity!$C45*Activity!$D45*Activity!O45</f>
        <v>0</v>
      </c>
      <c r="N46" s="412">
        <v>0</v>
      </c>
      <c r="O46" s="550">
        <f>Activity!C45*Activity!D45</f>
        <v>0</v>
      </c>
      <c r="P46" s="557">
        <f>Activity!X45</f>
        <v>0</v>
      </c>
    </row>
    <row r="47" spans="2:16">
      <c r="B47" s="7">
        <f t="shared" si="1"/>
        <v>2033</v>
      </c>
      <c r="C47" s="549">
        <f>Activity!$C46*Activity!$D46*Activity!E46</f>
        <v>0</v>
      </c>
      <c r="D47" s="550">
        <f>Activity!$C46*Activity!$D46*Activity!F46</f>
        <v>0</v>
      </c>
      <c r="E47" s="548">
        <f>Activity!$C46*Activity!$D46*Activity!G46</f>
        <v>0</v>
      </c>
      <c r="F47" s="550">
        <f>Activity!$C46*Activity!$D46*Activity!H46</f>
        <v>0</v>
      </c>
      <c r="G47" s="550">
        <f>Activity!$C46*Activity!$D46*Activity!I46</f>
        <v>0</v>
      </c>
      <c r="H47" s="550">
        <f>Activity!$C46*Activity!$D46*Activity!J46</f>
        <v>0</v>
      </c>
      <c r="I47" s="550">
        <f>Activity!$C46*Activity!$D46*Activity!K46</f>
        <v>0</v>
      </c>
      <c r="J47" s="551">
        <f>Activity!$C46*Activity!$D46*Activity!L46</f>
        <v>0</v>
      </c>
      <c r="K47" s="550">
        <f>Activity!$C46*Activity!$D46*Activity!M46</f>
        <v>0</v>
      </c>
      <c r="L47" s="550">
        <f>Activity!$C46*Activity!$D46*Activity!N46</f>
        <v>0</v>
      </c>
      <c r="M47" s="548">
        <f>Activity!$C46*Activity!$D46*Activity!O46</f>
        <v>0</v>
      </c>
      <c r="N47" s="412">
        <v>0</v>
      </c>
      <c r="O47" s="550">
        <f>Activity!C46*Activity!D46</f>
        <v>0</v>
      </c>
      <c r="P47" s="557">
        <f>Activity!X46</f>
        <v>0</v>
      </c>
    </row>
    <row r="48" spans="2:16">
      <c r="B48" s="7">
        <f t="shared" si="1"/>
        <v>2034</v>
      </c>
      <c r="C48" s="549">
        <f>Activity!$C47*Activity!$D47*Activity!E47</f>
        <v>0</v>
      </c>
      <c r="D48" s="550">
        <f>Activity!$C47*Activity!$D47*Activity!F47</f>
        <v>0</v>
      </c>
      <c r="E48" s="548">
        <f>Activity!$C47*Activity!$D47*Activity!G47</f>
        <v>0</v>
      </c>
      <c r="F48" s="550">
        <f>Activity!$C47*Activity!$D47*Activity!H47</f>
        <v>0</v>
      </c>
      <c r="G48" s="550">
        <f>Activity!$C47*Activity!$D47*Activity!I47</f>
        <v>0</v>
      </c>
      <c r="H48" s="550">
        <f>Activity!$C47*Activity!$D47*Activity!J47</f>
        <v>0</v>
      </c>
      <c r="I48" s="550">
        <f>Activity!$C47*Activity!$D47*Activity!K47</f>
        <v>0</v>
      </c>
      <c r="J48" s="551">
        <f>Activity!$C47*Activity!$D47*Activity!L47</f>
        <v>0</v>
      </c>
      <c r="K48" s="550">
        <f>Activity!$C47*Activity!$D47*Activity!M47</f>
        <v>0</v>
      </c>
      <c r="L48" s="550">
        <f>Activity!$C47*Activity!$D47*Activity!N47</f>
        <v>0</v>
      </c>
      <c r="M48" s="548">
        <f>Activity!$C47*Activity!$D47*Activity!O47</f>
        <v>0</v>
      </c>
      <c r="N48" s="412">
        <v>0</v>
      </c>
      <c r="O48" s="550">
        <f>Activity!C47*Activity!D47</f>
        <v>0</v>
      </c>
      <c r="P48" s="557">
        <f>Activity!X47</f>
        <v>0</v>
      </c>
    </row>
    <row r="49" spans="2:16">
      <c r="B49" s="7">
        <f t="shared" si="1"/>
        <v>2035</v>
      </c>
      <c r="C49" s="549">
        <f>Activity!$C48*Activity!$D48*Activity!E48</f>
        <v>0</v>
      </c>
      <c r="D49" s="550">
        <f>Activity!$C48*Activity!$D48*Activity!F48</f>
        <v>0</v>
      </c>
      <c r="E49" s="548">
        <f>Activity!$C48*Activity!$D48*Activity!G48</f>
        <v>0</v>
      </c>
      <c r="F49" s="550">
        <f>Activity!$C48*Activity!$D48*Activity!H48</f>
        <v>0</v>
      </c>
      <c r="G49" s="550">
        <f>Activity!$C48*Activity!$D48*Activity!I48</f>
        <v>0</v>
      </c>
      <c r="H49" s="550">
        <f>Activity!$C48*Activity!$D48*Activity!J48</f>
        <v>0</v>
      </c>
      <c r="I49" s="550">
        <f>Activity!$C48*Activity!$D48*Activity!K48</f>
        <v>0</v>
      </c>
      <c r="J49" s="551">
        <f>Activity!$C48*Activity!$D48*Activity!L48</f>
        <v>0</v>
      </c>
      <c r="K49" s="550">
        <f>Activity!$C48*Activity!$D48*Activity!M48</f>
        <v>0</v>
      </c>
      <c r="L49" s="550">
        <f>Activity!$C48*Activity!$D48*Activity!N48</f>
        <v>0</v>
      </c>
      <c r="M49" s="548">
        <f>Activity!$C48*Activity!$D48*Activity!O48</f>
        <v>0</v>
      </c>
      <c r="N49" s="412">
        <v>0</v>
      </c>
      <c r="O49" s="550">
        <f>Activity!C48*Activity!D48</f>
        <v>0</v>
      </c>
      <c r="P49" s="557">
        <f>Activity!X48</f>
        <v>0</v>
      </c>
    </row>
    <row r="50" spans="2:16">
      <c r="B50" s="7">
        <f t="shared" si="1"/>
        <v>2036</v>
      </c>
      <c r="C50" s="549">
        <f>Activity!$C49*Activity!$D49*Activity!E49</f>
        <v>0</v>
      </c>
      <c r="D50" s="550">
        <f>Activity!$C49*Activity!$D49*Activity!F49</f>
        <v>0</v>
      </c>
      <c r="E50" s="548">
        <f>Activity!$C49*Activity!$D49*Activity!G49</f>
        <v>0</v>
      </c>
      <c r="F50" s="550">
        <f>Activity!$C49*Activity!$D49*Activity!H49</f>
        <v>0</v>
      </c>
      <c r="G50" s="550">
        <f>Activity!$C49*Activity!$D49*Activity!I49</f>
        <v>0</v>
      </c>
      <c r="H50" s="550">
        <f>Activity!$C49*Activity!$D49*Activity!J49</f>
        <v>0</v>
      </c>
      <c r="I50" s="550">
        <f>Activity!$C49*Activity!$D49*Activity!K49</f>
        <v>0</v>
      </c>
      <c r="J50" s="551">
        <f>Activity!$C49*Activity!$D49*Activity!L49</f>
        <v>0</v>
      </c>
      <c r="K50" s="550">
        <f>Activity!$C49*Activity!$D49*Activity!M49</f>
        <v>0</v>
      </c>
      <c r="L50" s="550">
        <f>Activity!$C49*Activity!$D49*Activity!N49</f>
        <v>0</v>
      </c>
      <c r="M50" s="548">
        <f>Activity!$C49*Activity!$D49*Activity!O49</f>
        <v>0</v>
      </c>
      <c r="N50" s="412">
        <v>0</v>
      </c>
      <c r="O50" s="550">
        <f>Activity!C49*Activity!D49</f>
        <v>0</v>
      </c>
      <c r="P50" s="557">
        <f>Activity!X49</f>
        <v>0</v>
      </c>
    </row>
    <row r="51" spans="2:16">
      <c r="B51" s="7">
        <f t="shared" si="1"/>
        <v>2037</v>
      </c>
      <c r="C51" s="549">
        <f>Activity!$C50*Activity!$D50*Activity!E50</f>
        <v>0</v>
      </c>
      <c r="D51" s="550">
        <f>Activity!$C50*Activity!$D50*Activity!F50</f>
        <v>0</v>
      </c>
      <c r="E51" s="548">
        <f>Activity!$C50*Activity!$D50*Activity!G50</f>
        <v>0</v>
      </c>
      <c r="F51" s="550">
        <f>Activity!$C50*Activity!$D50*Activity!H50</f>
        <v>0</v>
      </c>
      <c r="G51" s="550">
        <f>Activity!$C50*Activity!$D50*Activity!I50</f>
        <v>0</v>
      </c>
      <c r="H51" s="550">
        <f>Activity!$C50*Activity!$D50*Activity!J50</f>
        <v>0</v>
      </c>
      <c r="I51" s="550">
        <f>Activity!$C50*Activity!$D50*Activity!K50</f>
        <v>0</v>
      </c>
      <c r="J51" s="551">
        <f>Activity!$C50*Activity!$D50*Activity!L50</f>
        <v>0</v>
      </c>
      <c r="K51" s="550">
        <f>Activity!$C50*Activity!$D50*Activity!M50</f>
        <v>0</v>
      </c>
      <c r="L51" s="550">
        <f>Activity!$C50*Activity!$D50*Activity!N50</f>
        <v>0</v>
      </c>
      <c r="M51" s="548">
        <f>Activity!$C50*Activity!$D50*Activity!O50</f>
        <v>0</v>
      </c>
      <c r="N51" s="412">
        <v>0</v>
      </c>
      <c r="O51" s="550">
        <f>Activity!C50*Activity!D50</f>
        <v>0</v>
      </c>
      <c r="P51" s="557">
        <f>Activity!X50</f>
        <v>0</v>
      </c>
    </row>
    <row r="52" spans="2:16">
      <c r="B52" s="7">
        <f t="shared" si="1"/>
        <v>2038</v>
      </c>
      <c r="C52" s="549">
        <f>Activity!$C51*Activity!$D51*Activity!E51</f>
        <v>0</v>
      </c>
      <c r="D52" s="550">
        <f>Activity!$C51*Activity!$D51*Activity!F51</f>
        <v>0</v>
      </c>
      <c r="E52" s="548">
        <f>Activity!$C51*Activity!$D51*Activity!G51</f>
        <v>0</v>
      </c>
      <c r="F52" s="550">
        <f>Activity!$C51*Activity!$D51*Activity!H51</f>
        <v>0</v>
      </c>
      <c r="G52" s="550">
        <f>Activity!$C51*Activity!$D51*Activity!I51</f>
        <v>0</v>
      </c>
      <c r="H52" s="550">
        <f>Activity!$C51*Activity!$D51*Activity!J51</f>
        <v>0</v>
      </c>
      <c r="I52" s="550">
        <f>Activity!$C51*Activity!$D51*Activity!K51</f>
        <v>0</v>
      </c>
      <c r="J52" s="551">
        <f>Activity!$C51*Activity!$D51*Activity!L51</f>
        <v>0</v>
      </c>
      <c r="K52" s="550">
        <f>Activity!$C51*Activity!$D51*Activity!M51</f>
        <v>0</v>
      </c>
      <c r="L52" s="550">
        <f>Activity!$C51*Activity!$D51*Activity!N51</f>
        <v>0</v>
      </c>
      <c r="M52" s="548">
        <f>Activity!$C51*Activity!$D51*Activity!O51</f>
        <v>0</v>
      </c>
      <c r="N52" s="412">
        <v>0</v>
      </c>
      <c r="O52" s="550">
        <f>Activity!C51*Activity!D51</f>
        <v>0</v>
      </c>
      <c r="P52" s="557">
        <f>Activity!X51</f>
        <v>0</v>
      </c>
    </row>
    <row r="53" spans="2:16">
      <c r="B53" s="7">
        <f t="shared" si="1"/>
        <v>2039</v>
      </c>
      <c r="C53" s="549">
        <f>Activity!$C52*Activity!$D52*Activity!E52</f>
        <v>0</v>
      </c>
      <c r="D53" s="550">
        <f>Activity!$C52*Activity!$D52*Activity!F52</f>
        <v>0</v>
      </c>
      <c r="E53" s="548">
        <f>Activity!$C52*Activity!$D52*Activity!G52</f>
        <v>0</v>
      </c>
      <c r="F53" s="550">
        <f>Activity!$C52*Activity!$D52*Activity!H52</f>
        <v>0</v>
      </c>
      <c r="G53" s="550">
        <f>Activity!$C52*Activity!$D52*Activity!I52</f>
        <v>0</v>
      </c>
      <c r="H53" s="550">
        <f>Activity!$C52*Activity!$D52*Activity!J52</f>
        <v>0</v>
      </c>
      <c r="I53" s="550">
        <f>Activity!$C52*Activity!$D52*Activity!K52</f>
        <v>0</v>
      </c>
      <c r="J53" s="551">
        <f>Activity!$C52*Activity!$D52*Activity!L52</f>
        <v>0</v>
      </c>
      <c r="K53" s="550">
        <f>Activity!$C52*Activity!$D52*Activity!M52</f>
        <v>0</v>
      </c>
      <c r="L53" s="550">
        <f>Activity!$C52*Activity!$D52*Activity!N52</f>
        <v>0</v>
      </c>
      <c r="M53" s="548">
        <f>Activity!$C52*Activity!$D52*Activity!O52</f>
        <v>0</v>
      </c>
      <c r="N53" s="412">
        <v>0</v>
      </c>
      <c r="O53" s="550">
        <f>Activity!C52*Activity!D52</f>
        <v>0</v>
      </c>
      <c r="P53" s="557">
        <f>Activity!X52</f>
        <v>0</v>
      </c>
    </row>
    <row r="54" spans="2:16">
      <c r="B54" s="7">
        <f t="shared" si="1"/>
        <v>2040</v>
      </c>
      <c r="C54" s="549">
        <f>Activity!$C53*Activity!$D53*Activity!E53</f>
        <v>0</v>
      </c>
      <c r="D54" s="550">
        <f>Activity!$C53*Activity!$D53*Activity!F53</f>
        <v>0</v>
      </c>
      <c r="E54" s="548">
        <f>Activity!$C53*Activity!$D53*Activity!G53</f>
        <v>0</v>
      </c>
      <c r="F54" s="550">
        <f>Activity!$C53*Activity!$D53*Activity!H53</f>
        <v>0</v>
      </c>
      <c r="G54" s="550">
        <f>Activity!$C53*Activity!$D53*Activity!I53</f>
        <v>0</v>
      </c>
      <c r="H54" s="550">
        <f>Activity!$C53*Activity!$D53*Activity!J53</f>
        <v>0</v>
      </c>
      <c r="I54" s="550">
        <f>Activity!$C53*Activity!$D53*Activity!K53</f>
        <v>0</v>
      </c>
      <c r="J54" s="551">
        <f>Activity!$C53*Activity!$D53*Activity!L53</f>
        <v>0</v>
      </c>
      <c r="K54" s="550">
        <f>Activity!$C53*Activity!$D53*Activity!M53</f>
        <v>0</v>
      </c>
      <c r="L54" s="550">
        <f>Activity!$C53*Activity!$D53*Activity!N53</f>
        <v>0</v>
      </c>
      <c r="M54" s="548">
        <f>Activity!$C53*Activity!$D53*Activity!O53</f>
        <v>0</v>
      </c>
      <c r="N54" s="412">
        <v>0</v>
      </c>
      <c r="O54" s="550">
        <f>Activity!C53*Activity!D53</f>
        <v>0</v>
      </c>
      <c r="P54" s="557">
        <f>Activity!X53</f>
        <v>0</v>
      </c>
    </row>
    <row r="55" spans="2:16">
      <c r="B55" s="7">
        <f t="shared" si="1"/>
        <v>2041</v>
      </c>
      <c r="C55" s="549">
        <f>Activity!$C54*Activity!$D54*Activity!E54</f>
        <v>0</v>
      </c>
      <c r="D55" s="550">
        <f>Activity!$C54*Activity!$D54*Activity!F54</f>
        <v>0</v>
      </c>
      <c r="E55" s="548">
        <f>Activity!$C54*Activity!$D54*Activity!G54</f>
        <v>0</v>
      </c>
      <c r="F55" s="550">
        <f>Activity!$C54*Activity!$D54*Activity!H54</f>
        <v>0</v>
      </c>
      <c r="G55" s="550">
        <f>Activity!$C54*Activity!$D54*Activity!I54</f>
        <v>0</v>
      </c>
      <c r="H55" s="550">
        <f>Activity!$C54*Activity!$D54*Activity!J54</f>
        <v>0</v>
      </c>
      <c r="I55" s="550">
        <f>Activity!$C54*Activity!$D54*Activity!K54</f>
        <v>0</v>
      </c>
      <c r="J55" s="551">
        <f>Activity!$C54*Activity!$D54*Activity!L54</f>
        <v>0</v>
      </c>
      <c r="K55" s="550">
        <f>Activity!$C54*Activity!$D54*Activity!M54</f>
        <v>0</v>
      </c>
      <c r="L55" s="550">
        <f>Activity!$C54*Activity!$D54*Activity!N54</f>
        <v>0</v>
      </c>
      <c r="M55" s="548">
        <f>Activity!$C54*Activity!$D54*Activity!O54</f>
        <v>0</v>
      </c>
      <c r="N55" s="412">
        <v>0</v>
      </c>
      <c r="O55" s="550">
        <f>Activity!C54*Activity!D54</f>
        <v>0</v>
      </c>
      <c r="P55" s="557">
        <f>Activity!X54</f>
        <v>0</v>
      </c>
    </row>
    <row r="56" spans="2:16">
      <c r="B56" s="7">
        <f t="shared" si="1"/>
        <v>2042</v>
      </c>
      <c r="C56" s="549">
        <f>Activity!$C55*Activity!$D55*Activity!E55</f>
        <v>0</v>
      </c>
      <c r="D56" s="550">
        <f>Activity!$C55*Activity!$D55*Activity!F55</f>
        <v>0</v>
      </c>
      <c r="E56" s="548">
        <f>Activity!$C55*Activity!$D55*Activity!G55</f>
        <v>0</v>
      </c>
      <c r="F56" s="550">
        <f>Activity!$C55*Activity!$D55*Activity!H55</f>
        <v>0</v>
      </c>
      <c r="G56" s="550">
        <f>Activity!$C55*Activity!$D55*Activity!I55</f>
        <v>0</v>
      </c>
      <c r="H56" s="550">
        <f>Activity!$C55*Activity!$D55*Activity!J55</f>
        <v>0</v>
      </c>
      <c r="I56" s="550">
        <f>Activity!$C55*Activity!$D55*Activity!K55</f>
        <v>0</v>
      </c>
      <c r="J56" s="551">
        <f>Activity!$C55*Activity!$D55*Activity!L55</f>
        <v>0</v>
      </c>
      <c r="K56" s="550">
        <f>Activity!$C55*Activity!$D55*Activity!M55</f>
        <v>0</v>
      </c>
      <c r="L56" s="550">
        <f>Activity!$C55*Activity!$D55*Activity!N55</f>
        <v>0</v>
      </c>
      <c r="M56" s="548">
        <f>Activity!$C55*Activity!$D55*Activity!O55</f>
        <v>0</v>
      </c>
      <c r="N56" s="412">
        <v>0</v>
      </c>
      <c r="O56" s="550">
        <f>Activity!C55*Activity!D55</f>
        <v>0</v>
      </c>
      <c r="P56" s="557">
        <f>Activity!X55</f>
        <v>0</v>
      </c>
    </row>
    <row r="57" spans="2:16">
      <c r="B57" s="7">
        <f t="shared" si="1"/>
        <v>2043</v>
      </c>
      <c r="C57" s="549">
        <f>Activity!$C56*Activity!$D56*Activity!E56</f>
        <v>0</v>
      </c>
      <c r="D57" s="550">
        <f>Activity!$C56*Activity!$D56*Activity!F56</f>
        <v>0</v>
      </c>
      <c r="E57" s="548">
        <f>Activity!$C56*Activity!$D56*Activity!G56</f>
        <v>0</v>
      </c>
      <c r="F57" s="550">
        <f>Activity!$C56*Activity!$D56*Activity!H56</f>
        <v>0</v>
      </c>
      <c r="G57" s="550">
        <f>Activity!$C56*Activity!$D56*Activity!I56</f>
        <v>0</v>
      </c>
      <c r="H57" s="550">
        <f>Activity!$C56*Activity!$D56*Activity!J56</f>
        <v>0</v>
      </c>
      <c r="I57" s="550">
        <f>Activity!$C56*Activity!$D56*Activity!K56</f>
        <v>0</v>
      </c>
      <c r="J57" s="551">
        <f>Activity!$C56*Activity!$D56*Activity!L56</f>
        <v>0</v>
      </c>
      <c r="K57" s="550">
        <f>Activity!$C56*Activity!$D56*Activity!M56</f>
        <v>0</v>
      </c>
      <c r="L57" s="550">
        <f>Activity!$C56*Activity!$D56*Activity!N56</f>
        <v>0</v>
      </c>
      <c r="M57" s="548">
        <f>Activity!$C56*Activity!$D56*Activity!O56</f>
        <v>0</v>
      </c>
      <c r="N57" s="412">
        <v>0</v>
      </c>
      <c r="O57" s="550">
        <f>Activity!C56*Activity!D56</f>
        <v>0</v>
      </c>
      <c r="P57" s="557">
        <f>Activity!X56</f>
        <v>0</v>
      </c>
    </row>
    <row r="58" spans="2:16">
      <c r="B58" s="7">
        <f t="shared" si="1"/>
        <v>2044</v>
      </c>
      <c r="C58" s="549">
        <f>Activity!$C57*Activity!$D57*Activity!E57</f>
        <v>0</v>
      </c>
      <c r="D58" s="550">
        <f>Activity!$C57*Activity!$D57*Activity!F57</f>
        <v>0</v>
      </c>
      <c r="E58" s="548">
        <f>Activity!$C57*Activity!$D57*Activity!G57</f>
        <v>0</v>
      </c>
      <c r="F58" s="550">
        <f>Activity!$C57*Activity!$D57*Activity!H57</f>
        <v>0</v>
      </c>
      <c r="G58" s="550">
        <f>Activity!$C57*Activity!$D57*Activity!I57</f>
        <v>0</v>
      </c>
      <c r="H58" s="550">
        <f>Activity!$C57*Activity!$D57*Activity!J57</f>
        <v>0</v>
      </c>
      <c r="I58" s="550">
        <f>Activity!$C57*Activity!$D57*Activity!K57</f>
        <v>0</v>
      </c>
      <c r="J58" s="551">
        <f>Activity!$C57*Activity!$D57*Activity!L57</f>
        <v>0</v>
      </c>
      <c r="K58" s="550">
        <f>Activity!$C57*Activity!$D57*Activity!M57</f>
        <v>0</v>
      </c>
      <c r="L58" s="550">
        <f>Activity!$C57*Activity!$D57*Activity!N57</f>
        <v>0</v>
      </c>
      <c r="M58" s="548">
        <f>Activity!$C57*Activity!$D57*Activity!O57</f>
        <v>0</v>
      </c>
      <c r="N58" s="412">
        <v>0</v>
      </c>
      <c r="O58" s="550">
        <f>Activity!C57*Activity!D57</f>
        <v>0</v>
      </c>
      <c r="P58" s="557">
        <f>Activity!X57</f>
        <v>0</v>
      </c>
    </row>
    <row r="59" spans="2:16">
      <c r="B59" s="7">
        <f t="shared" si="1"/>
        <v>2045</v>
      </c>
      <c r="C59" s="549">
        <f>Activity!$C58*Activity!$D58*Activity!E58</f>
        <v>0</v>
      </c>
      <c r="D59" s="550">
        <f>Activity!$C58*Activity!$D58*Activity!F58</f>
        <v>0</v>
      </c>
      <c r="E59" s="548">
        <f>Activity!$C58*Activity!$D58*Activity!G58</f>
        <v>0</v>
      </c>
      <c r="F59" s="550">
        <f>Activity!$C58*Activity!$D58*Activity!H58</f>
        <v>0</v>
      </c>
      <c r="G59" s="550">
        <f>Activity!$C58*Activity!$D58*Activity!I58</f>
        <v>0</v>
      </c>
      <c r="H59" s="550">
        <f>Activity!$C58*Activity!$D58*Activity!J58</f>
        <v>0</v>
      </c>
      <c r="I59" s="550">
        <f>Activity!$C58*Activity!$D58*Activity!K58</f>
        <v>0</v>
      </c>
      <c r="J59" s="551">
        <f>Activity!$C58*Activity!$D58*Activity!L58</f>
        <v>0</v>
      </c>
      <c r="K59" s="550">
        <f>Activity!$C58*Activity!$D58*Activity!M58</f>
        <v>0</v>
      </c>
      <c r="L59" s="550">
        <f>Activity!$C58*Activity!$D58*Activity!N58</f>
        <v>0</v>
      </c>
      <c r="M59" s="548">
        <f>Activity!$C58*Activity!$D58*Activity!O58</f>
        <v>0</v>
      </c>
      <c r="N59" s="412">
        <v>0</v>
      </c>
      <c r="O59" s="550">
        <f>Activity!C58*Activity!D58</f>
        <v>0</v>
      </c>
      <c r="P59" s="557">
        <f>Activity!X58</f>
        <v>0</v>
      </c>
    </row>
    <row r="60" spans="2:16">
      <c r="B60" s="7">
        <f t="shared" si="1"/>
        <v>2046</v>
      </c>
      <c r="C60" s="549">
        <f>Activity!$C59*Activity!$D59*Activity!E59</f>
        <v>0</v>
      </c>
      <c r="D60" s="550">
        <f>Activity!$C59*Activity!$D59*Activity!F59</f>
        <v>0</v>
      </c>
      <c r="E60" s="548">
        <f>Activity!$C59*Activity!$D59*Activity!G59</f>
        <v>0</v>
      </c>
      <c r="F60" s="550">
        <f>Activity!$C59*Activity!$D59*Activity!H59</f>
        <v>0</v>
      </c>
      <c r="G60" s="550">
        <f>Activity!$C59*Activity!$D59*Activity!I59</f>
        <v>0</v>
      </c>
      <c r="H60" s="550">
        <f>Activity!$C59*Activity!$D59*Activity!J59</f>
        <v>0</v>
      </c>
      <c r="I60" s="550">
        <f>Activity!$C59*Activity!$D59*Activity!K59</f>
        <v>0</v>
      </c>
      <c r="J60" s="551">
        <f>Activity!$C59*Activity!$D59*Activity!L59</f>
        <v>0</v>
      </c>
      <c r="K60" s="550">
        <f>Activity!$C59*Activity!$D59*Activity!M59</f>
        <v>0</v>
      </c>
      <c r="L60" s="550">
        <f>Activity!$C59*Activity!$D59*Activity!N59</f>
        <v>0</v>
      </c>
      <c r="M60" s="548">
        <f>Activity!$C59*Activity!$D59*Activity!O59</f>
        <v>0</v>
      </c>
      <c r="N60" s="412">
        <v>0</v>
      </c>
      <c r="O60" s="550">
        <f>Activity!C59*Activity!D59</f>
        <v>0</v>
      </c>
      <c r="P60" s="557">
        <f>Activity!X59</f>
        <v>0</v>
      </c>
    </row>
    <row r="61" spans="2:16">
      <c r="B61" s="7">
        <f t="shared" si="1"/>
        <v>2047</v>
      </c>
      <c r="C61" s="549">
        <f>Activity!$C60*Activity!$D60*Activity!E60</f>
        <v>0</v>
      </c>
      <c r="D61" s="550">
        <f>Activity!$C60*Activity!$D60*Activity!F60</f>
        <v>0</v>
      </c>
      <c r="E61" s="548">
        <f>Activity!$C60*Activity!$D60*Activity!G60</f>
        <v>0</v>
      </c>
      <c r="F61" s="550">
        <f>Activity!$C60*Activity!$D60*Activity!H60</f>
        <v>0</v>
      </c>
      <c r="G61" s="550">
        <f>Activity!$C60*Activity!$D60*Activity!I60</f>
        <v>0</v>
      </c>
      <c r="H61" s="550">
        <f>Activity!$C60*Activity!$D60*Activity!J60</f>
        <v>0</v>
      </c>
      <c r="I61" s="550">
        <f>Activity!$C60*Activity!$D60*Activity!K60</f>
        <v>0</v>
      </c>
      <c r="J61" s="551">
        <f>Activity!$C60*Activity!$D60*Activity!L60</f>
        <v>0</v>
      </c>
      <c r="K61" s="550">
        <f>Activity!$C60*Activity!$D60*Activity!M60</f>
        <v>0</v>
      </c>
      <c r="L61" s="550">
        <f>Activity!$C60*Activity!$D60*Activity!N60</f>
        <v>0</v>
      </c>
      <c r="M61" s="548">
        <f>Activity!$C60*Activity!$D60*Activity!O60</f>
        <v>0</v>
      </c>
      <c r="N61" s="412">
        <v>0</v>
      </c>
      <c r="O61" s="550">
        <f>Activity!C60*Activity!D60</f>
        <v>0</v>
      </c>
      <c r="P61" s="557">
        <f>Activity!X60</f>
        <v>0</v>
      </c>
    </row>
    <row r="62" spans="2:16">
      <c r="B62" s="7">
        <f t="shared" si="1"/>
        <v>2048</v>
      </c>
      <c r="C62" s="549">
        <f>Activity!$C61*Activity!$D61*Activity!E61</f>
        <v>0</v>
      </c>
      <c r="D62" s="550">
        <f>Activity!$C61*Activity!$D61*Activity!F61</f>
        <v>0</v>
      </c>
      <c r="E62" s="548">
        <f>Activity!$C61*Activity!$D61*Activity!G61</f>
        <v>0</v>
      </c>
      <c r="F62" s="550">
        <f>Activity!$C61*Activity!$D61*Activity!H61</f>
        <v>0</v>
      </c>
      <c r="G62" s="550">
        <f>Activity!$C61*Activity!$D61*Activity!I61</f>
        <v>0</v>
      </c>
      <c r="H62" s="550">
        <f>Activity!$C61*Activity!$D61*Activity!J61</f>
        <v>0</v>
      </c>
      <c r="I62" s="550">
        <f>Activity!$C61*Activity!$D61*Activity!K61</f>
        <v>0</v>
      </c>
      <c r="J62" s="551">
        <f>Activity!$C61*Activity!$D61*Activity!L61</f>
        <v>0</v>
      </c>
      <c r="K62" s="550">
        <f>Activity!$C61*Activity!$D61*Activity!M61</f>
        <v>0</v>
      </c>
      <c r="L62" s="550">
        <f>Activity!$C61*Activity!$D61*Activity!N61</f>
        <v>0</v>
      </c>
      <c r="M62" s="548">
        <f>Activity!$C61*Activity!$D61*Activity!O61</f>
        <v>0</v>
      </c>
      <c r="N62" s="412">
        <v>0</v>
      </c>
      <c r="O62" s="550">
        <f>Activity!C61*Activity!D61</f>
        <v>0</v>
      </c>
      <c r="P62" s="557">
        <f>Activity!X61</f>
        <v>0</v>
      </c>
    </row>
    <row r="63" spans="2:16">
      <c r="B63" s="7">
        <f t="shared" si="1"/>
        <v>2049</v>
      </c>
      <c r="C63" s="549">
        <f>Activity!$C62*Activity!$D62*Activity!E62</f>
        <v>0</v>
      </c>
      <c r="D63" s="550">
        <f>Activity!$C62*Activity!$D62*Activity!F62</f>
        <v>0</v>
      </c>
      <c r="E63" s="548">
        <f>Activity!$C62*Activity!$D62*Activity!G62</f>
        <v>0</v>
      </c>
      <c r="F63" s="550">
        <f>Activity!$C62*Activity!$D62*Activity!H62</f>
        <v>0</v>
      </c>
      <c r="G63" s="550">
        <f>Activity!$C62*Activity!$D62*Activity!I62</f>
        <v>0</v>
      </c>
      <c r="H63" s="550">
        <f>Activity!$C62*Activity!$D62*Activity!J62</f>
        <v>0</v>
      </c>
      <c r="I63" s="550">
        <f>Activity!$C62*Activity!$D62*Activity!K62</f>
        <v>0</v>
      </c>
      <c r="J63" s="551">
        <f>Activity!$C62*Activity!$D62*Activity!L62</f>
        <v>0</v>
      </c>
      <c r="K63" s="550">
        <f>Activity!$C62*Activity!$D62*Activity!M62</f>
        <v>0</v>
      </c>
      <c r="L63" s="550">
        <f>Activity!$C62*Activity!$D62*Activity!N62</f>
        <v>0</v>
      </c>
      <c r="M63" s="548">
        <f>Activity!$C62*Activity!$D62*Activity!O62</f>
        <v>0</v>
      </c>
      <c r="N63" s="412">
        <v>0</v>
      </c>
      <c r="O63" s="550">
        <f>Activity!C62*Activity!D62</f>
        <v>0</v>
      </c>
      <c r="P63" s="557">
        <f>Activity!X62</f>
        <v>0</v>
      </c>
    </row>
    <row r="64" spans="2:16">
      <c r="B64" s="7">
        <f t="shared" si="1"/>
        <v>2050</v>
      </c>
      <c r="C64" s="549">
        <f>Activity!$C63*Activity!$D63*Activity!E63</f>
        <v>0</v>
      </c>
      <c r="D64" s="550">
        <f>Activity!$C63*Activity!$D63*Activity!F63</f>
        <v>0</v>
      </c>
      <c r="E64" s="548">
        <f>Activity!$C63*Activity!$D63*Activity!G63</f>
        <v>0</v>
      </c>
      <c r="F64" s="550">
        <f>Activity!$C63*Activity!$D63*Activity!H63</f>
        <v>0</v>
      </c>
      <c r="G64" s="550">
        <f>Activity!$C63*Activity!$D63*Activity!I63</f>
        <v>0</v>
      </c>
      <c r="H64" s="550">
        <f>Activity!$C63*Activity!$D63*Activity!J63</f>
        <v>0</v>
      </c>
      <c r="I64" s="550">
        <f>Activity!$C63*Activity!$D63*Activity!K63</f>
        <v>0</v>
      </c>
      <c r="J64" s="551">
        <f>Activity!$C63*Activity!$D63*Activity!L63</f>
        <v>0</v>
      </c>
      <c r="K64" s="550">
        <f>Activity!$C63*Activity!$D63*Activity!M63</f>
        <v>0</v>
      </c>
      <c r="L64" s="550">
        <f>Activity!$C63*Activity!$D63*Activity!N63</f>
        <v>0</v>
      </c>
      <c r="M64" s="548">
        <f>Activity!$C63*Activity!$D63*Activity!O63</f>
        <v>0</v>
      </c>
      <c r="N64" s="412">
        <v>0</v>
      </c>
      <c r="O64" s="550">
        <f>Activity!C63*Activity!D63</f>
        <v>0</v>
      </c>
      <c r="P64" s="557">
        <f>Activity!X63</f>
        <v>0</v>
      </c>
    </row>
    <row r="65" spans="2:16">
      <c r="B65" s="7">
        <f t="shared" si="1"/>
        <v>2051</v>
      </c>
      <c r="C65" s="549">
        <f>Activity!$C64*Activity!$D64*Activity!E64</f>
        <v>0</v>
      </c>
      <c r="D65" s="550">
        <f>Activity!$C64*Activity!$D64*Activity!F64</f>
        <v>0</v>
      </c>
      <c r="E65" s="548">
        <f>Activity!$C64*Activity!$D64*Activity!G64</f>
        <v>0</v>
      </c>
      <c r="F65" s="550">
        <f>Activity!$C64*Activity!$D64*Activity!H64</f>
        <v>0</v>
      </c>
      <c r="G65" s="550">
        <f>Activity!$C64*Activity!$D64*Activity!I64</f>
        <v>0</v>
      </c>
      <c r="H65" s="550">
        <f>Activity!$C64*Activity!$D64*Activity!J64</f>
        <v>0</v>
      </c>
      <c r="I65" s="550">
        <f>Activity!$C64*Activity!$D64*Activity!K64</f>
        <v>0</v>
      </c>
      <c r="J65" s="551">
        <f>Activity!$C64*Activity!$D64*Activity!L64</f>
        <v>0</v>
      </c>
      <c r="K65" s="550">
        <f>Activity!$C64*Activity!$D64*Activity!M64</f>
        <v>0</v>
      </c>
      <c r="L65" s="550">
        <f>Activity!$C64*Activity!$D64*Activity!N64</f>
        <v>0</v>
      </c>
      <c r="M65" s="548">
        <f>Activity!$C64*Activity!$D64*Activity!O64</f>
        <v>0</v>
      </c>
      <c r="N65" s="412">
        <v>0</v>
      </c>
      <c r="O65" s="550">
        <f>Activity!C64*Activity!D64</f>
        <v>0</v>
      </c>
      <c r="P65" s="557">
        <f>Activity!X64</f>
        <v>0</v>
      </c>
    </row>
    <row r="66" spans="2:16">
      <c r="B66" s="7">
        <f t="shared" si="1"/>
        <v>2052</v>
      </c>
      <c r="C66" s="549">
        <f>Activity!$C65*Activity!$D65*Activity!E65</f>
        <v>0</v>
      </c>
      <c r="D66" s="550">
        <f>Activity!$C65*Activity!$D65*Activity!F65</f>
        <v>0</v>
      </c>
      <c r="E66" s="548">
        <f>Activity!$C65*Activity!$D65*Activity!G65</f>
        <v>0</v>
      </c>
      <c r="F66" s="550">
        <f>Activity!$C65*Activity!$D65*Activity!H65</f>
        <v>0</v>
      </c>
      <c r="G66" s="550">
        <f>Activity!$C65*Activity!$D65*Activity!I65</f>
        <v>0</v>
      </c>
      <c r="H66" s="550">
        <f>Activity!$C65*Activity!$D65*Activity!J65</f>
        <v>0</v>
      </c>
      <c r="I66" s="550">
        <f>Activity!$C65*Activity!$D65*Activity!K65</f>
        <v>0</v>
      </c>
      <c r="J66" s="551">
        <f>Activity!$C65*Activity!$D65*Activity!L65</f>
        <v>0</v>
      </c>
      <c r="K66" s="550">
        <f>Activity!$C65*Activity!$D65*Activity!M65</f>
        <v>0</v>
      </c>
      <c r="L66" s="550">
        <f>Activity!$C65*Activity!$D65*Activity!N65</f>
        <v>0</v>
      </c>
      <c r="M66" s="548">
        <f>Activity!$C65*Activity!$D65*Activity!O65</f>
        <v>0</v>
      </c>
      <c r="N66" s="412">
        <v>0</v>
      </c>
      <c r="O66" s="550">
        <f>Activity!C65*Activity!D65</f>
        <v>0</v>
      </c>
      <c r="P66" s="557">
        <f>Activity!X65</f>
        <v>0</v>
      </c>
    </row>
    <row r="67" spans="2:16">
      <c r="B67" s="7">
        <f t="shared" si="1"/>
        <v>2053</v>
      </c>
      <c r="C67" s="549">
        <f>Activity!$C66*Activity!$D66*Activity!E66</f>
        <v>0</v>
      </c>
      <c r="D67" s="550">
        <f>Activity!$C66*Activity!$D66*Activity!F66</f>
        <v>0</v>
      </c>
      <c r="E67" s="548">
        <f>Activity!$C66*Activity!$D66*Activity!G66</f>
        <v>0</v>
      </c>
      <c r="F67" s="550">
        <f>Activity!$C66*Activity!$D66*Activity!H66</f>
        <v>0</v>
      </c>
      <c r="G67" s="550">
        <f>Activity!$C66*Activity!$D66*Activity!I66</f>
        <v>0</v>
      </c>
      <c r="H67" s="550">
        <f>Activity!$C66*Activity!$D66*Activity!J66</f>
        <v>0</v>
      </c>
      <c r="I67" s="550">
        <f>Activity!$C66*Activity!$D66*Activity!K66</f>
        <v>0</v>
      </c>
      <c r="J67" s="551">
        <f>Activity!$C66*Activity!$D66*Activity!L66</f>
        <v>0</v>
      </c>
      <c r="K67" s="550">
        <f>Activity!$C66*Activity!$D66*Activity!M66</f>
        <v>0</v>
      </c>
      <c r="L67" s="550">
        <f>Activity!$C66*Activity!$D66*Activity!N66</f>
        <v>0</v>
      </c>
      <c r="M67" s="548">
        <f>Activity!$C66*Activity!$D66*Activity!O66</f>
        <v>0</v>
      </c>
      <c r="N67" s="412">
        <v>0</v>
      </c>
      <c r="O67" s="550">
        <f>Activity!C66*Activity!D66</f>
        <v>0</v>
      </c>
      <c r="P67" s="557">
        <f>Activity!X66</f>
        <v>0</v>
      </c>
    </row>
    <row r="68" spans="2:16">
      <c r="B68" s="7">
        <f t="shared" si="1"/>
        <v>2054</v>
      </c>
      <c r="C68" s="549">
        <f>Activity!$C67*Activity!$D67*Activity!E67</f>
        <v>0</v>
      </c>
      <c r="D68" s="550">
        <f>Activity!$C67*Activity!$D67*Activity!F67</f>
        <v>0</v>
      </c>
      <c r="E68" s="548">
        <f>Activity!$C67*Activity!$D67*Activity!G67</f>
        <v>0</v>
      </c>
      <c r="F68" s="550">
        <f>Activity!$C67*Activity!$D67*Activity!H67</f>
        <v>0</v>
      </c>
      <c r="G68" s="550">
        <f>Activity!$C67*Activity!$D67*Activity!I67</f>
        <v>0</v>
      </c>
      <c r="H68" s="550">
        <f>Activity!$C67*Activity!$D67*Activity!J67</f>
        <v>0</v>
      </c>
      <c r="I68" s="550">
        <f>Activity!$C67*Activity!$D67*Activity!K67</f>
        <v>0</v>
      </c>
      <c r="J68" s="551">
        <f>Activity!$C67*Activity!$D67*Activity!L67</f>
        <v>0</v>
      </c>
      <c r="K68" s="550">
        <f>Activity!$C67*Activity!$D67*Activity!M67</f>
        <v>0</v>
      </c>
      <c r="L68" s="550">
        <f>Activity!$C67*Activity!$D67*Activity!N67</f>
        <v>0</v>
      </c>
      <c r="M68" s="548">
        <f>Activity!$C67*Activity!$D67*Activity!O67</f>
        <v>0</v>
      </c>
      <c r="N68" s="412">
        <v>0</v>
      </c>
      <c r="O68" s="550">
        <f>Activity!C67*Activity!D67</f>
        <v>0</v>
      </c>
      <c r="P68" s="557">
        <f>Activity!X67</f>
        <v>0</v>
      </c>
    </row>
    <row r="69" spans="2:16">
      <c r="B69" s="7">
        <f t="shared" si="1"/>
        <v>2055</v>
      </c>
      <c r="C69" s="549">
        <f>Activity!$C68*Activity!$D68*Activity!E68</f>
        <v>0</v>
      </c>
      <c r="D69" s="550">
        <f>Activity!$C68*Activity!$D68*Activity!F68</f>
        <v>0</v>
      </c>
      <c r="E69" s="548">
        <f>Activity!$C68*Activity!$D68*Activity!G68</f>
        <v>0</v>
      </c>
      <c r="F69" s="550">
        <f>Activity!$C68*Activity!$D68*Activity!H68</f>
        <v>0</v>
      </c>
      <c r="G69" s="550">
        <f>Activity!$C68*Activity!$D68*Activity!I68</f>
        <v>0</v>
      </c>
      <c r="H69" s="550">
        <f>Activity!$C68*Activity!$D68*Activity!J68</f>
        <v>0</v>
      </c>
      <c r="I69" s="550">
        <f>Activity!$C68*Activity!$D68*Activity!K68</f>
        <v>0</v>
      </c>
      <c r="J69" s="551">
        <f>Activity!$C68*Activity!$D68*Activity!L68</f>
        <v>0</v>
      </c>
      <c r="K69" s="550">
        <f>Activity!$C68*Activity!$D68*Activity!M68</f>
        <v>0</v>
      </c>
      <c r="L69" s="550">
        <f>Activity!$C68*Activity!$D68*Activity!N68</f>
        <v>0</v>
      </c>
      <c r="M69" s="548">
        <f>Activity!$C68*Activity!$D68*Activity!O68</f>
        <v>0</v>
      </c>
      <c r="N69" s="412">
        <v>0</v>
      </c>
      <c r="O69" s="550">
        <f>Activity!C68*Activity!D68</f>
        <v>0</v>
      </c>
      <c r="P69" s="557">
        <f>Activity!X68</f>
        <v>0</v>
      </c>
    </row>
    <row r="70" spans="2:16">
      <c r="B70" s="7">
        <f t="shared" si="1"/>
        <v>2056</v>
      </c>
      <c r="C70" s="549">
        <f>Activity!$C69*Activity!$D69*Activity!E69</f>
        <v>0</v>
      </c>
      <c r="D70" s="550">
        <f>Activity!$C69*Activity!$D69*Activity!F69</f>
        <v>0</v>
      </c>
      <c r="E70" s="548">
        <f>Activity!$C69*Activity!$D69*Activity!G69</f>
        <v>0</v>
      </c>
      <c r="F70" s="550">
        <f>Activity!$C69*Activity!$D69*Activity!H69</f>
        <v>0</v>
      </c>
      <c r="G70" s="550">
        <f>Activity!$C69*Activity!$D69*Activity!I69</f>
        <v>0</v>
      </c>
      <c r="H70" s="550">
        <f>Activity!$C69*Activity!$D69*Activity!J69</f>
        <v>0</v>
      </c>
      <c r="I70" s="550">
        <f>Activity!$C69*Activity!$D69*Activity!K69</f>
        <v>0</v>
      </c>
      <c r="J70" s="551">
        <f>Activity!$C69*Activity!$D69*Activity!L69</f>
        <v>0</v>
      </c>
      <c r="K70" s="550">
        <f>Activity!$C69*Activity!$D69*Activity!M69</f>
        <v>0</v>
      </c>
      <c r="L70" s="550">
        <f>Activity!$C69*Activity!$D69*Activity!N69</f>
        <v>0</v>
      </c>
      <c r="M70" s="548">
        <f>Activity!$C69*Activity!$D69*Activity!O69</f>
        <v>0</v>
      </c>
      <c r="N70" s="412">
        <v>0</v>
      </c>
      <c r="O70" s="550">
        <f>Activity!C69*Activity!D69</f>
        <v>0</v>
      </c>
      <c r="P70" s="557">
        <f>Activity!X69</f>
        <v>0</v>
      </c>
    </row>
    <row r="71" spans="2:16">
      <c r="B71" s="7">
        <f t="shared" si="1"/>
        <v>2057</v>
      </c>
      <c r="C71" s="549">
        <f>Activity!$C70*Activity!$D70*Activity!E70</f>
        <v>0</v>
      </c>
      <c r="D71" s="550">
        <f>Activity!$C70*Activity!$D70*Activity!F70</f>
        <v>0</v>
      </c>
      <c r="E71" s="548">
        <f>Activity!$C70*Activity!$D70*Activity!G70</f>
        <v>0</v>
      </c>
      <c r="F71" s="550">
        <f>Activity!$C70*Activity!$D70*Activity!H70</f>
        <v>0</v>
      </c>
      <c r="G71" s="550">
        <f>Activity!$C70*Activity!$D70*Activity!I70</f>
        <v>0</v>
      </c>
      <c r="H71" s="550">
        <f>Activity!$C70*Activity!$D70*Activity!J70</f>
        <v>0</v>
      </c>
      <c r="I71" s="550">
        <f>Activity!$C70*Activity!$D70*Activity!K70</f>
        <v>0</v>
      </c>
      <c r="J71" s="551">
        <f>Activity!$C70*Activity!$D70*Activity!L70</f>
        <v>0</v>
      </c>
      <c r="K71" s="550">
        <f>Activity!$C70*Activity!$D70*Activity!M70</f>
        <v>0</v>
      </c>
      <c r="L71" s="550">
        <f>Activity!$C70*Activity!$D70*Activity!N70</f>
        <v>0</v>
      </c>
      <c r="M71" s="548">
        <f>Activity!$C70*Activity!$D70*Activity!O70</f>
        <v>0</v>
      </c>
      <c r="N71" s="412">
        <v>0</v>
      </c>
      <c r="O71" s="550">
        <f>Activity!C70*Activity!D70</f>
        <v>0</v>
      </c>
      <c r="P71" s="557">
        <f>Activity!X70</f>
        <v>0</v>
      </c>
    </row>
    <row r="72" spans="2:16">
      <c r="B72" s="7">
        <f t="shared" si="1"/>
        <v>2058</v>
      </c>
      <c r="C72" s="549">
        <f>Activity!$C71*Activity!$D71*Activity!E71</f>
        <v>0</v>
      </c>
      <c r="D72" s="550">
        <f>Activity!$C71*Activity!$D71*Activity!F71</f>
        <v>0</v>
      </c>
      <c r="E72" s="548">
        <f>Activity!$C71*Activity!$D71*Activity!G71</f>
        <v>0</v>
      </c>
      <c r="F72" s="550">
        <f>Activity!$C71*Activity!$D71*Activity!H71</f>
        <v>0</v>
      </c>
      <c r="G72" s="550">
        <f>Activity!$C71*Activity!$D71*Activity!I71</f>
        <v>0</v>
      </c>
      <c r="H72" s="550">
        <f>Activity!$C71*Activity!$D71*Activity!J71</f>
        <v>0</v>
      </c>
      <c r="I72" s="550">
        <f>Activity!$C71*Activity!$D71*Activity!K71</f>
        <v>0</v>
      </c>
      <c r="J72" s="551">
        <f>Activity!$C71*Activity!$D71*Activity!L71</f>
        <v>0</v>
      </c>
      <c r="K72" s="550">
        <f>Activity!$C71*Activity!$D71*Activity!M71</f>
        <v>0</v>
      </c>
      <c r="L72" s="550">
        <f>Activity!$C71*Activity!$D71*Activity!N71</f>
        <v>0</v>
      </c>
      <c r="M72" s="548">
        <f>Activity!$C71*Activity!$D71*Activity!O71</f>
        <v>0</v>
      </c>
      <c r="N72" s="412">
        <v>0</v>
      </c>
      <c r="O72" s="550">
        <f>Activity!C71*Activity!D71</f>
        <v>0</v>
      </c>
      <c r="P72" s="557">
        <f>Activity!X71</f>
        <v>0</v>
      </c>
    </row>
    <row r="73" spans="2:16">
      <c r="B73" s="7">
        <f t="shared" si="1"/>
        <v>2059</v>
      </c>
      <c r="C73" s="549">
        <f>Activity!$C72*Activity!$D72*Activity!E72</f>
        <v>0</v>
      </c>
      <c r="D73" s="550">
        <f>Activity!$C72*Activity!$D72*Activity!F72</f>
        <v>0</v>
      </c>
      <c r="E73" s="548">
        <f>Activity!$C72*Activity!$D72*Activity!G72</f>
        <v>0</v>
      </c>
      <c r="F73" s="550">
        <f>Activity!$C72*Activity!$D72*Activity!H72</f>
        <v>0</v>
      </c>
      <c r="G73" s="550">
        <f>Activity!$C72*Activity!$D72*Activity!I72</f>
        <v>0</v>
      </c>
      <c r="H73" s="550">
        <f>Activity!$C72*Activity!$D72*Activity!J72</f>
        <v>0</v>
      </c>
      <c r="I73" s="550">
        <f>Activity!$C72*Activity!$D72*Activity!K72</f>
        <v>0</v>
      </c>
      <c r="J73" s="551">
        <f>Activity!$C72*Activity!$D72*Activity!L72</f>
        <v>0</v>
      </c>
      <c r="K73" s="550">
        <f>Activity!$C72*Activity!$D72*Activity!M72</f>
        <v>0</v>
      </c>
      <c r="L73" s="550">
        <f>Activity!$C72*Activity!$D72*Activity!N72</f>
        <v>0</v>
      </c>
      <c r="M73" s="548">
        <f>Activity!$C72*Activity!$D72*Activity!O72</f>
        <v>0</v>
      </c>
      <c r="N73" s="412">
        <v>0</v>
      </c>
      <c r="O73" s="550">
        <f>Activity!C72*Activity!D72</f>
        <v>0</v>
      </c>
      <c r="P73" s="557">
        <f>Activity!X72</f>
        <v>0</v>
      </c>
    </row>
    <row r="74" spans="2:16">
      <c r="B74" s="7">
        <f t="shared" si="1"/>
        <v>2060</v>
      </c>
      <c r="C74" s="549">
        <f>Activity!$C73*Activity!$D73*Activity!E73</f>
        <v>0</v>
      </c>
      <c r="D74" s="550">
        <f>Activity!$C73*Activity!$D73*Activity!F73</f>
        <v>0</v>
      </c>
      <c r="E74" s="548">
        <f>Activity!$C73*Activity!$D73*Activity!G73</f>
        <v>0</v>
      </c>
      <c r="F74" s="550">
        <f>Activity!$C73*Activity!$D73*Activity!H73</f>
        <v>0</v>
      </c>
      <c r="G74" s="550">
        <f>Activity!$C73*Activity!$D73*Activity!I73</f>
        <v>0</v>
      </c>
      <c r="H74" s="550">
        <f>Activity!$C73*Activity!$D73*Activity!J73</f>
        <v>0</v>
      </c>
      <c r="I74" s="550">
        <f>Activity!$C73*Activity!$D73*Activity!K73</f>
        <v>0</v>
      </c>
      <c r="J74" s="551">
        <f>Activity!$C73*Activity!$D73*Activity!L73</f>
        <v>0</v>
      </c>
      <c r="K74" s="550">
        <f>Activity!$C73*Activity!$D73*Activity!M73</f>
        <v>0</v>
      </c>
      <c r="L74" s="550">
        <f>Activity!$C73*Activity!$D73*Activity!N73</f>
        <v>0</v>
      </c>
      <c r="M74" s="548">
        <f>Activity!$C73*Activity!$D73*Activity!O73</f>
        <v>0</v>
      </c>
      <c r="N74" s="412">
        <v>0</v>
      </c>
      <c r="O74" s="550">
        <f>Activity!C73*Activity!D73</f>
        <v>0</v>
      </c>
      <c r="P74" s="557">
        <f>Activity!X73</f>
        <v>0</v>
      </c>
    </row>
    <row r="75" spans="2:16">
      <c r="B75" s="7">
        <f t="shared" si="1"/>
        <v>2061</v>
      </c>
      <c r="C75" s="549">
        <f>Activity!$C74*Activity!$D74*Activity!E74</f>
        <v>0</v>
      </c>
      <c r="D75" s="550">
        <f>Activity!$C74*Activity!$D74*Activity!F74</f>
        <v>0</v>
      </c>
      <c r="E75" s="548">
        <f>Activity!$C74*Activity!$D74*Activity!G74</f>
        <v>0</v>
      </c>
      <c r="F75" s="550">
        <f>Activity!$C74*Activity!$D74*Activity!H74</f>
        <v>0</v>
      </c>
      <c r="G75" s="550">
        <f>Activity!$C74*Activity!$D74*Activity!I74</f>
        <v>0</v>
      </c>
      <c r="H75" s="550">
        <f>Activity!$C74*Activity!$D74*Activity!J74</f>
        <v>0</v>
      </c>
      <c r="I75" s="550">
        <f>Activity!$C74*Activity!$D74*Activity!K74</f>
        <v>0</v>
      </c>
      <c r="J75" s="551">
        <f>Activity!$C74*Activity!$D74*Activity!L74</f>
        <v>0</v>
      </c>
      <c r="K75" s="550">
        <f>Activity!$C74*Activity!$D74*Activity!M74</f>
        <v>0</v>
      </c>
      <c r="L75" s="550">
        <f>Activity!$C74*Activity!$D74*Activity!N74</f>
        <v>0</v>
      </c>
      <c r="M75" s="548">
        <f>Activity!$C74*Activity!$D74*Activity!O74</f>
        <v>0</v>
      </c>
      <c r="N75" s="412">
        <v>0</v>
      </c>
      <c r="O75" s="550">
        <f>Activity!C74*Activity!D74</f>
        <v>0</v>
      </c>
      <c r="P75" s="557">
        <f>Activity!X74</f>
        <v>0</v>
      </c>
    </row>
    <row r="76" spans="2:16">
      <c r="B76" s="7">
        <f t="shared" si="1"/>
        <v>2062</v>
      </c>
      <c r="C76" s="549">
        <f>Activity!$C75*Activity!$D75*Activity!E75</f>
        <v>0</v>
      </c>
      <c r="D76" s="550">
        <f>Activity!$C75*Activity!$D75*Activity!F75</f>
        <v>0</v>
      </c>
      <c r="E76" s="548">
        <f>Activity!$C75*Activity!$D75*Activity!G75</f>
        <v>0</v>
      </c>
      <c r="F76" s="550">
        <f>Activity!$C75*Activity!$D75*Activity!H75</f>
        <v>0</v>
      </c>
      <c r="G76" s="550">
        <f>Activity!$C75*Activity!$D75*Activity!I75</f>
        <v>0</v>
      </c>
      <c r="H76" s="550">
        <f>Activity!$C75*Activity!$D75*Activity!J75</f>
        <v>0</v>
      </c>
      <c r="I76" s="550">
        <f>Activity!$C75*Activity!$D75*Activity!K75</f>
        <v>0</v>
      </c>
      <c r="J76" s="551">
        <f>Activity!$C75*Activity!$D75*Activity!L75</f>
        <v>0</v>
      </c>
      <c r="K76" s="550">
        <f>Activity!$C75*Activity!$D75*Activity!M75</f>
        <v>0</v>
      </c>
      <c r="L76" s="550">
        <f>Activity!$C75*Activity!$D75*Activity!N75</f>
        <v>0</v>
      </c>
      <c r="M76" s="548">
        <f>Activity!$C75*Activity!$D75*Activity!O75</f>
        <v>0</v>
      </c>
      <c r="N76" s="412">
        <v>0</v>
      </c>
      <c r="O76" s="550">
        <f>Activity!C75*Activity!D75</f>
        <v>0</v>
      </c>
      <c r="P76" s="557">
        <f>Activity!X75</f>
        <v>0</v>
      </c>
    </row>
    <row r="77" spans="2:16">
      <c r="B77" s="7">
        <f t="shared" si="1"/>
        <v>2063</v>
      </c>
      <c r="C77" s="549">
        <f>Activity!$C76*Activity!$D76*Activity!E76</f>
        <v>0</v>
      </c>
      <c r="D77" s="550">
        <f>Activity!$C76*Activity!$D76*Activity!F76</f>
        <v>0</v>
      </c>
      <c r="E77" s="548">
        <f>Activity!$C76*Activity!$D76*Activity!G76</f>
        <v>0</v>
      </c>
      <c r="F77" s="550">
        <f>Activity!$C76*Activity!$D76*Activity!H76</f>
        <v>0</v>
      </c>
      <c r="G77" s="550">
        <f>Activity!$C76*Activity!$D76*Activity!I76</f>
        <v>0</v>
      </c>
      <c r="H77" s="550">
        <f>Activity!$C76*Activity!$D76*Activity!J76</f>
        <v>0</v>
      </c>
      <c r="I77" s="550">
        <f>Activity!$C76*Activity!$D76*Activity!K76</f>
        <v>0</v>
      </c>
      <c r="J77" s="551">
        <f>Activity!$C76*Activity!$D76*Activity!L76</f>
        <v>0</v>
      </c>
      <c r="K77" s="550">
        <f>Activity!$C76*Activity!$D76*Activity!M76</f>
        <v>0</v>
      </c>
      <c r="L77" s="550">
        <f>Activity!$C76*Activity!$D76*Activity!N76</f>
        <v>0</v>
      </c>
      <c r="M77" s="548">
        <f>Activity!$C76*Activity!$D76*Activity!O76</f>
        <v>0</v>
      </c>
      <c r="N77" s="412">
        <v>0</v>
      </c>
      <c r="O77" s="550">
        <f>Activity!C76*Activity!D76</f>
        <v>0</v>
      </c>
      <c r="P77" s="557">
        <f>Activity!X76</f>
        <v>0</v>
      </c>
    </row>
    <row r="78" spans="2:16">
      <c r="B78" s="7">
        <f t="shared" si="1"/>
        <v>2064</v>
      </c>
      <c r="C78" s="549">
        <f>Activity!$C77*Activity!$D77*Activity!E77</f>
        <v>0</v>
      </c>
      <c r="D78" s="550">
        <f>Activity!$C77*Activity!$D77*Activity!F77</f>
        <v>0</v>
      </c>
      <c r="E78" s="548">
        <f>Activity!$C77*Activity!$D77*Activity!G77</f>
        <v>0</v>
      </c>
      <c r="F78" s="550">
        <f>Activity!$C77*Activity!$D77*Activity!H77</f>
        <v>0</v>
      </c>
      <c r="G78" s="550">
        <f>Activity!$C77*Activity!$D77*Activity!I77</f>
        <v>0</v>
      </c>
      <c r="H78" s="550">
        <f>Activity!$C77*Activity!$D77*Activity!J77</f>
        <v>0</v>
      </c>
      <c r="I78" s="550">
        <f>Activity!$C77*Activity!$D77*Activity!K77</f>
        <v>0</v>
      </c>
      <c r="J78" s="551">
        <f>Activity!$C77*Activity!$D77*Activity!L77</f>
        <v>0</v>
      </c>
      <c r="K78" s="550">
        <f>Activity!$C77*Activity!$D77*Activity!M77</f>
        <v>0</v>
      </c>
      <c r="L78" s="550">
        <f>Activity!$C77*Activity!$D77*Activity!N77</f>
        <v>0</v>
      </c>
      <c r="M78" s="548">
        <f>Activity!$C77*Activity!$D77*Activity!O77</f>
        <v>0</v>
      </c>
      <c r="N78" s="412">
        <v>0</v>
      </c>
      <c r="O78" s="550">
        <f>Activity!C77*Activity!D77</f>
        <v>0</v>
      </c>
      <c r="P78" s="557">
        <f>Activity!X77</f>
        <v>0</v>
      </c>
    </row>
    <row r="79" spans="2:16">
      <c r="B79" s="7">
        <f t="shared" si="1"/>
        <v>2065</v>
      </c>
      <c r="C79" s="549">
        <f>Activity!$C78*Activity!$D78*Activity!E78</f>
        <v>0</v>
      </c>
      <c r="D79" s="550">
        <f>Activity!$C78*Activity!$D78*Activity!F78</f>
        <v>0</v>
      </c>
      <c r="E79" s="548">
        <f>Activity!$C78*Activity!$D78*Activity!G78</f>
        <v>0</v>
      </c>
      <c r="F79" s="550">
        <f>Activity!$C78*Activity!$D78*Activity!H78</f>
        <v>0</v>
      </c>
      <c r="G79" s="550">
        <f>Activity!$C78*Activity!$D78*Activity!I78</f>
        <v>0</v>
      </c>
      <c r="H79" s="550">
        <f>Activity!$C78*Activity!$D78*Activity!J78</f>
        <v>0</v>
      </c>
      <c r="I79" s="550">
        <f>Activity!$C78*Activity!$D78*Activity!K78</f>
        <v>0</v>
      </c>
      <c r="J79" s="551">
        <f>Activity!$C78*Activity!$D78*Activity!L78</f>
        <v>0</v>
      </c>
      <c r="K79" s="550">
        <f>Activity!$C78*Activity!$D78*Activity!M78</f>
        <v>0</v>
      </c>
      <c r="L79" s="550">
        <f>Activity!$C78*Activity!$D78*Activity!N78</f>
        <v>0</v>
      </c>
      <c r="M79" s="548">
        <f>Activity!$C78*Activity!$D78*Activity!O78</f>
        <v>0</v>
      </c>
      <c r="N79" s="412">
        <v>0</v>
      </c>
      <c r="O79" s="550">
        <f>Activity!C78*Activity!D78</f>
        <v>0</v>
      </c>
      <c r="P79" s="557">
        <f>Activity!X78</f>
        <v>0</v>
      </c>
    </row>
    <row r="80" spans="2:16">
      <c r="B80" s="7">
        <f t="shared" si="1"/>
        <v>2066</v>
      </c>
      <c r="C80" s="549">
        <f>Activity!$C79*Activity!$D79*Activity!E79</f>
        <v>0</v>
      </c>
      <c r="D80" s="550">
        <f>Activity!$C79*Activity!$D79*Activity!F79</f>
        <v>0</v>
      </c>
      <c r="E80" s="548">
        <f>Activity!$C79*Activity!$D79*Activity!G79</f>
        <v>0</v>
      </c>
      <c r="F80" s="550">
        <f>Activity!$C79*Activity!$D79*Activity!H79</f>
        <v>0</v>
      </c>
      <c r="G80" s="550">
        <f>Activity!$C79*Activity!$D79*Activity!I79</f>
        <v>0</v>
      </c>
      <c r="H80" s="550">
        <f>Activity!$C79*Activity!$D79*Activity!J79</f>
        <v>0</v>
      </c>
      <c r="I80" s="550">
        <f>Activity!$C79*Activity!$D79*Activity!K79</f>
        <v>0</v>
      </c>
      <c r="J80" s="551">
        <f>Activity!$C79*Activity!$D79*Activity!L79</f>
        <v>0</v>
      </c>
      <c r="K80" s="550">
        <f>Activity!$C79*Activity!$D79*Activity!M79</f>
        <v>0</v>
      </c>
      <c r="L80" s="550">
        <f>Activity!$C79*Activity!$D79*Activity!N79</f>
        <v>0</v>
      </c>
      <c r="M80" s="548">
        <f>Activity!$C79*Activity!$D79*Activity!O79</f>
        <v>0</v>
      </c>
      <c r="N80" s="412">
        <v>0</v>
      </c>
      <c r="O80" s="550">
        <f>Activity!C79*Activity!D79</f>
        <v>0</v>
      </c>
      <c r="P80" s="557">
        <f>Activity!X79</f>
        <v>0</v>
      </c>
    </row>
    <row r="81" spans="2:16">
      <c r="B81" s="7">
        <f t="shared" si="1"/>
        <v>2067</v>
      </c>
      <c r="C81" s="549">
        <f>Activity!$C80*Activity!$D80*Activity!E80</f>
        <v>0</v>
      </c>
      <c r="D81" s="550">
        <f>Activity!$C80*Activity!$D80*Activity!F80</f>
        <v>0</v>
      </c>
      <c r="E81" s="548">
        <f>Activity!$C80*Activity!$D80*Activity!G80</f>
        <v>0</v>
      </c>
      <c r="F81" s="550">
        <f>Activity!$C80*Activity!$D80*Activity!H80</f>
        <v>0</v>
      </c>
      <c r="G81" s="550">
        <f>Activity!$C80*Activity!$D80*Activity!I80</f>
        <v>0</v>
      </c>
      <c r="H81" s="550">
        <f>Activity!$C80*Activity!$D80*Activity!J80</f>
        <v>0</v>
      </c>
      <c r="I81" s="550">
        <f>Activity!$C80*Activity!$D80*Activity!K80</f>
        <v>0</v>
      </c>
      <c r="J81" s="551">
        <f>Activity!$C80*Activity!$D80*Activity!L80</f>
        <v>0</v>
      </c>
      <c r="K81" s="550">
        <f>Activity!$C80*Activity!$D80*Activity!M80</f>
        <v>0</v>
      </c>
      <c r="L81" s="550">
        <f>Activity!$C80*Activity!$D80*Activity!N80</f>
        <v>0</v>
      </c>
      <c r="M81" s="548">
        <f>Activity!$C80*Activity!$D80*Activity!O80</f>
        <v>0</v>
      </c>
      <c r="N81" s="412">
        <v>0</v>
      </c>
      <c r="O81" s="550">
        <f>Activity!C80*Activity!D80</f>
        <v>0</v>
      </c>
      <c r="P81" s="557">
        <f>Activity!X80</f>
        <v>0</v>
      </c>
    </row>
    <row r="82" spans="2:16">
      <c r="B82" s="7">
        <f t="shared" si="1"/>
        <v>2068</v>
      </c>
      <c r="C82" s="549">
        <f>Activity!$C81*Activity!$D81*Activity!E81</f>
        <v>0</v>
      </c>
      <c r="D82" s="550">
        <f>Activity!$C81*Activity!$D81*Activity!F81</f>
        <v>0</v>
      </c>
      <c r="E82" s="548">
        <f>Activity!$C81*Activity!$D81*Activity!G81</f>
        <v>0</v>
      </c>
      <c r="F82" s="550">
        <f>Activity!$C81*Activity!$D81*Activity!H81</f>
        <v>0</v>
      </c>
      <c r="G82" s="550">
        <f>Activity!$C81*Activity!$D81*Activity!I81</f>
        <v>0</v>
      </c>
      <c r="H82" s="550">
        <f>Activity!$C81*Activity!$D81*Activity!J81</f>
        <v>0</v>
      </c>
      <c r="I82" s="550">
        <f>Activity!$C81*Activity!$D81*Activity!K81</f>
        <v>0</v>
      </c>
      <c r="J82" s="551">
        <f>Activity!$C81*Activity!$D81*Activity!L81</f>
        <v>0</v>
      </c>
      <c r="K82" s="550">
        <f>Activity!$C81*Activity!$D81*Activity!M81</f>
        <v>0</v>
      </c>
      <c r="L82" s="550">
        <f>Activity!$C81*Activity!$D81*Activity!N81</f>
        <v>0</v>
      </c>
      <c r="M82" s="548">
        <f>Activity!$C81*Activity!$D81*Activity!O81</f>
        <v>0</v>
      </c>
      <c r="N82" s="412">
        <v>0</v>
      </c>
      <c r="O82" s="550">
        <f>Activity!C81*Activity!D81</f>
        <v>0</v>
      </c>
      <c r="P82" s="557">
        <f>Activity!X81</f>
        <v>0</v>
      </c>
    </row>
    <row r="83" spans="2:16">
      <c r="B83" s="7">
        <f t="shared" si="1"/>
        <v>2069</v>
      </c>
      <c r="C83" s="549">
        <f>Activity!$C82*Activity!$D82*Activity!E82</f>
        <v>0</v>
      </c>
      <c r="D83" s="550">
        <f>Activity!$C82*Activity!$D82*Activity!F82</f>
        <v>0</v>
      </c>
      <c r="E83" s="548">
        <f>Activity!$C82*Activity!$D82*Activity!G82</f>
        <v>0</v>
      </c>
      <c r="F83" s="550">
        <f>Activity!$C82*Activity!$D82*Activity!H82</f>
        <v>0</v>
      </c>
      <c r="G83" s="550">
        <f>Activity!$C82*Activity!$D82*Activity!I82</f>
        <v>0</v>
      </c>
      <c r="H83" s="550">
        <f>Activity!$C82*Activity!$D82*Activity!J82</f>
        <v>0</v>
      </c>
      <c r="I83" s="550">
        <f>Activity!$C82*Activity!$D82*Activity!K82</f>
        <v>0</v>
      </c>
      <c r="J83" s="551">
        <f>Activity!$C82*Activity!$D82*Activity!L82</f>
        <v>0</v>
      </c>
      <c r="K83" s="550">
        <f>Activity!$C82*Activity!$D82*Activity!M82</f>
        <v>0</v>
      </c>
      <c r="L83" s="550">
        <f>Activity!$C82*Activity!$D82*Activity!N82</f>
        <v>0</v>
      </c>
      <c r="M83" s="548">
        <f>Activity!$C82*Activity!$D82*Activity!O82</f>
        <v>0</v>
      </c>
      <c r="N83" s="412">
        <v>0</v>
      </c>
      <c r="O83" s="550">
        <f>Activity!C82*Activity!D82</f>
        <v>0</v>
      </c>
      <c r="P83" s="557">
        <f>Activity!X82</f>
        <v>0</v>
      </c>
    </row>
    <row r="84" spans="2:16">
      <c r="B84" s="7">
        <f t="shared" si="1"/>
        <v>2070</v>
      </c>
      <c r="C84" s="549">
        <f>Activity!$C83*Activity!$D83*Activity!E83</f>
        <v>0</v>
      </c>
      <c r="D84" s="550">
        <f>Activity!$C83*Activity!$D83*Activity!F83</f>
        <v>0</v>
      </c>
      <c r="E84" s="548">
        <f>Activity!$C83*Activity!$D83*Activity!G83</f>
        <v>0</v>
      </c>
      <c r="F84" s="550">
        <f>Activity!$C83*Activity!$D83*Activity!H83</f>
        <v>0</v>
      </c>
      <c r="G84" s="550">
        <f>Activity!$C83*Activity!$D83*Activity!I83</f>
        <v>0</v>
      </c>
      <c r="H84" s="550">
        <f>Activity!$C83*Activity!$D83*Activity!J83</f>
        <v>0</v>
      </c>
      <c r="I84" s="550">
        <f>Activity!$C83*Activity!$D83*Activity!K83</f>
        <v>0</v>
      </c>
      <c r="J84" s="551">
        <f>Activity!$C83*Activity!$D83*Activity!L83</f>
        <v>0</v>
      </c>
      <c r="K84" s="550">
        <f>Activity!$C83*Activity!$D83*Activity!M83</f>
        <v>0</v>
      </c>
      <c r="L84" s="550">
        <f>Activity!$C83*Activity!$D83*Activity!N83</f>
        <v>0</v>
      </c>
      <c r="M84" s="548">
        <f>Activity!$C83*Activity!$D83*Activity!O83</f>
        <v>0</v>
      </c>
      <c r="N84" s="412">
        <v>0</v>
      </c>
      <c r="O84" s="550">
        <f>Activity!C83*Activity!D83</f>
        <v>0</v>
      </c>
      <c r="P84" s="557">
        <f>Activity!X83</f>
        <v>0</v>
      </c>
    </row>
    <row r="85" spans="2:16">
      <c r="B85" s="7">
        <f t="shared" si="1"/>
        <v>2071</v>
      </c>
      <c r="C85" s="549">
        <f>Activity!$C84*Activity!$D84*Activity!E84</f>
        <v>0</v>
      </c>
      <c r="D85" s="550">
        <f>Activity!$C84*Activity!$D84*Activity!F84</f>
        <v>0</v>
      </c>
      <c r="E85" s="548">
        <f>Activity!$C84*Activity!$D84*Activity!G84</f>
        <v>0</v>
      </c>
      <c r="F85" s="550">
        <f>Activity!$C84*Activity!$D84*Activity!H84</f>
        <v>0</v>
      </c>
      <c r="G85" s="550">
        <f>Activity!$C84*Activity!$D84*Activity!I84</f>
        <v>0</v>
      </c>
      <c r="H85" s="550">
        <f>Activity!$C84*Activity!$D84*Activity!J84</f>
        <v>0</v>
      </c>
      <c r="I85" s="550">
        <f>Activity!$C84*Activity!$D84*Activity!K84</f>
        <v>0</v>
      </c>
      <c r="J85" s="551">
        <f>Activity!$C84*Activity!$D84*Activity!L84</f>
        <v>0</v>
      </c>
      <c r="K85" s="550">
        <f>Activity!$C84*Activity!$D84*Activity!M84</f>
        <v>0</v>
      </c>
      <c r="L85" s="550">
        <f>Activity!$C84*Activity!$D84*Activity!N84</f>
        <v>0</v>
      </c>
      <c r="M85" s="548">
        <f>Activity!$C84*Activity!$D84*Activity!O84</f>
        <v>0</v>
      </c>
      <c r="N85" s="412">
        <v>0</v>
      </c>
      <c r="O85" s="550">
        <f>Activity!C84*Activity!D84</f>
        <v>0</v>
      </c>
      <c r="P85" s="557">
        <f>Activity!X84</f>
        <v>0</v>
      </c>
    </row>
    <row r="86" spans="2:16">
      <c r="B86" s="7">
        <f t="shared" ref="B86:B94" si="2">B85+1</f>
        <v>2072</v>
      </c>
      <c r="C86" s="549">
        <f>Activity!$C85*Activity!$D85*Activity!E85</f>
        <v>0</v>
      </c>
      <c r="D86" s="550">
        <f>Activity!$C85*Activity!$D85*Activity!F85</f>
        <v>0</v>
      </c>
      <c r="E86" s="548">
        <f>Activity!$C85*Activity!$D85*Activity!G85</f>
        <v>0</v>
      </c>
      <c r="F86" s="550">
        <f>Activity!$C85*Activity!$D85*Activity!H85</f>
        <v>0</v>
      </c>
      <c r="G86" s="550">
        <f>Activity!$C85*Activity!$D85*Activity!I85</f>
        <v>0</v>
      </c>
      <c r="H86" s="550">
        <f>Activity!$C85*Activity!$D85*Activity!J85</f>
        <v>0</v>
      </c>
      <c r="I86" s="550">
        <f>Activity!$C85*Activity!$D85*Activity!K85</f>
        <v>0</v>
      </c>
      <c r="J86" s="551">
        <f>Activity!$C85*Activity!$D85*Activity!L85</f>
        <v>0</v>
      </c>
      <c r="K86" s="550">
        <f>Activity!$C85*Activity!$D85*Activity!M85</f>
        <v>0</v>
      </c>
      <c r="L86" s="550">
        <f>Activity!$C85*Activity!$D85*Activity!N85</f>
        <v>0</v>
      </c>
      <c r="M86" s="548">
        <f>Activity!$C85*Activity!$D85*Activity!O85</f>
        <v>0</v>
      </c>
      <c r="N86" s="412">
        <v>0</v>
      </c>
      <c r="O86" s="550">
        <f>Activity!C85*Activity!D85</f>
        <v>0</v>
      </c>
      <c r="P86" s="557">
        <f>Activity!X85</f>
        <v>0</v>
      </c>
    </row>
    <row r="87" spans="2:16">
      <c r="B87" s="7">
        <f t="shared" si="2"/>
        <v>2073</v>
      </c>
      <c r="C87" s="549">
        <f>Activity!$C86*Activity!$D86*Activity!E86</f>
        <v>0</v>
      </c>
      <c r="D87" s="550">
        <f>Activity!$C86*Activity!$D86*Activity!F86</f>
        <v>0</v>
      </c>
      <c r="E87" s="548">
        <f>Activity!$C86*Activity!$D86*Activity!G86</f>
        <v>0</v>
      </c>
      <c r="F87" s="550">
        <f>Activity!$C86*Activity!$D86*Activity!H86</f>
        <v>0</v>
      </c>
      <c r="G87" s="550">
        <f>Activity!$C86*Activity!$D86*Activity!I86</f>
        <v>0</v>
      </c>
      <c r="H87" s="550">
        <f>Activity!$C86*Activity!$D86*Activity!J86</f>
        <v>0</v>
      </c>
      <c r="I87" s="550">
        <f>Activity!$C86*Activity!$D86*Activity!K86</f>
        <v>0</v>
      </c>
      <c r="J87" s="551">
        <f>Activity!$C86*Activity!$D86*Activity!L86</f>
        <v>0</v>
      </c>
      <c r="K87" s="550">
        <f>Activity!$C86*Activity!$D86*Activity!M86</f>
        <v>0</v>
      </c>
      <c r="L87" s="550">
        <f>Activity!$C86*Activity!$D86*Activity!N86</f>
        <v>0</v>
      </c>
      <c r="M87" s="548">
        <f>Activity!$C86*Activity!$D86*Activity!O86</f>
        <v>0</v>
      </c>
      <c r="N87" s="412">
        <v>0</v>
      </c>
      <c r="O87" s="550">
        <f>Activity!C86*Activity!D86</f>
        <v>0</v>
      </c>
      <c r="P87" s="557">
        <f>Activity!X86</f>
        <v>0</v>
      </c>
    </row>
    <row r="88" spans="2:16">
      <c r="B88" s="7">
        <f t="shared" si="2"/>
        <v>2074</v>
      </c>
      <c r="C88" s="549">
        <f>Activity!$C87*Activity!$D87*Activity!E87</f>
        <v>0</v>
      </c>
      <c r="D88" s="550">
        <f>Activity!$C87*Activity!$D87*Activity!F87</f>
        <v>0</v>
      </c>
      <c r="E88" s="548">
        <f>Activity!$C87*Activity!$D87*Activity!G87</f>
        <v>0</v>
      </c>
      <c r="F88" s="550">
        <f>Activity!$C87*Activity!$D87*Activity!H87</f>
        <v>0</v>
      </c>
      <c r="G88" s="550">
        <f>Activity!$C87*Activity!$D87*Activity!I87</f>
        <v>0</v>
      </c>
      <c r="H88" s="550">
        <f>Activity!$C87*Activity!$D87*Activity!J87</f>
        <v>0</v>
      </c>
      <c r="I88" s="550">
        <f>Activity!$C87*Activity!$D87*Activity!K87</f>
        <v>0</v>
      </c>
      <c r="J88" s="551">
        <f>Activity!$C87*Activity!$D87*Activity!L87</f>
        <v>0</v>
      </c>
      <c r="K88" s="550">
        <f>Activity!$C87*Activity!$D87*Activity!M87</f>
        <v>0</v>
      </c>
      <c r="L88" s="550">
        <f>Activity!$C87*Activity!$D87*Activity!N87</f>
        <v>0</v>
      </c>
      <c r="M88" s="548">
        <f>Activity!$C87*Activity!$D87*Activity!O87</f>
        <v>0</v>
      </c>
      <c r="N88" s="412">
        <v>0</v>
      </c>
      <c r="O88" s="550">
        <f>Activity!C87*Activity!D87</f>
        <v>0</v>
      </c>
      <c r="P88" s="557">
        <f>Activity!X87</f>
        <v>0</v>
      </c>
    </row>
    <row r="89" spans="2:16">
      <c r="B89" s="7">
        <f t="shared" si="2"/>
        <v>2075</v>
      </c>
      <c r="C89" s="549">
        <f>Activity!$C88*Activity!$D88*Activity!E88</f>
        <v>0</v>
      </c>
      <c r="D89" s="550">
        <f>Activity!$C88*Activity!$D88*Activity!F88</f>
        <v>0</v>
      </c>
      <c r="E89" s="548">
        <f>Activity!$C88*Activity!$D88*Activity!G88</f>
        <v>0</v>
      </c>
      <c r="F89" s="550">
        <f>Activity!$C88*Activity!$D88*Activity!H88</f>
        <v>0</v>
      </c>
      <c r="G89" s="550">
        <f>Activity!$C88*Activity!$D88*Activity!I88</f>
        <v>0</v>
      </c>
      <c r="H89" s="550">
        <f>Activity!$C88*Activity!$D88*Activity!J88</f>
        <v>0</v>
      </c>
      <c r="I89" s="550">
        <f>Activity!$C88*Activity!$D88*Activity!K88</f>
        <v>0</v>
      </c>
      <c r="J89" s="551">
        <f>Activity!$C88*Activity!$D88*Activity!L88</f>
        <v>0</v>
      </c>
      <c r="K89" s="550">
        <f>Activity!$C88*Activity!$D88*Activity!M88</f>
        <v>0</v>
      </c>
      <c r="L89" s="550">
        <f>Activity!$C88*Activity!$D88*Activity!N88</f>
        <v>0</v>
      </c>
      <c r="M89" s="548">
        <f>Activity!$C88*Activity!$D88*Activity!O88</f>
        <v>0</v>
      </c>
      <c r="N89" s="412">
        <v>0</v>
      </c>
      <c r="O89" s="550">
        <f>Activity!C88*Activity!D88</f>
        <v>0</v>
      </c>
      <c r="P89" s="557">
        <f>Activity!X88</f>
        <v>0</v>
      </c>
    </row>
    <row r="90" spans="2:16">
      <c r="B90" s="7">
        <f t="shared" si="2"/>
        <v>2076</v>
      </c>
      <c r="C90" s="549">
        <f>Activity!$C89*Activity!$D89*Activity!E89</f>
        <v>0</v>
      </c>
      <c r="D90" s="550">
        <f>Activity!$C89*Activity!$D89*Activity!F89</f>
        <v>0</v>
      </c>
      <c r="E90" s="548">
        <f>Activity!$C89*Activity!$D89*Activity!G89</f>
        <v>0</v>
      </c>
      <c r="F90" s="550">
        <f>Activity!$C89*Activity!$D89*Activity!H89</f>
        <v>0</v>
      </c>
      <c r="G90" s="550">
        <f>Activity!$C89*Activity!$D89*Activity!I89</f>
        <v>0</v>
      </c>
      <c r="H90" s="550">
        <f>Activity!$C89*Activity!$D89*Activity!J89</f>
        <v>0</v>
      </c>
      <c r="I90" s="550">
        <f>Activity!$C89*Activity!$D89*Activity!K89</f>
        <v>0</v>
      </c>
      <c r="J90" s="551">
        <f>Activity!$C89*Activity!$D89*Activity!L89</f>
        <v>0</v>
      </c>
      <c r="K90" s="550">
        <f>Activity!$C89*Activity!$D89*Activity!M89</f>
        <v>0</v>
      </c>
      <c r="L90" s="550">
        <f>Activity!$C89*Activity!$D89*Activity!N89</f>
        <v>0</v>
      </c>
      <c r="M90" s="548">
        <f>Activity!$C89*Activity!$D89*Activity!O89</f>
        <v>0</v>
      </c>
      <c r="N90" s="412">
        <v>0</v>
      </c>
      <c r="O90" s="550">
        <f>Activity!C89*Activity!D89</f>
        <v>0</v>
      </c>
      <c r="P90" s="557">
        <f>Activity!X89</f>
        <v>0</v>
      </c>
    </row>
    <row r="91" spans="2:16">
      <c r="B91" s="7">
        <f t="shared" si="2"/>
        <v>2077</v>
      </c>
      <c r="C91" s="549">
        <f>Activity!$C90*Activity!$D90*Activity!E90</f>
        <v>0</v>
      </c>
      <c r="D91" s="550">
        <f>Activity!$C90*Activity!$D90*Activity!F90</f>
        <v>0</v>
      </c>
      <c r="E91" s="548">
        <f>Activity!$C90*Activity!$D90*Activity!G90</f>
        <v>0</v>
      </c>
      <c r="F91" s="550">
        <f>Activity!$C90*Activity!$D90*Activity!H90</f>
        <v>0</v>
      </c>
      <c r="G91" s="550">
        <f>Activity!$C90*Activity!$D90*Activity!I90</f>
        <v>0</v>
      </c>
      <c r="H91" s="550">
        <f>Activity!$C90*Activity!$D90*Activity!J90</f>
        <v>0</v>
      </c>
      <c r="I91" s="550">
        <f>Activity!$C90*Activity!$D90*Activity!K90</f>
        <v>0</v>
      </c>
      <c r="J91" s="551">
        <f>Activity!$C90*Activity!$D90*Activity!L90</f>
        <v>0</v>
      </c>
      <c r="K91" s="550">
        <f>Activity!$C90*Activity!$D90*Activity!M90</f>
        <v>0</v>
      </c>
      <c r="L91" s="550">
        <f>Activity!$C90*Activity!$D90*Activity!N90</f>
        <v>0</v>
      </c>
      <c r="M91" s="548">
        <f>Activity!$C90*Activity!$D90*Activity!O90</f>
        <v>0</v>
      </c>
      <c r="N91" s="412">
        <v>0</v>
      </c>
      <c r="O91" s="550">
        <f>Activity!C90*Activity!D90</f>
        <v>0</v>
      </c>
      <c r="P91" s="557">
        <f>Activity!X90</f>
        <v>0</v>
      </c>
    </row>
    <row r="92" spans="2:16">
      <c r="B92" s="7">
        <f t="shared" si="2"/>
        <v>2078</v>
      </c>
      <c r="C92" s="549">
        <f>Activity!$C91*Activity!$D91*Activity!E91</f>
        <v>0</v>
      </c>
      <c r="D92" s="550">
        <f>Activity!$C91*Activity!$D91*Activity!F91</f>
        <v>0</v>
      </c>
      <c r="E92" s="548">
        <f>Activity!$C91*Activity!$D91*Activity!G91</f>
        <v>0</v>
      </c>
      <c r="F92" s="550">
        <f>Activity!$C91*Activity!$D91*Activity!H91</f>
        <v>0</v>
      </c>
      <c r="G92" s="550">
        <f>Activity!$C91*Activity!$D91*Activity!I91</f>
        <v>0</v>
      </c>
      <c r="H92" s="550">
        <f>Activity!$C91*Activity!$D91*Activity!J91</f>
        <v>0</v>
      </c>
      <c r="I92" s="550">
        <f>Activity!$C91*Activity!$D91*Activity!K91</f>
        <v>0</v>
      </c>
      <c r="J92" s="551">
        <f>Activity!$C91*Activity!$D91*Activity!L91</f>
        <v>0</v>
      </c>
      <c r="K92" s="550">
        <f>Activity!$C91*Activity!$D91*Activity!M91</f>
        <v>0</v>
      </c>
      <c r="L92" s="550">
        <f>Activity!$C91*Activity!$D91*Activity!N91</f>
        <v>0</v>
      </c>
      <c r="M92" s="548">
        <f>Activity!$C91*Activity!$D91*Activity!O91</f>
        <v>0</v>
      </c>
      <c r="N92" s="412">
        <v>0</v>
      </c>
      <c r="O92" s="550">
        <f>Activity!C91*Activity!D91</f>
        <v>0</v>
      </c>
      <c r="P92" s="557">
        <f>Activity!X91</f>
        <v>0</v>
      </c>
    </row>
    <row r="93" spans="2:16">
      <c r="B93" s="7">
        <f t="shared" si="2"/>
        <v>2079</v>
      </c>
      <c r="C93" s="549">
        <f>Activity!$C92*Activity!$D92*Activity!E92</f>
        <v>0</v>
      </c>
      <c r="D93" s="550">
        <f>Activity!$C92*Activity!$D92*Activity!F92</f>
        <v>0</v>
      </c>
      <c r="E93" s="548">
        <f>Activity!$C92*Activity!$D92*Activity!G92</f>
        <v>0</v>
      </c>
      <c r="F93" s="550">
        <f>Activity!$C92*Activity!$D92*Activity!H92</f>
        <v>0</v>
      </c>
      <c r="G93" s="550">
        <f>Activity!$C92*Activity!$D92*Activity!I92</f>
        <v>0</v>
      </c>
      <c r="H93" s="550">
        <f>Activity!$C92*Activity!$D92*Activity!J92</f>
        <v>0</v>
      </c>
      <c r="I93" s="550">
        <f>Activity!$C92*Activity!$D92*Activity!K92</f>
        <v>0</v>
      </c>
      <c r="J93" s="551">
        <f>Activity!$C92*Activity!$D92*Activity!L92</f>
        <v>0</v>
      </c>
      <c r="K93" s="550">
        <f>Activity!$C92*Activity!$D92*Activity!M92</f>
        <v>0</v>
      </c>
      <c r="L93" s="550">
        <f>Activity!$C92*Activity!$D92*Activity!N92</f>
        <v>0</v>
      </c>
      <c r="M93" s="548">
        <f>Activity!$C92*Activity!$D92*Activity!O92</f>
        <v>0</v>
      </c>
      <c r="N93" s="412">
        <v>0</v>
      </c>
      <c r="O93" s="550">
        <f>Activity!C92*Activity!D92</f>
        <v>0</v>
      </c>
      <c r="P93" s="557">
        <f>Activity!X92</f>
        <v>0</v>
      </c>
    </row>
    <row r="94" spans="2:16" ht="13.5" thickBot="1">
      <c r="B94" s="15">
        <f t="shared" si="2"/>
        <v>2080</v>
      </c>
      <c r="C94" s="552">
        <f>Activity!$C93*Activity!$D93*Activity!E93</f>
        <v>0</v>
      </c>
      <c r="D94" s="553">
        <f>Activity!$C93*Activity!$D93*Activity!F93</f>
        <v>0</v>
      </c>
      <c r="E94" s="553">
        <f>Activity!$C93*Activity!$D93*Activity!G93</f>
        <v>0</v>
      </c>
      <c r="F94" s="553">
        <f>Activity!$C93*Activity!$D93*Activity!H93</f>
        <v>0</v>
      </c>
      <c r="G94" s="553">
        <f>Activity!$C93*Activity!$D93*Activity!I93</f>
        <v>0</v>
      </c>
      <c r="H94" s="553">
        <f>Activity!$C93*Activity!$D93*Activity!J93</f>
        <v>0</v>
      </c>
      <c r="I94" s="553">
        <f>Activity!$C93*Activity!$D93*Activity!K93</f>
        <v>0</v>
      </c>
      <c r="J94" s="554">
        <f>Activity!$C93*Activity!$D93*Activity!L93</f>
        <v>0</v>
      </c>
      <c r="K94" s="553">
        <f>Activity!$C93*Activity!$D93*Activity!M93</f>
        <v>0</v>
      </c>
      <c r="L94" s="553">
        <f>Activity!$C93*Activity!$D93*Activity!N93</f>
        <v>0</v>
      </c>
      <c r="M94" s="553">
        <f>Activity!$C93*Activity!$D93*Activity!O93</f>
        <v>0</v>
      </c>
      <c r="N94" s="413">
        <v>0</v>
      </c>
      <c r="O94" s="553">
        <f>Activity!C93*Activity!D93</f>
        <v>0</v>
      </c>
      <c r="P94" s="558">
        <f>Activity!X93</f>
        <v>0</v>
      </c>
    </row>
  </sheetData>
  <customSheetViews>
    <customSheetView guid="{B400968E-E9A7-41C3-9739-36597C9C6BC6}" showGridLines="0" showRuler="0">
      <pane xSplit="2" ySplit="9" topLeftCell="C10" activePane="bottomRight" state="frozenSplit"/>
      <selection pane="bottomRight" activeCell="J7" sqref="J7"/>
      <pageMargins left="0.7" right="0.7" top="0.75" bottom="0.75" header="0.3" footer="0.3"/>
      <headerFooter alignWithMargins="0"/>
    </customSheetView>
  </customSheetViews>
  <mergeCells count="15">
    <mergeCell ref="I3:O3"/>
    <mergeCell ref="I2:O2"/>
    <mergeCell ref="J11:M11"/>
    <mergeCell ref="I11:I12"/>
    <mergeCell ref="E11:E12"/>
    <mergeCell ref="G11:G12"/>
    <mergeCell ref="I4:O4"/>
    <mergeCell ref="F11:F12"/>
    <mergeCell ref="H11:H12"/>
    <mergeCell ref="N11:N12"/>
    <mergeCell ref="O11:O12"/>
    <mergeCell ref="C10:P10"/>
    <mergeCell ref="P11:P12"/>
    <mergeCell ref="C11:C12"/>
    <mergeCell ref="D11:D12"/>
  </mergeCells>
  <phoneticPr fontId="16" type="noConversion"/>
  <dataValidations count="1">
    <dataValidation type="whole" allowBlank="1" showInputMessage="1" showErrorMessage="1" error="Please enter a year between 1900 and 2000" sqref="B14">
      <formula1>1900</formula1>
      <formula2>2000</formula2>
    </dataValidation>
  </dataValidation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indexed="34"/>
  </sheetPr>
  <dimension ref="A2:G117"/>
  <sheetViews>
    <sheetView showGridLines="0" topLeftCell="A22" workbookViewId="0">
      <selection activeCell="D29" sqref="D29"/>
    </sheetView>
  </sheetViews>
  <sheetFormatPr defaultColWidth="8.85546875" defaultRowHeight="12.75"/>
  <cols>
    <col min="1" max="1" width="3.42578125" style="306" customWidth="1"/>
    <col min="2" max="2" width="11.7109375" style="306" customWidth="1"/>
    <col min="3" max="3" width="12.7109375" style="306" customWidth="1"/>
    <col min="4" max="4" width="31.28515625" style="306" customWidth="1"/>
    <col min="5" max="5" width="10.42578125" style="308" customWidth="1"/>
    <col min="6" max="6" width="10.28515625" style="306" customWidth="1"/>
    <col min="7" max="7" width="38" style="306" customWidth="1"/>
    <col min="8" max="16384" width="8.85546875" style="306"/>
  </cols>
  <sheetData>
    <row r="2" spans="1:7" ht="15.75">
      <c r="C2" s="46" t="s">
        <v>197</v>
      </c>
      <c r="D2" s="46"/>
      <c r="E2" s="307"/>
    </row>
    <row r="4" spans="1:7">
      <c r="C4" s="306" t="s">
        <v>110</v>
      </c>
    </row>
    <row r="5" spans="1:7">
      <c r="C5" s="306" t="s">
        <v>111</v>
      </c>
    </row>
    <row r="6" spans="1:7" ht="13.5" thickBot="1"/>
    <row r="7" spans="1:7" ht="51.75" thickBot="1">
      <c r="A7" s="309"/>
      <c r="B7" s="310"/>
      <c r="C7" s="311" t="s">
        <v>108</v>
      </c>
      <c r="D7" s="312" t="s">
        <v>28</v>
      </c>
      <c r="E7" s="313" t="s">
        <v>203</v>
      </c>
      <c r="F7" s="314" t="s">
        <v>198</v>
      </c>
      <c r="G7" s="315" t="s">
        <v>199</v>
      </c>
    </row>
    <row r="8" spans="1:7" ht="13.5" thickBot="1">
      <c r="A8" s="316"/>
      <c r="B8" s="317"/>
      <c r="C8" s="318"/>
      <c r="D8" s="319"/>
      <c r="E8" s="320"/>
      <c r="F8" s="321"/>
      <c r="G8" s="322"/>
    </row>
    <row r="9" spans="1:7" ht="13.5" thickBot="1">
      <c r="A9" s="316"/>
      <c r="B9" s="323" t="s">
        <v>25</v>
      </c>
      <c r="C9" s="324">
        <v>0</v>
      </c>
      <c r="D9" s="325"/>
      <c r="E9" s="326"/>
      <c r="F9" s="327">
        <v>0</v>
      </c>
      <c r="G9" s="328"/>
    </row>
    <row r="10" spans="1:7">
      <c r="A10" s="316"/>
      <c r="B10" s="317"/>
      <c r="C10" s="318"/>
      <c r="D10" s="329"/>
      <c r="E10" s="330"/>
      <c r="F10" s="331"/>
      <c r="G10" s="332"/>
    </row>
    <row r="11" spans="1:7" ht="13.5" thickBot="1">
      <c r="A11" s="316"/>
      <c r="B11" s="55" t="s">
        <v>1</v>
      </c>
      <c r="C11" s="333" t="s">
        <v>15</v>
      </c>
      <c r="D11" s="334"/>
      <c r="E11" s="335"/>
      <c r="F11" s="336" t="s">
        <v>200</v>
      </c>
      <c r="G11" s="337"/>
    </row>
    <row r="12" spans="1:7">
      <c r="B12" s="338">
        <f>year</f>
        <v>2000</v>
      </c>
      <c r="C12" s="239">
        <v>0</v>
      </c>
      <c r="D12" s="44"/>
      <c r="E12" s="339">
        <f>IF(Results!L17&lt;=0,0,C12/Results!L17)</f>
        <v>0</v>
      </c>
      <c r="F12" s="340">
        <f t="shared" ref="F12:F43" si="0">ox</f>
        <v>0</v>
      </c>
      <c r="G12" s="341"/>
    </row>
    <row r="13" spans="1:7">
      <c r="B13" s="342">
        <f t="shared" ref="B13:B76" si="1">B12+1</f>
        <v>2001</v>
      </c>
      <c r="C13" s="240">
        <v>0</v>
      </c>
      <c r="D13" s="258"/>
      <c r="E13" s="339">
        <f>IF(Results!L18&lt;=0,0,C13/Results!L18)</f>
        <v>0</v>
      </c>
      <c r="F13" s="340">
        <f t="shared" si="0"/>
        <v>0</v>
      </c>
      <c r="G13" s="343"/>
    </row>
    <row r="14" spans="1:7">
      <c r="B14" s="342">
        <f t="shared" si="1"/>
        <v>2002</v>
      </c>
      <c r="C14" s="240">
        <v>0</v>
      </c>
      <c r="D14" s="258"/>
      <c r="E14" s="339">
        <f>IF(Results!L19&lt;=0,0,C14/Results!L19)</f>
        <v>0</v>
      </c>
      <c r="F14" s="340">
        <f t="shared" si="0"/>
        <v>0</v>
      </c>
      <c r="G14" s="343"/>
    </row>
    <row r="15" spans="1:7">
      <c r="B15" s="342">
        <f t="shared" si="1"/>
        <v>2003</v>
      </c>
      <c r="C15" s="240">
        <v>0</v>
      </c>
      <c r="D15" s="258"/>
      <c r="E15" s="339">
        <f>IF(Results!L20&lt;=0,0,C15/Results!L20)</f>
        <v>0</v>
      </c>
      <c r="F15" s="340">
        <f t="shared" si="0"/>
        <v>0</v>
      </c>
      <c r="G15" s="343"/>
    </row>
    <row r="16" spans="1:7">
      <c r="B16" s="342">
        <f t="shared" si="1"/>
        <v>2004</v>
      </c>
      <c r="C16" s="240">
        <v>0</v>
      </c>
      <c r="D16" s="258"/>
      <c r="E16" s="339">
        <f>IF(Results!L21&lt;=0,0,C16/Results!L21)</f>
        <v>0</v>
      </c>
      <c r="F16" s="340">
        <f t="shared" si="0"/>
        <v>0</v>
      </c>
      <c r="G16" s="343"/>
    </row>
    <row r="17" spans="2:7">
      <c r="B17" s="342">
        <f t="shared" si="1"/>
        <v>2005</v>
      </c>
      <c r="C17" s="240">
        <v>0</v>
      </c>
      <c r="D17" s="258"/>
      <c r="E17" s="339">
        <f>IF(Results!L22&lt;=0,0,C17/Results!L22)</f>
        <v>0</v>
      </c>
      <c r="F17" s="340">
        <f t="shared" si="0"/>
        <v>0</v>
      </c>
      <c r="G17" s="343"/>
    </row>
    <row r="18" spans="2:7">
      <c r="B18" s="342">
        <f t="shared" si="1"/>
        <v>2006</v>
      </c>
      <c r="C18" s="240">
        <v>0</v>
      </c>
      <c r="D18" s="258"/>
      <c r="E18" s="339">
        <f>IF(Results!L23&lt;=0,0,C18/Results!L23)</f>
        <v>0</v>
      </c>
      <c r="F18" s="340">
        <f t="shared" si="0"/>
        <v>0</v>
      </c>
      <c r="G18" s="343"/>
    </row>
    <row r="19" spans="2:7">
      <c r="B19" s="342">
        <f t="shared" si="1"/>
        <v>2007</v>
      </c>
      <c r="C19" s="240">
        <v>0</v>
      </c>
      <c r="D19" s="258"/>
      <c r="E19" s="339">
        <f>IF(Results!L24&lt;=0,0,C19/Results!L24)</f>
        <v>0</v>
      </c>
      <c r="F19" s="340">
        <f t="shared" si="0"/>
        <v>0</v>
      </c>
      <c r="G19" s="343"/>
    </row>
    <row r="20" spans="2:7">
      <c r="B20" s="342">
        <f t="shared" si="1"/>
        <v>2008</v>
      </c>
      <c r="C20" s="240">
        <v>0</v>
      </c>
      <c r="D20" s="258"/>
      <c r="E20" s="339">
        <f>IF(Results!L25&lt;=0,0,C20/Results!L25)</f>
        <v>0</v>
      </c>
      <c r="F20" s="340">
        <f t="shared" si="0"/>
        <v>0</v>
      </c>
      <c r="G20" s="343"/>
    </row>
    <row r="21" spans="2:7">
      <c r="B21" s="342">
        <f t="shared" si="1"/>
        <v>2009</v>
      </c>
      <c r="C21" s="240">
        <v>0</v>
      </c>
      <c r="D21" s="258"/>
      <c r="E21" s="339">
        <f>IF(Results!L26&lt;=0,0,C21/Results!L26)</f>
        <v>0</v>
      </c>
      <c r="F21" s="340">
        <f t="shared" si="0"/>
        <v>0</v>
      </c>
      <c r="G21" s="343"/>
    </row>
    <row r="22" spans="2:7">
      <c r="B22" s="342">
        <f t="shared" si="1"/>
        <v>2010</v>
      </c>
      <c r="C22" s="240">
        <v>0</v>
      </c>
      <c r="D22" s="258"/>
      <c r="E22" s="339">
        <f>IF(Results!L27&lt;=0,0,C22/Results!L27)</f>
        <v>0</v>
      </c>
      <c r="F22" s="340">
        <f t="shared" si="0"/>
        <v>0</v>
      </c>
      <c r="G22" s="343"/>
    </row>
    <row r="23" spans="2:7">
      <c r="B23" s="342">
        <f t="shared" si="1"/>
        <v>2011</v>
      </c>
      <c r="C23" s="240">
        <v>0</v>
      </c>
      <c r="D23" s="258"/>
      <c r="E23" s="339">
        <f>IF(Results!L28&lt;=0,0,C23/Results!L28)</f>
        <v>0</v>
      </c>
      <c r="F23" s="340">
        <f t="shared" si="0"/>
        <v>0</v>
      </c>
      <c r="G23" s="343"/>
    </row>
    <row r="24" spans="2:7">
      <c r="B24" s="342">
        <f t="shared" si="1"/>
        <v>2012</v>
      </c>
      <c r="C24" s="240">
        <v>0</v>
      </c>
      <c r="D24" s="258"/>
      <c r="E24" s="339">
        <f>IF(Results!L29&lt;=0,0,C24/Results!L29)</f>
        <v>0</v>
      </c>
      <c r="F24" s="340">
        <f t="shared" si="0"/>
        <v>0</v>
      </c>
      <c r="G24" s="343"/>
    </row>
    <row r="25" spans="2:7">
      <c r="B25" s="342">
        <f t="shared" si="1"/>
        <v>2013</v>
      </c>
      <c r="C25" s="240">
        <v>0</v>
      </c>
      <c r="D25" s="258"/>
      <c r="E25" s="339">
        <f>IF(Results!L30&lt;=0,0,C25/Results!L30)</f>
        <v>0</v>
      </c>
      <c r="F25" s="340">
        <f t="shared" si="0"/>
        <v>0</v>
      </c>
      <c r="G25" s="343"/>
    </row>
    <row r="26" spans="2:7">
      <c r="B26" s="342">
        <f t="shared" si="1"/>
        <v>2014</v>
      </c>
      <c r="C26" s="240">
        <v>0</v>
      </c>
      <c r="D26" s="258"/>
      <c r="E26" s="339">
        <f>IF(Results!L31&lt;=0,0,C26/Results!L31)</f>
        <v>0</v>
      </c>
      <c r="F26" s="340">
        <f t="shared" si="0"/>
        <v>0</v>
      </c>
      <c r="G26" s="343"/>
    </row>
    <row r="27" spans="2:7">
      <c r="B27" s="342">
        <f t="shared" si="1"/>
        <v>2015</v>
      </c>
      <c r="C27" s="240">
        <v>0</v>
      </c>
      <c r="D27" s="258"/>
      <c r="E27" s="339">
        <f>IF(Results!L32&lt;=0,0,C27/Results!L32)</f>
        <v>0</v>
      </c>
      <c r="F27" s="340">
        <f t="shared" si="0"/>
        <v>0</v>
      </c>
      <c r="G27" s="343"/>
    </row>
    <row r="28" spans="2:7">
      <c r="B28" s="342">
        <f t="shared" si="1"/>
        <v>2016</v>
      </c>
      <c r="C28" s="240">
        <v>0</v>
      </c>
      <c r="D28" s="258"/>
      <c r="E28" s="339">
        <f>IF(Results!L33&lt;=0,0,C28/Results!L33)</f>
        <v>0</v>
      </c>
      <c r="F28" s="340">
        <f t="shared" si="0"/>
        <v>0</v>
      </c>
      <c r="G28" s="343"/>
    </row>
    <row r="29" spans="2:7">
      <c r="B29" s="342">
        <f t="shared" si="1"/>
        <v>2017</v>
      </c>
      <c r="C29" s="240">
        <f>Activity!C30*0.5%</f>
        <v>0.217471112907345</v>
      </c>
      <c r="D29" s="258" t="s">
        <v>339</v>
      </c>
      <c r="E29" s="339">
        <f>IF(Results!L34&lt;=0,0,C29/Results!L34)</f>
        <v>0.10596897951670915</v>
      </c>
      <c r="F29" s="340">
        <f t="shared" si="0"/>
        <v>0</v>
      </c>
      <c r="G29" s="343"/>
    </row>
    <row r="30" spans="2:7">
      <c r="B30" s="342">
        <f t="shared" si="1"/>
        <v>2018</v>
      </c>
      <c r="C30" s="240">
        <f>Activity!C31*0.5%</f>
        <v>0.22750220167542914</v>
      </c>
      <c r="D30" s="258" t="s">
        <v>339</v>
      </c>
      <c r="E30" s="339">
        <f>IF(Results!L35&lt;=0,0,C30/Results!L35)</f>
        <v>0.1086943052550621</v>
      </c>
      <c r="F30" s="340">
        <f t="shared" si="0"/>
        <v>0</v>
      </c>
      <c r="G30" s="343"/>
    </row>
    <row r="31" spans="2:7">
      <c r="B31" s="342">
        <f t="shared" si="1"/>
        <v>2019</v>
      </c>
      <c r="C31" s="240">
        <f>Activity!C32*0.5%</f>
        <v>0.23783734098610004</v>
      </c>
      <c r="D31" s="258" t="s">
        <v>339</v>
      </c>
      <c r="E31" s="339">
        <f>IF(Results!L36&lt;=0,0,C31/Results!L36)</f>
        <v>0.11052164081940015</v>
      </c>
      <c r="F31" s="340">
        <f t="shared" si="0"/>
        <v>0</v>
      </c>
      <c r="G31" s="343"/>
    </row>
    <row r="32" spans="2:7">
      <c r="B32" s="342">
        <f t="shared" si="1"/>
        <v>2020</v>
      </c>
      <c r="C32" s="240">
        <f>Activity!C33*0.5%</f>
        <v>0.24847988343243363</v>
      </c>
      <c r="D32" s="258" t="s">
        <v>339</v>
      </c>
      <c r="E32" s="339">
        <f>IF(Results!L37&lt;=0,0,C32/Results!L37)</f>
        <v>0.11171407968383448</v>
      </c>
      <c r="F32" s="340">
        <f t="shared" si="0"/>
        <v>0</v>
      </c>
      <c r="G32" s="343"/>
    </row>
    <row r="33" spans="2:7">
      <c r="B33" s="342">
        <f t="shared" si="1"/>
        <v>2021</v>
      </c>
      <c r="C33" s="240">
        <f>Activity!C34*0.5%</f>
        <v>0.2594326850924874</v>
      </c>
      <c r="D33" s="258" t="s">
        <v>339</v>
      </c>
      <c r="E33" s="339">
        <f>IF(Results!L38&lt;=0,0,C33/Results!L38)</f>
        <v>0.11246571355879899</v>
      </c>
      <c r="F33" s="340">
        <f t="shared" si="0"/>
        <v>0</v>
      </c>
      <c r="G33" s="343"/>
    </row>
    <row r="34" spans="2:7">
      <c r="B34" s="342">
        <f t="shared" si="1"/>
        <v>2022</v>
      </c>
      <c r="C34" s="240">
        <f>Activity!C35*0.5%</f>
        <v>0.2706980394469381</v>
      </c>
      <c r="D34" s="258" t="s">
        <v>339</v>
      </c>
      <c r="E34" s="339">
        <f>IF(Results!L39&lt;=0,0,C34/Results!L39)</f>
        <v>0.11291396075538332</v>
      </c>
      <c r="F34" s="340">
        <f t="shared" si="0"/>
        <v>0</v>
      </c>
      <c r="G34" s="343"/>
    </row>
    <row r="35" spans="2:7">
      <c r="B35" s="342">
        <f t="shared" si="1"/>
        <v>2023</v>
      </c>
      <c r="C35" s="240">
        <f>Activity!C36*0.5%</f>
        <v>0.28227760512018901</v>
      </c>
      <c r="D35" s="258" t="s">
        <v>339</v>
      </c>
      <c r="E35" s="339">
        <f>IF(Results!L40&lt;=0,0,C35/Results!L40)</f>
        <v>0.11315380390966852</v>
      </c>
      <c r="F35" s="340">
        <f t="shared" si="0"/>
        <v>0</v>
      </c>
      <c r="G35" s="343"/>
    </row>
    <row r="36" spans="2:7">
      <c r="B36" s="342">
        <f t="shared" si="1"/>
        <v>2024</v>
      </c>
      <c r="C36" s="240">
        <f>Activity!C37*0.5%</f>
        <v>0.29417232692164591</v>
      </c>
      <c r="D36" s="258" t="s">
        <v>339</v>
      </c>
      <c r="E36" s="339">
        <f>IF(Results!L41&lt;=0,0,C36/Results!L41)</f>
        <v>0.11325003261346572</v>
      </c>
      <c r="F36" s="340">
        <f t="shared" si="0"/>
        <v>0</v>
      </c>
      <c r="G36" s="343"/>
    </row>
    <row r="37" spans="2:7">
      <c r="B37" s="342">
        <f t="shared" si="1"/>
        <v>2025</v>
      </c>
      <c r="C37" s="240">
        <f>Activity!C38*0.5%</f>
        <v>0.30638234962117905</v>
      </c>
      <c r="D37" s="258" t="s">
        <v>339</v>
      </c>
      <c r="E37" s="339">
        <f>IF(Results!L42&lt;=0,0,C37/Results!L42)</f>
        <v>0.11324657105787032</v>
      </c>
      <c r="F37" s="340">
        <f t="shared" si="0"/>
        <v>0</v>
      </c>
      <c r="G37" s="343"/>
    </row>
    <row r="38" spans="2:7">
      <c r="B38" s="342">
        <f t="shared" si="1"/>
        <v>2026</v>
      </c>
      <c r="C38" s="240">
        <f>Activity!C39*0.5%</f>
        <v>0.31890692384668723</v>
      </c>
      <c r="D38" s="258" t="s">
        <v>339</v>
      </c>
      <c r="E38" s="339">
        <f>IF(Results!L43&lt;=0,0,C38/Results!L43)</f>
        <v>0.11317315506968637</v>
      </c>
      <c r="F38" s="340">
        <f t="shared" si="0"/>
        <v>0</v>
      </c>
      <c r="G38" s="343"/>
    </row>
    <row r="39" spans="2:7">
      <c r="B39" s="342">
        <f t="shared" si="1"/>
        <v>2027</v>
      </c>
      <c r="C39" s="240">
        <f>Activity!C40*0.5%</f>
        <v>0.33174430344188965</v>
      </c>
      <c r="D39" s="258" t="s">
        <v>339</v>
      </c>
      <c r="E39" s="339">
        <f>IF(Results!L44&lt;=0,0,C39/Results!L44)</f>
        <v>0.11304994761387828</v>
      </c>
      <c r="F39" s="340">
        <f t="shared" si="0"/>
        <v>0</v>
      </c>
      <c r="G39" s="343"/>
    </row>
    <row r="40" spans="2:7">
      <c r="B40" s="342">
        <f t="shared" si="1"/>
        <v>2028</v>
      </c>
      <c r="C40" s="240">
        <f>Activity!C41*0.5%</f>
        <v>0.34489163356869706</v>
      </c>
      <c r="D40" s="258" t="s">
        <v>339</v>
      </c>
      <c r="E40" s="339">
        <f>IF(Results!L45&lt;=0,0,C40/Results!L45)</f>
        <v>0.11289066628292359</v>
      </c>
      <c r="F40" s="340">
        <f t="shared" si="0"/>
        <v>0</v>
      </c>
      <c r="G40" s="343"/>
    </row>
    <row r="41" spans="2:7">
      <c r="B41" s="342">
        <f t="shared" si="1"/>
        <v>2029</v>
      </c>
      <c r="C41" s="240">
        <f>Activity!C42*0.5%</f>
        <v>0.35834482878044727</v>
      </c>
      <c r="D41" s="258" t="s">
        <v>339</v>
      </c>
      <c r="E41" s="339">
        <f>IF(Results!L46&lt;=0,0,C41/Results!L46)</f>
        <v>0.11270467950091559</v>
      </c>
      <c r="F41" s="340">
        <f t="shared" si="0"/>
        <v>0</v>
      </c>
      <c r="G41" s="343"/>
    </row>
    <row r="42" spans="2:7">
      <c r="B42" s="342">
        <f t="shared" si="1"/>
        <v>2030</v>
      </c>
      <c r="C42" s="240">
        <f>Activity!C43*0.5%</f>
        <v>0.37236144000000004</v>
      </c>
      <c r="D42" s="258" t="s">
        <v>339</v>
      </c>
      <c r="E42" s="339">
        <f>IF(Results!L47&lt;=0,0,C42/Results!L47)</f>
        <v>0.11257791840426563</v>
      </c>
      <c r="F42" s="340">
        <f t="shared" si="0"/>
        <v>0</v>
      </c>
      <c r="G42" s="343"/>
    </row>
    <row r="43" spans="2:7">
      <c r="B43" s="342">
        <f t="shared" si="1"/>
        <v>2031</v>
      </c>
      <c r="C43" s="240">
        <v>0</v>
      </c>
      <c r="D43" s="258"/>
      <c r="E43" s="339">
        <f>IF(Results!L48&lt;=0,0,C43/Results!L48)</f>
        <v>0</v>
      </c>
      <c r="F43" s="340">
        <f t="shared" si="0"/>
        <v>0</v>
      </c>
      <c r="G43" s="343"/>
    </row>
    <row r="44" spans="2:7">
      <c r="B44" s="342">
        <f t="shared" si="1"/>
        <v>2032</v>
      </c>
      <c r="C44" s="240">
        <v>0</v>
      </c>
      <c r="D44" s="258"/>
      <c r="E44" s="339">
        <f>IF(Results!L49&lt;=0,0,C44/Results!L49)</f>
        <v>0</v>
      </c>
      <c r="F44" s="340">
        <f t="shared" ref="F44:F75" si="2">ox</f>
        <v>0</v>
      </c>
      <c r="G44" s="343"/>
    </row>
    <row r="45" spans="2:7">
      <c r="B45" s="342">
        <f t="shared" si="1"/>
        <v>2033</v>
      </c>
      <c r="C45" s="240">
        <v>0</v>
      </c>
      <c r="D45" s="258"/>
      <c r="E45" s="339">
        <f>IF(Results!L50&lt;=0,0,C45/Results!L50)</f>
        <v>0</v>
      </c>
      <c r="F45" s="340">
        <f t="shared" si="2"/>
        <v>0</v>
      </c>
      <c r="G45" s="343"/>
    </row>
    <row r="46" spans="2:7">
      <c r="B46" s="342">
        <f t="shared" si="1"/>
        <v>2034</v>
      </c>
      <c r="C46" s="240">
        <v>0</v>
      </c>
      <c r="D46" s="258"/>
      <c r="E46" s="339">
        <f>IF(Results!L51&lt;=0,0,C46/Results!L51)</f>
        <v>0</v>
      </c>
      <c r="F46" s="340">
        <f t="shared" si="2"/>
        <v>0</v>
      </c>
      <c r="G46" s="343"/>
    </row>
    <row r="47" spans="2:7">
      <c r="B47" s="342">
        <f t="shared" si="1"/>
        <v>2035</v>
      </c>
      <c r="C47" s="240">
        <v>0</v>
      </c>
      <c r="D47" s="258"/>
      <c r="E47" s="339">
        <f>IF(Results!L52&lt;=0,0,C47/Results!L52)</f>
        <v>0</v>
      </c>
      <c r="F47" s="340">
        <f t="shared" si="2"/>
        <v>0</v>
      </c>
      <c r="G47" s="343"/>
    </row>
    <row r="48" spans="2:7">
      <c r="B48" s="342">
        <f t="shared" si="1"/>
        <v>2036</v>
      </c>
      <c r="C48" s="240">
        <v>0</v>
      </c>
      <c r="D48" s="258"/>
      <c r="E48" s="339">
        <f>IF(Results!L53&lt;=0,0,C48/Results!L53)</f>
        <v>0</v>
      </c>
      <c r="F48" s="340">
        <f t="shared" si="2"/>
        <v>0</v>
      </c>
      <c r="G48" s="343"/>
    </row>
    <row r="49" spans="2:7">
      <c r="B49" s="342">
        <f t="shared" si="1"/>
        <v>2037</v>
      </c>
      <c r="C49" s="240">
        <v>0</v>
      </c>
      <c r="D49" s="258"/>
      <c r="E49" s="339">
        <f>IF(Results!L54&lt;=0,0,C49/Results!L54)</f>
        <v>0</v>
      </c>
      <c r="F49" s="340">
        <f t="shared" si="2"/>
        <v>0</v>
      </c>
      <c r="G49" s="343"/>
    </row>
    <row r="50" spans="2:7">
      <c r="B50" s="342">
        <f t="shared" si="1"/>
        <v>2038</v>
      </c>
      <c r="C50" s="240">
        <v>0</v>
      </c>
      <c r="D50" s="258"/>
      <c r="E50" s="339">
        <f>IF(Results!L55&lt;=0,0,C50/Results!L55)</f>
        <v>0</v>
      </c>
      <c r="F50" s="340">
        <f t="shared" si="2"/>
        <v>0</v>
      </c>
      <c r="G50" s="343"/>
    </row>
    <row r="51" spans="2:7">
      <c r="B51" s="342">
        <f t="shared" si="1"/>
        <v>2039</v>
      </c>
      <c r="C51" s="240">
        <v>0</v>
      </c>
      <c r="D51" s="258"/>
      <c r="E51" s="339">
        <f>IF(Results!L56&lt;=0,0,C51/Results!L56)</f>
        <v>0</v>
      </c>
      <c r="F51" s="340">
        <f t="shared" si="2"/>
        <v>0</v>
      </c>
      <c r="G51" s="343"/>
    </row>
    <row r="52" spans="2:7">
      <c r="B52" s="342">
        <f t="shared" si="1"/>
        <v>2040</v>
      </c>
      <c r="C52" s="240">
        <v>0</v>
      </c>
      <c r="D52" s="258"/>
      <c r="E52" s="339">
        <f>IF(Results!L57&lt;=0,0,C52/Results!L57)</f>
        <v>0</v>
      </c>
      <c r="F52" s="340">
        <f t="shared" si="2"/>
        <v>0</v>
      </c>
      <c r="G52" s="343"/>
    </row>
    <row r="53" spans="2:7">
      <c r="B53" s="342">
        <f t="shared" si="1"/>
        <v>2041</v>
      </c>
      <c r="C53" s="240">
        <v>0</v>
      </c>
      <c r="D53" s="258"/>
      <c r="E53" s="339">
        <f>IF(Results!L58&lt;=0,0,C53/Results!L58)</f>
        <v>0</v>
      </c>
      <c r="F53" s="340">
        <f t="shared" si="2"/>
        <v>0</v>
      </c>
      <c r="G53" s="343"/>
    </row>
    <row r="54" spans="2:7">
      <c r="B54" s="342">
        <f t="shared" si="1"/>
        <v>2042</v>
      </c>
      <c r="C54" s="240">
        <v>0</v>
      </c>
      <c r="D54" s="258"/>
      <c r="E54" s="339">
        <f>IF(Results!L59&lt;=0,0,C54/Results!L59)</f>
        <v>0</v>
      </c>
      <c r="F54" s="340">
        <f t="shared" si="2"/>
        <v>0</v>
      </c>
      <c r="G54" s="343"/>
    </row>
    <row r="55" spans="2:7">
      <c r="B55" s="342">
        <f t="shared" si="1"/>
        <v>2043</v>
      </c>
      <c r="C55" s="240">
        <v>0</v>
      </c>
      <c r="D55" s="258"/>
      <c r="E55" s="339">
        <f>IF(Results!L60&lt;=0,0,C55/Results!L60)</f>
        <v>0</v>
      </c>
      <c r="F55" s="340">
        <f t="shared" si="2"/>
        <v>0</v>
      </c>
      <c r="G55" s="343"/>
    </row>
    <row r="56" spans="2:7">
      <c r="B56" s="342">
        <f t="shared" si="1"/>
        <v>2044</v>
      </c>
      <c r="C56" s="240">
        <v>0</v>
      </c>
      <c r="D56" s="258"/>
      <c r="E56" s="339">
        <f>IF(Results!L61&lt;=0,0,C56/Results!L61)</f>
        <v>0</v>
      </c>
      <c r="F56" s="340">
        <f t="shared" si="2"/>
        <v>0</v>
      </c>
      <c r="G56" s="343"/>
    </row>
    <row r="57" spans="2:7">
      <c r="B57" s="342">
        <f t="shared" si="1"/>
        <v>2045</v>
      </c>
      <c r="C57" s="240">
        <v>0</v>
      </c>
      <c r="D57" s="258"/>
      <c r="E57" s="339">
        <f>IF(Results!L62&lt;=0,0,C57/Results!L62)</f>
        <v>0</v>
      </c>
      <c r="F57" s="340">
        <f>ox</f>
        <v>0</v>
      </c>
      <c r="G57" s="343"/>
    </row>
    <row r="58" spans="2:7">
      <c r="B58" s="342">
        <f t="shared" si="1"/>
        <v>2046</v>
      </c>
      <c r="C58" s="240">
        <v>0</v>
      </c>
      <c r="D58" s="258"/>
      <c r="E58" s="339">
        <f>IF(Results!L63&lt;=0,0,C58/Results!L63)</f>
        <v>0</v>
      </c>
      <c r="F58" s="340">
        <f t="shared" si="2"/>
        <v>0</v>
      </c>
      <c r="G58" s="343"/>
    </row>
    <row r="59" spans="2:7">
      <c r="B59" s="342">
        <f t="shared" si="1"/>
        <v>2047</v>
      </c>
      <c r="C59" s="240">
        <v>0</v>
      </c>
      <c r="D59" s="258"/>
      <c r="E59" s="339">
        <f>IF(Results!L64&lt;=0,0,C59/Results!L64)</f>
        <v>0</v>
      </c>
      <c r="F59" s="340">
        <f t="shared" si="2"/>
        <v>0</v>
      </c>
      <c r="G59" s="343"/>
    </row>
    <row r="60" spans="2:7">
      <c r="B60" s="342">
        <f t="shared" si="1"/>
        <v>2048</v>
      </c>
      <c r="C60" s="240">
        <v>0</v>
      </c>
      <c r="D60" s="258"/>
      <c r="E60" s="339">
        <f>IF(Results!L65&lt;=0,0,C60/Results!L65)</f>
        <v>0</v>
      </c>
      <c r="F60" s="340">
        <f t="shared" si="2"/>
        <v>0</v>
      </c>
      <c r="G60" s="343"/>
    </row>
    <row r="61" spans="2:7">
      <c r="B61" s="342">
        <f t="shared" si="1"/>
        <v>2049</v>
      </c>
      <c r="C61" s="240">
        <v>0</v>
      </c>
      <c r="D61" s="258"/>
      <c r="E61" s="339">
        <f>IF(Results!L66&lt;=0,0,C61/Results!L66)</f>
        <v>0</v>
      </c>
      <c r="F61" s="340">
        <f>ox</f>
        <v>0</v>
      </c>
      <c r="G61" s="343"/>
    </row>
    <row r="62" spans="2:7">
      <c r="B62" s="342">
        <f t="shared" si="1"/>
        <v>2050</v>
      </c>
      <c r="C62" s="240">
        <v>0</v>
      </c>
      <c r="D62" s="258"/>
      <c r="E62" s="339">
        <f>IF(Results!L67&lt;=0,0,C62/Results!L67)</f>
        <v>0</v>
      </c>
      <c r="F62" s="340">
        <f t="shared" si="2"/>
        <v>0</v>
      </c>
      <c r="G62" s="343"/>
    </row>
    <row r="63" spans="2:7">
      <c r="B63" s="342">
        <f t="shared" si="1"/>
        <v>2051</v>
      </c>
      <c r="C63" s="240">
        <v>0</v>
      </c>
      <c r="D63" s="258"/>
      <c r="E63" s="339">
        <f>IF(Results!L68&lt;=0,0,C63/Results!L68)</f>
        <v>0</v>
      </c>
      <c r="F63" s="340">
        <f t="shared" si="2"/>
        <v>0</v>
      </c>
      <c r="G63" s="343"/>
    </row>
    <row r="64" spans="2:7">
      <c r="B64" s="342">
        <f t="shared" si="1"/>
        <v>2052</v>
      </c>
      <c r="C64" s="240">
        <v>0</v>
      </c>
      <c r="D64" s="258"/>
      <c r="E64" s="339">
        <f>IF(Results!L69&lt;=0,0,C64/Results!L69)</f>
        <v>0</v>
      </c>
      <c r="F64" s="340">
        <f t="shared" si="2"/>
        <v>0</v>
      </c>
      <c r="G64" s="343"/>
    </row>
    <row r="65" spans="2:7">
      <c r="B65" s="342">
        <f t="shared" si="1"/>
        <v>2053</v>
      </c>
      <c r="C65" s="240">
        <v>0</v>
      </c>
      <c r="D65" s="258"/>
      <c r="E65" s="339">
        <f>IF(Results!L70&lt;=0,0,C65/Results!L70)</f>
        <v>0</v>
      </c>
      <c r="F65" s="340">
        <f t="shared" si="2"/>
        <v>0</v>
      </c>
      <c r="G65" s="343"/>
    </row>
    <row r="66" spans="2:7">
      <c r="B66" s="342">
        <f t="shared" si="1"/>
        <v>2054</v>
      </c>
      <c r="C66" s="240">
        <v>0</v>
      </c>
      <c r="D66" s="258"/>
      <c r="E66" s="339">
        <f>IF(Results!L71&lt;=0,0,C66/Results!L71)</f>
        <v>0</v>
      </c>
      <c r="F66" s="340">
        <f t="shared" si="2"/>
        <v>0</v>
      </c>
      <c r="G66" s="343"/>
    </row>
    <row r="67" spans="2:7">
      <c r="B67" s="342">
        <f t="shared" si="1"/>
        <v>2055</v>
      </c>
      <c r="C67" s="240">
        <v>0</v>
      </c>
      <c r="D67" s="258"/>
      <c r="E67" s="339">
        <f>IF(Results!L72&lt;=0,0,C67/Results!L72)</f>
        <v>0</v>
      </c>
      <c r="F67" s="340">
        <f t="shared" si="2"/>
        <v>0</v>
      </c>
      <c r="G67" s="343"/>
    </row>
    <row r="68" spans="2:7">
      <c r="B68" s="342">
        <f t="shared" si="1"/>
        <v>2056</v>
      </c>
      <c r="C68" s="240">
        <v>0</v>
      </c>
      <c r="D68" s="258"/>
      <c r="E68" s="339">
        <f>IF(Results!L73&lt;=0,0,C68/Results!L73)</f>
        <v>0</v>
      </c>
      <c r="F68" s="340">
        <f t="shared" si="2"/>
        <v>0</v>
      </c>
      <c r="G68" s="343"/>
    </row>
    <row r="69" spans="2:7">
      <c r="B69" s="342">
        <f t="shared" si="1"/>
        <v>2057</v>
      </c>
      <c r="C69" s="240">
        <v>0</v>
      </c>
      <c r="D69" s="258"/>
      <c r="E69" s="339">
        <f>IF(Results!L74&lt;=0,0,C69/Results!L74)</f>
        <v>0</v>
      </c>
      <c r="F69" s="340">
        <f t="shared" si="2"/>
        <v>0</v>
      </c>
      <c r="G69" s="343"/>
    </row>
    <row r="70" spans="2:7">
      <c r="B70" s="342">
        <f t="shared" si="1"/>
        <v>2058</v>
      </c>
      <c r="C70" s="240">
        <v>0</v>
      </c>
      <c r="D70" s="258"/>
      <c r="E70" s="339">
        <f>IF(Results!L75&lt;=0,0,C70/Results!L75)</f>
        <v>0</v>
      </c>
      <c r="F70" s="340">
        <f t="shared" si="2"/>
        <v>0</v>
      </c>
      <c r="G70" s="343"/>
    </row>
    <row r="71" spans="2:7">
      <c r="B71" s="342">
        <f t="shared" si="1"/>
        <v>2059</v>
      </c>
      <c r="C71" s="240">
        <v>0</v>
      </c>
      <c r="D71" s="258"/>
      <c r="E71" s="339">
        <f>IF(Results!L76&lt;=0,0,C71/Results!L76)</f>
        <v>0</v>
      </c>
      <c r="F71" s="340">
        <f t="shared" si="2"/>
        <v>0</v>
      </c>
      <c r="G71" s="343"/>
    </row>
    <row r="72" spans="2:7">
      <c r="B72" s="342">
        <f t="shared" si="1"/>
        <v>2060</v>
      </c>
      <c r="C72" s="240">
        <v>0</v>
      </c>
      <c r="D72" s="258"/>
      <c r="E72" s="339">
        <f>IF(Results!L77&lt;=0,0,C72/Results!L77)</f>
        <v>0</v>
      </c>
      <c r="F72" s="340">
        <f t="shared" si="2"/>
        <v>0</v>
      </c>
      <c r="G72" s="343"/>
    </row>
    <row r="73" spans="2:7">
      <c r="B73" s="342">
        <f t="shared" si="1"/>
        <v>2061</v>
      </c>
      <c r="C73" s="240">
        <v>0</v>
      </c>
      <c r="D73" s="258"/>
      <c r="E73" s="339">
        <f>IF(Results!L78&lt;=0,0,C73/Results!L78)</f>
        <v>0</v>
      </c>
      <c r="F73" s="340">
        <f t="shared" si="2"/>
        <v>0</v>
      </c>
      <c r="G73" s="343"/>
    </row>
    <row r="74" spans="2:7">
      <c r="B74" s="342">
        <f t="shared" si="1"/>
        <v>2062</v>
      </c>
      <c r="C74" s="240">
        <v>0</v>
      </c>
      <c r="D74" s="258"/>
      <c r="E74" s="339">
        <f>IF(Results!L79&lt;=0,0,C74/Results!L79)</f>
        <v>0</v>
      </c>
      <c r="F74" s="340">
        <f t="shared" si="2"/>
        <v>0</v>
      </c>
      <c r="G74" s="343"/>
    </row>
    <row r="75" spans="2:7">
      <c r="B75" s="342">
        <f t="shared" si="1"/>
        <v>2063</v>
      </c>
      <c r="C75" s="240">
        <v>0</v>
      </c>
      <c r="D75" s="258"/>
      <c r="E75" s="339">
        <f>IF(Results!L80&lt;=0,0,C75/Results!L80)</f>
        <v>0</v>
      </c>
      <c r="F75" s="340">
        <f t="shared" si="2"/>
        <v>0</v>
      </c>
      <c r="G75" s="343"/>
    </row>
    <row r="76" spans="2:7">
      <c r="B76" s="342">
        <f t="shared" si="1"/>
        <v>2064</v>
      </c>
      <c r="C76" s="240">
        <v>0</v>
      </c>
      <c r="D76" s="258"/>
      <c r="E76" s="339">
        <f>IF(Results!L81&lt;=0,0,C76/Results!L81)</f>
        <v>0</v>
      </c>
      <c r="F76" s="340">
        <f t="shared" ref="F76:F92" si="3">ox</f>
        <v>0</v>
      </c>
      <c r="G76" s="343"/>
    </row>
    <row r="77" spans="2:7">
      <c r="B77" s="342">
        <f t="shared" ref="B77:B92" si="4">B76+1</f>
        <v>2065</v>
      </c>
      <c r="C77" s="240">
        <v>0</v>
      </c>
      <c r="D77" s="258"/>
      <c r="E77" s="339">
        <f>IF(Results!L82&lt;=0,0,C77/Results!L82)</f>
        <v>0</v>
      </c>
      <c r="F77" s="340">
        <f t="shared" si="3"/>
        <v>0</v>
      </c>
      <c r="G77" s="343"/>
    </row>
    <row r="78" spans="2:7">
      <c r="B78" s="342">
        <f t="shared" si="4"/>
        <v>2066</v>
      </c>
      <c r="C78" s="240">
        <v>0</v>
      </c>
      <c r="D78" s="258"/>
      <c r="E78" s="339">
        <f>IF(Results!L83&lt;=0,0,C78/Results!L83)</f>
        <v>0</v>
      </c>
      <c r="F78" s="340">
        <f t="shared" si="3"/>
        <v>0</v>
      </c>
      <c r="G78" s="343"/>
    </row>
    <row r="79" spans="2:7">
      <c r="B79" s="342">
        <f t="shared" si="4"/>
        <v>2067</v>
      </c>
      <c r="C79" s="240">
        <v>0</v>
      </c>
      <c r="D79" s="258"/>
      <c r="E79" s="339">
        <f>IF(Results!L84&lt;=0,0,C79/Results!L84)</f>
        <v>0</v>
      </c>
      <c r="F79" s="340">
        <f t="shared" si="3"/>
        <v>0</v>
      </c>
      <c r="G79" s="343"/>
    </row>
    <row r="80" spans="2:7">
      <c r="B80" s="342">
        <f t="shared" si="4"/>
        <v>2068</v>
      </c>
      <c r="C80" s="240">
        <v>0</v>
      </c>
      <c r="D80" s="258"/>
      <c r="E80" s="339">
        <f>IF(Results!L85&lt;=0,0,C80/Results!L85)</f>
        <v>0</v>
      </c>
      <c r="F80" s="340">
        <f t="shared" si="3"/>
        <v>0</v>
      </c>
      <c r="G80" s="343"/>
    </row>
    <row r="81" spans="2:7">
      <c r="B81" s="342">
        <f t="shared" si="4"/>
        <v>2069</v>
      </c>
      <c r="C81" s="240">
        <v>0</v>
      </c>
      <c r="D81" s="258"/>
      <c r="E81" s="339">
        <f>IF(Results!L86&lt;=0,0,C81/Results!L86)</f>
        <v>0</v>
      </c>
      <c r="F81" s="340">
        <f t="shared" si="3"/>
        <v>0</v>
      </c>
      <c r="G81" s="343"/>
    </row>
    <row r="82" spans="2:7">
      <c r="B82" s="342">
        <f t="shared" si="4"/>
        <v>2070</v>
      </c>
      <c r="C82" s="240">
        <v>0</v>
      </c>
      <c r="D82" s="258"/>
      <c r="E82" s="339">
        <f>IF(Results!L87&lt;=0,0,C82/Results!L87)</f>
        <v>0</v>
      </c>
      <c r="F82" s="340">
        <f t="shared" si="3"/>
        <v>0</v>
      </c>
      <c r="G82" s="343"/>
    </row>
    <row r="83" spans="2:7">
      <c r="B83" s="342">
        <f t="shared" si="4"/>
        <v>2071</v>
      </c>
      <c r="C83" s="240">
        <v>0</v>
      </c>
      <c r="D83" s="258"/>
      <c r="E83" s="339">
        <f>IF(Results!L88&lt;=0,0,C83/Results!L88)</f>
        <v>0</v>
      </c>
      <c r="F83" s="340">
        <f t="shared" si="3"/>
        <v>0</v>
      </c>
      <c r="G83" s="343"/>
    </row>
    <row r="84" spans="2:7">
      <c r="B84" s="342">
        <f t="shared" si="4"/>
        <v>2072</v>
      </c>
      <c r="C84" s="240">
        <v>0</v>
      </c>
      <c r="D84" s="258"/>
      <c r="E84" s="339">
        <f>IF(Results!L89&lt;=0,0,C84/Results!L89)</f>
        <v>0</v>
      </c>
      <c r="F84" s="340">
        <f t="shared" si="3"/>
        <v>0</v>
      </c>
      <c r="G84" s="343"/>
    </row>
    <row r="85" spans="2:7">
      <c r="B85" s="342">
        <f t="shared" si="4"/>
        <v>2073</v>
      </c>
      <c r="C85" s="240">
        <v>0</v>
      </c>
      <c r="D85" s="258"/>
      <c r="E85" s="339">
        <f>IF(Results!L90&lt;=0,0,C85/Results!L90)</f>
        <v>0</v>
      </c>
      <c r="F85" s="340">
        <f t="shared" si="3"/>
        <v>0</v>
      </c>
      <c r="G85" s="343"/>
    </row>
    <row r="86" spans="2:7">
      <c r="B86" s="342">
        <f t="shared" si="4"/>
        <v>2074</v>
      </c>
      <c r="C86" s="240">
        <v>0</v>
      </c>
      <c r="D86" s="258"/>
      <c r="E86" s="339">
        <f>IF(Results!L91&lt;=0,0,C86/Results!L91)</f>
        <v>0</v>
      </c>
      <c r="F86" s="340">
        <f t="shared" si="3"/>
        <v>0</v>
      </c>
      <c r="G86" s="343"/>
    </row>
    <row r="87" spans="2:7">
      <c r="B87" s="342">
        <f t="shared" si="4"/>
        <v>2075</v>
      </c>
      <c r="C87" s="240">
        <v>0</v>
      </c>
      <c r="D87" s="258"/>
      <c r="E87" s="339">
        <f>IF(Results!L92&lt;=0,0,C87/Results!L92)</f>
        <v>0</v>
      </c>
      <c r="F87" s="340">
        <f t="shared" si="3"/>
        <v>0</v>
      </c>
      <c r="G87" s="343"/>
    </row>
    <row r="88" spans="2:7">
      <c r="B88" s="342">
        <f t="shared" si="4"/>
        <v>2076</v>
      </c>
      <c r="C88" s="240">
        <v>0</v>
      </c>
      <c r="D88" s="258"/>
      <c r="E88" s="339">
        <f>IF(Results!L93&lt;=0,0,C88/Results!L93)</f>
        <v>0</v>
      </c>
      <c r="F88" s="340">
        <f t="shared" si="3"/>
        <v>0</v>
      </c>
      <c r="G88" s="343"/>
    </row>
    <row r="89" spans="2:7">
      <c r="B89" s="342">
        <f t="shared" si="4"/>
        <v>2077</v>
      </c>
      <c r="C89" s="240">
        <v>0</v>
      </c>
      <c r="D89" s="258"/>
      <c r="E89" s="339">
        <f>IF(Results!L94&lt;=0,0,C89/Results!L94)</f>
        <v>0</v>
      </c>
      <c r="F89" s="340">
        <f t="shared" si="3"/>
        <v>0</v>
      </c>
      <c r="G89" s="343"/>
    </row>
    <row r="90" spans="2:7">
      <c r="B90" s="342">
        <f t="shared" si="4"/>
        <v>2078</v>
      </c>
      <c r="C90" s="240">
        <v>0</v>
      </c>
      <c r="D90" s="258"/>
      <c r="E90" s="339">
        <f>IF(Results!L95&lt;=0,0,C90/Results!L95)</f>
        <v>0</v>
      </c>
      <c r="F90" s="340">
        <f t="shared" si="3"/>
        <v>0</v>
      </c>
      <c r="G90" s="343"/>
    </row>
    <row r="91" spans="2:7">
      <c r="B91" s="342">
        <f t="shared" si="4"/>
        <v>2079</v>
      </c>
      <c r="C91" s="240">
        <v>0</v>
      </c>
      <c r="D91" s="258"/>
      <c r="E91" s="339">
        <f>IF(Results!L96&lt;=0,0,C91/Results!L96)</f>
        <v>0</v>
      </c>
      <c r="F91" s="340">
        <f t="shared" si="3"/>
        <v>0</v>
      </c>
      <c r="G91" s="343"/>
    </row>
    <row r="92" spans="2:7" ht="13.5" thickBot="1">
      <c r="B92" s="344">
        <f t="shared" si="4"/>
        <v>2080</v>
      </c>
      <c r="C92" s="285">
        <v>0</v>
      </c>
      <c r="D92" s="259"/>
      <c r="E92" s="345">
        <f>IF(Results!L97&lt;=0,0,C92/Results!L97)</f>
        <v>0</v>
      </c>
      <c r="F92" s="346">
        <f t="shared" si="3"/>
        <v>0</v>
      </c>
      <c r="G92" s="347"/>
    </row>
    <row r="93" spans="2:7">
      <c r="F93" s="47"/>
    </row>
    <row r="94" spans="2:7">
      <c r="F94" s="47"/>
    </row>
    <row r="95" spans="2:7">
      <c r="F95" s="47"/>
    </row>
    <row r="96" spans="2:7">
      <c r="F96" s="47"/>
    </row>
    <row r="97" spans="6:6">
      <c r="F97" s="47"/>
    </row>
    <row r="98" spans="6:6">
      <c r="F98" s="47"/>
    </row>
    <row r="99" spans="6:6">
      <c r="F99" s="47"/>
    </row>
    <row r="100" spans="6:6">
      <c r="F100" s="47"/>
    </row>
    <row r="101" spans="6:6">
      <c r="F101" s="47"/>
    </row>
    <row r="102" spans="6:6">
      <c r="F102" s="47"/>
    </row>
    <row r="103" spans="6:6">
      <c r="F103" s="47"/>
    </row>
    <row r="104" spans="6:6">
      <c r="F104" s="47"/>
    </row>
    <row r="105" spans="6:6">
      <c r="F105" s="47"/>
    </row>
    <row r="106" spans="6:6">
      <c r="F106" s="47"/>
    </row>
    <row r="107" spans="6:6">
      <c r="F107" s="47"/>
    </row>
    <row r="108" spans="6:6">
      <c r="F108" s="47"/>
    </row>
    <row r="109" spans="6:6">
      <c r="F109" s="47"/>
    </row>
    <row r="110" spans="6:6">
      <c r="F110" s="47"/>
    </row>
    <row r="111" spans="6:6">
      <c r="F111" s="47"/>
    </row>
    <row r="112" spans="6:6">
      <c r="F112" s="47"/>
    </row>
    <row r="113" spans="6:6">
      <c r="F113" s="47"/>
    </row>
    <row r="114" spans="6:6">
      <c r="F114" s="47"/>
    </row>
    <row r="115" spans="6:6">
      <c r="F115" s="47"/>
    </row>
    <row r="116" spans="6:6">
      <c r="F116" s="47"/>
    </row>
    <row r="117" spans="6:6">
      <c r="F117" s="47"/>
    </row>
  </sheetData>
  <sheetProtection password="CF65" sheet="1" objects="1" scenarios="1"/>
  <phoneticPr fontId="16" type="noConversion"/>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indexed="33"/>
  </sheetPr>
  <dimension ref="A1:AH97"/>
  <sheetViews>
    <sheetView tabSelected="1" topLeftCell="B24" zoomScale="85" zoomScaleNormal="85" workbookViewId="0">
      <selection activeCell="M34" sqref="M34"/>
    </sheetView>
  </sheetViews>
  <sheetFormatPr defaultColWidth="8.85546875" defaultRowHeight="12.75"/>
  <cols>
    <col min="1" max="1" width="8.85546875" style="640"/>
    <col min="2" max="2" width="7" style="636" customWidth="1"/>
    <col min="3" max="3" width="8.85546875" style="636"/>
    <col min="4" max="4" width="10.85546875" style="636" customWidth="1"/>
    <col min="5" max="10" width="8.85546875" style="636"/>
    <col min="11" max="11" width="10.42578125" style="636" customWidth="1"/>
    <col min="12" max="12" width="8.85546875" style="636"/>
    <col min="13" max="13" width="9.42578125" style="636" bestFit="1" customWidth="1"/>
    <col min="14" max="14" width="3" style="636" customWidth="1"/>
    <col min="15" max="15" width="14.85546875" style="637" customWidth="1"/>
    <col min="16" max="16" width="8.28515625" style="636" customWidth="1"/>
    <col min="17" max="17" width="2" style="639" customWidth="1"/>
    <col min="18" max="20" width="8.85546875" style="640"/>
    <col min="21" max="21" width="10.7109375" style="640" customWidth="1"/>
    <col min="22" max="27" width="8.85546875" style="640"/>
    <col min="28" max="28" width="8.85546875" style="636"/>
    <col min="29" max="29" width="8.85546875" style="640"/>
    <col min="30" max="30" width="10.7109375" style="640" customWidth="1"/>
    <col min="31" max="31" width="2.7109375" style="640" customWidth="1"/>
    <col min="32" max="32" width="15.42578125" style="640" customWidth="1"/>
    <col min="33" max="16384" width="8.85546875" style="640"/>
  </cols>
  <sheetData>
    <row r="1" spans="1:32">
      <c r="A1" s="635"/>
      <c r="P1" s="638"/>
    </row>
    <row r="2" spans="1:32" ht="15.75">
      <c r="A2" s="635"/>
      <c r="B2" s="641" t="s">
        <v>94</v>
      </c>
      <c r="D2" s="641"/>
      <c r="E2" s="641"/>
    </row>
    <row r="3" spans="1:32" ht="15.75">
      <c r="A3" s="635"/>
      <c r="B3" s="641"/>
      <c r="D3" s="641"/>
      <c r="E3" s="641"/>
      <c r="I3" s="642"/>
      <c r="J3" s="643"/>
      <c r="K3" s="643"/>
      <c r="L3" s="643"/>
      <c r="M3" s="643"/>
      <c r="N3" s="643"/>
      <c r="O3" s="644"/>
      <c r="AB3" s="643"/>
    </row>
    <row r="4" spans="1:32" ht="16.5" thickBot="1">
      <c r="A4" s="635"/>
      <c r="B4" s="642" t="s">
        <v>265</v>
      </c>
      <c r="D4" s="641"/>
      <c r="E4" s="642" t="s">
        <v>276</v>
      </c>
      <c r="H4" s="642" t="s">
        <v>30</v>
      </c>
      <c r="I4" s="642"/>
      <c r="J4" s="643"/>
      <c r="K4" s="643"/>
      <c r="L4" s="643"/>
      <c r="M4" s="643"/>
      <c r="N4" s="643"/>
      <c r="O4" s="644"/>
      <c r="AB4" s="643"/>
    </row>
    <row r="5" spans="1:32" ht="13.5" thickBot="1">
      <c r="A5" s="635"/>
      <c r="B5" s="645" t="str">
        <f>city</f>
        <v>Balikpapan</v>
      </c>
      <c r="C5" s="646"/>
      <c r="D5" s="646"/>
      <c r="E5" s="645" t="str">
        <f>province</f>
        <v>Kalimantan Timur</v>
      </c>
      <c r="F5" s="646"/>
      <c r="G5" s="646"/>
      <c r="H5" s="645" t="str">
        <f>country</f>
        <v>Indonesia</v>
      </c>
      <c r="I5" s="646"/>
      <c r="J5" s="647"/>
      <c r="K5" s="643"/>
      <c r="L5" s="643"/>
      <c r="M5" s="643"/>
      <c r="N5" s="643"/>
      <c r="O5" s="644"/>
      <c r="AB5" s="643"/>
    </row>
    <row r="6" spans="1:32">
      <c r="A6" s="635"/>
      <c r="C6" s="642"/>
      <c r="D6" s="642"/>
      <c r="E6" s="642"/>
    </row>
    <row r="7" spans="1:32">
      <c r="A7" s="635"/>
      <c r="B7" s="636" t="s">
        <v>35</v>
      </c>
      <c r="P7" s="638"/>
    </row>
    <row r="8" spans="1:32">
      <c r="A8" s="635"/>
      <c r="B8" s="636" t="s">
        <v>37</v>
      </c>
      <c r="P8" s="638"/>
    </row>
    <row r="9" spans="1:32">
      <c r="B9" s="648"/>
      <c r="P9" s="638"/>
    </row>
    <row r="10" spans="1:32">
      <c r="P10" s="649"/>
    </row>
    <row r="11" spans="1:32" ht="13.5" thickBot="1">
      <c r="A11" s="650"/>
      <c r="P11" s="650"/>
      <c r="Q11" s="651"/>
    </row>
    <row r="12" spans="1:32" ht="13.5" thickBot="1">
      <c r="A12" s="652"/>
      <c r="B12" s="653"/>
      <c r="C12" s="943" t="s">
        <v>91</v>
      </c>
      <c r="D12" s="944"/>
      <c r="E12" s="944"/>
      <c r="F12" s="944"/>
      <c r="G12" s="944"/>
      <c r="H12" s="944"/>
      <c r="I12" s="944"/>
      <c r="J12" s="944"/>
      <c r="K12" s="944"/>
      <c r="L12" s="944"/>
      <c r="M12" s="945"/>
      <c r="N12" s="654"/>
      <c r="O12" s="655"/>
      <c r="P12" s="652"/>
      <c r="Q12" s="651"/>
      <c r="S12" s="653"/>
      <c r="T12" s="943" t="s">
        <v>91</v>
      </c>
      <c r="U12" s="944"/>
      <c r="V12" s="944"/>
      <c r="W12" s="944"/>
      <c r="X12" s="944"/>
      <c r="Y12" s="944"/>
      <c r="Z12" s="944"/>
      <c r="AA12" s="944"/>
      <c r="AB12" s="944"/>
      <c r="AC12" s="944"/>
      <c r="AD12" s="945"/>
      <c r="AE12" s="654"/>
      <c r="AF12" s="656"/>
    </row>
    <row r="13" spans="1:32" ht="39" thickBot="1">
      <c r="A13" s="657"/>
      <c r="B13" s="369" t="s">
        <v>1</v>
      </c>
      <c r="C13" s="370" t="s">
        <v>228</v>
      </c>
      <c r="D13" s="371" t="s">
        <v>268</v>
      </c>
      <c r="E13" s="371" t="s">
        <v>267</v>
      </c>
      <c r="F13" s="371" t="s">
        <v>272</v>
      </c>
      <c r="G13" s="371" t="s">
        <v>2</v>
      </c>
      <c r="H13" s="371" t="s">
        <v>3</v>
      </c>
      <c r="I13" s="372" t="s">
        <v>146</v>
      </c>
      <c r="J13" s="372" t="s">
        <v>95</v>
      </c>
      <c r="K13" s="372" t="s">
        <v>308</v>
      </c>
      <c r="L13" s="373" t="s">
        <v>27</v>
      </c>
      <c r="M13" s="372" t="s">
        <v>5</v>
      </c>
      <c r="N13" s="374"/>
      <c r="O13" s="584" t="s">
        <v>4</v>
      </c>
      <c r="P13" s="657"/>
      <c r="Q13" s="651"/>
      <c r="S13" s="369" t="s">
        <v>1</v>
      </c>
      <c r="T13" s="370" t="s">
        <v>228</v>
      </c>
      <c r="U13" s="371" t="s">
        <v>268</v>
      </c>
      <c r="V13" s="371" t="s">
        <v>267</v>
      </c>
      <c r="W13" s="371" t="s">
        <v>272</v>
      </c>
      <c r="X13" s="371" t="s">
        <v>2</v>
      </c>
      <c r="Y13" s="371" t="s">
        <v>3</v>
      </c>
      <c r="Z13" s="372" t="s">
        <v>146</v>
      </c>
      <c r="AA13" s="372" t="s">
        <v>95</v>
      </c>
      <c r="AB13" s="372" t="s">
        <v>308</v>
      </c>
      <c r="AC13" s="373" t="s">
        <v>27</v>
      </c>
      <c r="AD13" s="372" t="s">
        <v>5</v>
      </c>
      <c r="AE13" s="374"/>
      <c r="AF13" s="375" t="s">
        <v>4</v>
      </c>
    </row>
    <row r="14" spans="1:32" ht="13.5" thickBot="1">
      <c r="A14" s="657"/>
      <c r="B14" s="658"/>
      <c r="C14" s="659" t="s">
        <v>81</v>
      </c>
      <c r="D14" s="660" t="s">
        <v>87</v>
      </c>
      <c r="E14" s="660" t="s">
        <v>88</v>
      </c>
      <c r="F14" s="660" t="s">
        <v>275</v>
      </c>
      <c r="G14" s="660" t="s">
        <v>89</v>
      </c>
      <c r="H14" s="660" t="s">
        <v>82</v>
      </c>
      <c r="I14" s="661" t="s">
        <v>92</v>
      </c>
      <c r="J14" s="662" t="s">
        <v>93</v>
      </c>
      <c r="K14" s="662" t="s">
        <v>316</v>
      </c>
      <c r="L14" s="663" t="s">
        <v>194</v>
      </c>
      <c r="M14" s="662" t="s">
        <v>162</v>
      </c>
      <c r="N14" s="664"/>
      <c r="O14" s="665" t="s">
        <v>163</v>
      </c>
      <c r="P14" s="657"/>
      <c r="Q14" s="651"/>
      <c r="S14" s="658"/>
      <c r="T14" s="659" t="s">
        <v>81</v>
      </c>
      <c r="U14" s="660" t="s">
        <v>87</v>
      </c>
      <c r="V14" s="660" t="s">
        <v>88</v>
      </c>
      <c r="W14" s="660" t="s">
        <v>275</v>
      </c>
      <c r="X14" s="660" t="s">
        <v>89</v>
      </c>
      <c r="Y14" s="660" t="s">
        <v>82</v>
      </c>
      <c r="Z14" s="661" t="s">
        <v>92</v>
      </c>
      <c r="AA14" s="662" t="s">
        <v>93</v>
      </c>
      <c r="AB14" s="662" t="s">
        <v>316</v>
      </c>
      <c r="AC14" s="663" t="s">
        <v>194</v>
      </c>
      <c r="AD14" s="662" t="s">
        <v>162</v>
      </c>
      <c r="AE14" s="664"/>
      <c r="AF14" s="666" t="s">
        <v>163</v>
      </c>
    </row>
    <row r="15" spans="1:32" ht="13.5" thickBot="1">
      <c r="B15" s="667"/>
      <c r="C15" s="668" t="s">
        <v>15</v>
      </c>
      <c r="D15" s="669" t="s">
        <v>15</v>
      </c>
      <c r="E15" s="669" t="s">
        <v>15</v>
      </c>
      <c r="F15" s="669" t="s">
        <v>15</v>
      </c>
      <c r="G15" s="669" t="s">
        <v>15</v>
      </c>
      <c r="H15" s="669" t="s">
        <v>15</v>
      </c>
      <c r="I15" s="670" t="s">
        <v>15</v>
      </c>
      <c r="J15" s="670" t="s">
        <v>15</v>
      </c>
      <c r="K15" s="670" t="s">
        <v>15</v>
      </c>
      <c r="L15" s="671" t="s">
        <v>15</v>
      </c>
      <c r="M15" s="670" t="s">
        <v>15</v>
      </c>
      <c r="N15" s="672"/>
      <c r="O15" s="673" t="s">
        <v>15</v>
      </c>
      <c r="P15" s="640"/>
      <c r="Q15" s="651"/>
      <c r="S15" s="667"/>
      <c r="T15" s="668" t="s">
        <v>15</v>
      </c>
      <c r="U15" s="669" t="s">
        <v>15</v>
      </c>
      <c r="V15" s="669" t="s">
        <v>15</v>
      </c>
      <c r="W15" s="669" t="s">
        <v>15</v>
      </c>
      <c r="X15" s="669" t="s">
        <v>15</v>
      </c>
      <c r="Y15" s="669" t="s">
        <v>15</v>
      </c>
      <c r="Z15" s="670" t="s">
        <v>15</v>
      </c>
      <c r="AA15" s="670" t="s">
        <v>15</v>
      </c>
      <c r="AB15" s="670" t="s">
        <v>15</v>
      </c>
      <c r="AC15" s="671" t="s">
        <v>15</v>
      </c>
      <c r="AD15" s="670" t="s">
        <v>15</v>
      </c>
      <c r="AE15" s="672"/>
      <c r="AF15" s="674" t="s">
        <v>15</v>
      </c>
    </row>
    <row r="16" spans="1:32" ht="13.5" thickBot="1">
      <c r="B16" s="675"/>
      <c r="C16" s="676"/>
      <c r="D16" s="677"/>
      <c r="E16" s="677"/>
      <c r="F16" s="677"/>
      <c r="G16" s="677"/>
      <c r="H16" s="677"/>
      <c r="I16" s="678"/>
      <c r="J16" s="678"/>
      <c r="K16" s="679"/>
      <c r="L16" s="680"/>
      <c r="M16" s="679"/>
      <c r="N16" s="681"/>
      <c r="O16" s="682"/>
      <c r="P16" s="640"/>
      <c r="Q16" s="651"/>
      <c r="S16" s="675"/>
      <c r="T16" s="676"/>
      <c r="U16" s="677"/>
      <c r="V16" s="677"/>
      <c r="W16" s="677"/>
      <c r="X16" s="677"/>
      <c r="Y16" s="677"/>
      <c r="Z16" s="678"/>
      <c r="AA16" s="678"/>
      <c r="AB16" s="679"/>
      <c r="AC16" s="680"/>
      <c r="AD16" s="679"/>
      <c r="AE16" s="681"/>
      <c r="AF16" s="683"/>
    </row>
    <row r="17" spans="2:34">
      <c r="B17" s="684">
        <f>year</f>
        <v>2000</v>
      </c>
      <c r="C17" s="872">
        <f>IF(Select2=1,Food!$K19,"")</f>
        <v>0</v>
      </c>
      <c r="D17" s="873">
        <f>IF(Select2=1,Paper!$K19,"")</f>
        <v>0</v>
      </c>
      <c r="E17" s="873">
        <f>IF(Select2=1,Nappies!$K19,"")</f>
        <v>0</v>
      </c>
      <c r="F17" s="873">
        <f>IF(Select2=1,Garden!$K19,"")</f>
        <v>0</v>
      </c>
      <c r="G17" s="873">
        <f>IF(Select2=1,Wood!$K19,"")</f>
        <v>0</v>
      </c>
      <c r="H17" s="873">
        <f>IF(Select2=1,Textiles!$K19,"")</f>
        <v>0</v>
      </c>
      <c r="I17" s="874">
        <f>Sludge!K19</f>
        <v>0</v>
      </c>
      <c r="J17" s="875" t="str">
        <f>IF(Select2=2,MSW!$K19,"")</f>
        <v/>
      </c>
      <c r="K17" s="874">
        <f>Industry!$K19</f>
        <v>0</v>
      </c>
      <c r="L17" s="876">
        <f>SUM(C17:K17)</f>
        <v>0</v>
      </c>
      <c r="M17" s="877">
        <f>Recovery_OX!C12</f>
        <v>0</v>
      </c>
      <c r="N17" s="649"/>
      <c r="O17" s="691">
        <f>(L17-M17)*(1-Recovery_OX!F12)</f>
        <v>0</v>
      </c>
      <c r="P17" s="692"/>
      <c r="Q17" s="651"/>
      <c r="S17" s="684">
        <f>year</f>
        <v>2000</v>
      </c>
      <c r="T17" s="685">
        <f>IF(Select2=1,Food!$W19,"")</f>
        <v>0</v>
      </c>
      <c r="U17" s="686">
        <f>IF(Select2=1,Paper!$W19,"")</f>
        <v>0</v>
      </c>
      <c r="V17" s="686">
        <f>IF(Select2=1,Nappies!$W19,"")</f>
        <v>0</v>
      </c>
      <c r="W17" s="686">
        <f>IF(Select2=1,Garden!$W19,"")</f>
        <v>0</v>
      </c>
      <c r="X17" s="686">
        <f>IF(Select2=1,Wood!$W19,"")</f>
        <v>0</v>
      </c>
      <c r="Y17" s="686">
        <f>IF(Select2=1,Textiles!$W19,"")</f>
        <v>0</v>
      </c>
      <c r="Z17" s="687">
        <f>Sludge!W19</f>
        <v>0</v>
      </c>
      <c r="AA17" s="688" t="str">
        <f>IF(Select2=2,MSW!$W19,"")</f>
        <v/>
      </c>
      <c r="AB17" s="687">
        <f>Industry!$W19</f>
        <v>0</v>
      </c>
      <c r="AC17" s="689">
        <f t="shared" ref="AC17:AC48" si="0">SUM(T17:AA17)</f>
        <v>0</v>
      </c>
      <c r="AD17" s="690">
        <f>Recovery_OX!R12</f>
        <v>0</v>
      </c>
      <c r="AE17" s="649"/>
      <c r="AF17" s="693">
        <f>(AC17-AD17)*(1-Recovery_OX!U12)</f>
        <v>0</v>
      </c>
      <c r="AH17" s="636"/>
    </row>
    <row r="18" spans="2:34">
      <c r="B18" s="694">
        <f t="shared" ref="B18:B81" si="1">B17+1</f>
        <v>2001</v>
      </c>
      <c r="C18" s="878">
        <f>IF(Select2=1,Food!$K20,"")</f>
        <v>0.30322115747543238</v>
      </c>
      <c r="D18" s="879">
        <f>IF(Select2=1,Paper!$K20,"")</f>
        <v>1.5922950917670736E-2</v>
      </c>
      <c r="E18" s="873">
        <f>IF(Select2=1,Nappies!$K20,"")</f>
        <v>5.0210258788695651E-2</v>
      </c>
      <c r="F18" s="879">
        <f>IF(Select2=1,Garden!$K20,"")</f>
        <v>0</v>
      </c>
      <c r="G18" s="873">
        <f>IF(Select2=1,Wood!$K20,"")</f>
        <v>0</v>
      </c>
      <c r="H18" s="879">
        <f>IF(Select2=1,Textiles!$K20,"")</f>
        <v>3.7699567867971622E-3</v>
      </c>
      <c r="I18" s="880">
        <f>Sludge!K20</f>
        <v>0</v>
      </c>
      <c r="J18" s="880" t="str">
        <f>IF(Select2=2,MSW!$K20,"")</f>
        <v/>
      </c>
      <c r="K18" s="880">
        <f>Industry!$K20</f>
        <v>0</v>
      </c>
      <c r="L18" s="881">
        <f>SUM(C18:K18)</f>
        <v>0.37312432396859596</v>
      </c>
      <c r="M18" s="882">
        <f>Recovery_OX!C13</f>
        <v>0</v>
      </c>
      <c r="N18" s="649"/>
      <c r="O18" s="700">
        <f>(L18-M18)*(1-Recovery_OX!F13)</f>
        <v>0.37312432396859596</v>
      </c>
      <c r="P18" s="692"/>
      <c r="Q18" s="651"/>
      <c r="S18" s="694">
        <f t="shared" ref="S18:S81" si="2">S17+1</f>
        <v>2001</v>
      </c>
      <c r="T18" s="695">
        <f>IF(Select2=1,Food!$W20,"")</f>
        <v>0.20286874942602529</v>
      </c>
      <c r="U18" s="696">
        <f>IF(Select2=1,Paper!$W20,"")</f>
        <v>3.2898658920807303E-2</v>
      </c>
      <c r="V18" s="686">
        <f>IF(Select2=1,Nappies!$W20,"")</f>
        <v>0</v>
      </c>
      <c r="W18" s="696">
        <f>IF(Select2=1,Garden!$W20,"")</f>
        <v>0</v>
      </c>
      <c r="X18" s="686">
        <f>IF(Select2=1,Wood!$W20,"")</f>
        <v>1.3808159758402669E-2</v>
      </c>
      <c r="Y18" s="696">
        <f>IF(Select2=1,Textiles!$W20,"")</f>
        <v>4.1314594923804512E-3</v>
      </c>
      <c r="Z18" s="688">
        <f>Sludge!W20</f>
        <v>0</v>
      </c>
      <c r="AA18" s="688" t="str">
        <f>IF(Select2=2,MSW!$W20,"")</f>
        <v/>
      </c>
      <c r="AB18" s="697">
        <f>Industry!$W20</f>
        <v>0</v>
      </c>
      <c r="AC18" s="698">
        <f t="shared" si="0"/>
        <v>0.25370702759761571</v>
      </c>
      <c r="AD18" s="699">
        <f>Recovery_OX!R13</f>
        <v>0</v>
      </c>
      <c r="AE18" s="649"/>
      <c r="AF18" s="701">
        <f>(AC18-AD18)*(1-Recovery_OX!U13)</f>
        <v>0.25370702759761571</v>
      </c>
      <c r="AH18" s="636"/>
    </row>
    <row r="19" spans="2:34">
      <c r="B19" s="694">
        <f t="shared" si="1"/>
        <v>2002</v>
      </c>
      <c r="C19" s="878">
        <f>IF(Select2=1,Food!$K21,"")</f>
        <v>0.51036099049736583</v>
      </c>
      <c r="D19" s="879">
        <f>IF(Select2=1,Paper!$K21,"")</f>
        <v>3.0973403315887514E-2</v>
      </c>
      <c r="E19" s="873">
        <f>IF(Select2=1,Nappies!$K21,"")</f>
        <v>9.3214138892069823E-2</v>
      </c>
      <c r="F19" s="879">
        <f>IF(Select2=1,Garden!$K21,"")</f>
        <v>0</v>
      </c>
      <c r="G19" s="873">
        <f>IF(Select2=1,Wood!$K21,"")</f>
        <v>0</v>
      </c>
      <c r="H19" s="879">
        <f>IF(Select2=1,Textiles!$K21,"")</f>
        <v>7.3333386910933943E-3</v>
      </c>
      <c r="I19" s="880">
        <f>Sludge!K21</f>
        <v>0</v>
      </c>
      <c r="J19" s="880" t="str">
        <f>IF(Select2=2,MSW!$K21,"")</f>
        <v/>
      </c>
      <c r="K19" s="880">
        <f>Industry!$K21</f>
        <v>0</v>
      </c>
      <c r="L19" s="881">
        <f t="shared" ref="L19:L82" si="3">SUM(C19:K19)</f>
        <v>0.64188187139641661</v>
      </c>
      <c r="M19" s="882">
        <f>Recovery_OX!C14</f>
        <v>0</v>
      </c>
      <c r="N19" s="649"/>
      <c r="O19" s="700">
        <f>(L19-M19)*(1-Recovery_OX!F14)</f>
        <v>0.64188187139641661</v>
      </c>
      <c r="P19" s="692"/>
      <c r="Q19" s="651"/>
      <c r="S19" s="694">
        <f t="shared" si="2"/>
        <v>2002</v>
      </c>
      <c r="T19" s="695">
        <f>IF(Select2=1,Food!$W21,"")</f>
        <v>0.34145472156380408</v>
      </c>
      <c r="U19" s="696">
        <f>IF(Select2=1,Paper!$W21,"")</f>
        <v>6.3994634950180831E-2</v>
      </c>
      <c r="V19" s="686">
        <f>IF(Select2=1,Nappies!$W21,"")</f>
        <v>0</v>
      </c>
      <c r="W19" s="696">
        <f>IF(Select2=1,Garden!$W21,"")</f>
        <v>0</v>
      </c>
      <c r="X19" s="686">
        <f>IF(Select2=1,Wood!$W21,"")</f>
        <v>2.7318292063480756E-2</v>
      </c>
      <c r="Y19" s="696">
        <f>IF(Select2=1,Textiles!$W21,"")</f>
        <v>8.036535551883172E-3</v>
      </c>
      <c r="Z19" s="688">
        <f>Sludge!W21</f>
        <v>0</v>
      </c>
      <c r="AA19" s="688" t="str">
        <f>IF(Select2=2,MSW!$W21,"")</f>
        <v/>
      </c>
      <c r="AB19" s="697">
        <f>Industry!$W21</f>
        <v>0</v>
      </c>
      <c r="AC19" s="698">
        <f t="shared" si="0"/>
        <v>0.4408041841293488</v>
      </c>
      <c r="AD19" s="699">
        <f>Recovery_OX!R14</f>
        <v>0</v>
      </c>
      <c r="AE19" s="649"/>
      <c r="AF19" s="701">
        <f>(AC19-AD19)*(1-Recovery_OX!U14)</f>
        <v>0.4408041841293488</v>
      </c>
      <c r="AH19" s="636"/>
    </row>
    <row r="20" spans="2:34">
      <c r="B20" s="694">
        <f t="shared" si="1"/>
        <v>2003</v>
      </c>
      <c r="C20" s="878">
        <f>IF(Select2=1,Food!$K22,"")</f>
        <v>0.65613127791204906</v>
      </c>
      <c r="D20" s="879">
        <f>IF(Select2=1,Paper!$K22,"")</f>
        <v>4.5369755774009375E-2</v>
      </c>
      <c r="E20" s="873">
        <f>IF(Select2=1,Nappies!$K22,"")</f>
        <v>0.13064092979057187</v>
      </c>
      <c r="F20" s="879">
        <f>IF(Select2=1,Garden!$K22,"")</f>
        <v>0</v>
      </c>
      <c r="G20" s="873">
        <f>IF(Select2=1,Wood!$K22,"")</f>
        <v>0</v>
      </c>
      <c r="H20" s="879">
        <f>IF(Select2=1,Textiles!$K22,"")</f>
        <v>1.0741854294466231E-2</v>
      </c>
      <c r="I20" s="880">
        <f>Sludge!K22</f>
        <v>0</v>
      </c>
      <c r="J20" s="880" t="str">
        <f>IF(Select2=2,MSW!$K22,"")</f>
        <v/>
      </c>
      <c r="K20" s="880">
        <f>Industry!$K22</f>
        <v>0</v>
      </c>
      <c r="L20" s="881">
        <f t="shared" si="3"/>
        <v>0.84288381777109656</v>
      </c>
      <c r="M20" s="882">
        <f>Recovery_OX!C15</f>
        <v>0</v>
      </c>
      <c r="N20" s="649"/>
      <c r="O20" s="700">
        <f>(L20-M20)*(1-Recovery_OX!F15)</f>
        <v>0.84288381777109656</v>
      </c>
      <c r="P20" s="692"/>
      <c r="Q20" s="651"/>
      <c r="S20" s="694">
        <f t="shared" si="2"/>
        <v>2003</v>
      </c>
      <c r="T20" s="695">
        <f>IF(Select2=1,Food!$W22,"")</f>
        <v>0.43898167567710689</v>
      </c>
      <c r="U20" s="696">
        <f>IF(Select2=1,Paper!$W22,"")</f>
        <v>9.3739164822333423E-2</v>
      </c>
      <c r="V20" s="686">
        <f>IF(Select2=1,Nappies!$W22,"")</f>
        <v>0</v>
      </c>
      <c r="W20" s="696">
        <f>IF(Select2=1,Garden!$W22,"")</f>
        <v>0</v>
      </c>
      <c r="X20" s="686">
        <f>IF(Select2=1,Wood!$W22,"")</f>
        <v>4.067888754566297E-2</v>
      </c>
      <c r="Y20" s="696">
        <f>IF(Select2=1,Textiles!$W22,"")</f>
        <v>1.1771895117223265E-2</v>
      </c>
      <c r="Z20" s="688">
        <f>Sludge!W22</f>
        <v>0</v>
      </c>
      <c r="AA20" s="688" t="str">
        <f>IF(Select2=2,MSW!$W22,"")</f>
        <v/>
      </c>
      <c r="AB20" s="697">
        <f>Industry!$W22</f>
        <v>0</v>
      </c>
      <c r="AC20" s="698">
        <f t="shared" si="0"/>
        <v>0.58517162316232663</v>
      </c>
      <c r="AD20" s="699">
        <f>Recovery_OX!R15</f>
        <v>0</v>
      </c>
      <c r="AE20" s="649"/>
      <c r="AF20" s="701">
        <f>(AC20-AD20)*(1-Recovery_OX!U15)</f>
        <v>0.58517162316232663</v>
      </c>
      <c r="AH20" s="636"/>
    </row>
    <row r="21" spans="2:34">
      <c r="B21" s="694">
        <f t="shared" si="1"/>
        <v>2004</v>
      </c>
      <c r="C21" s="878">
        <f>IF(Select2=1,Food!$K23,"")</f>
        <v>0.75942573226643639</v>
      </c>
      <c r="D21" s="879">
        <f>IF(Select2=1,Paper!$K23,"")</f>
        <v>5.9085936225463556E-2</v>
      </c>
      <c r="E21" s="873">
        <f>IF(Select2=1,Nappies!$K23,"")</f>
        <v>0.16314086915182754</v>
      </c>
      <c r="F21" s="879">
        <f>IF(Select2=1,Garden!$K23,"")</f>
        <v>0</v>
      </c>
      <c r="G21" s="873">
        <f>IF(Select2=1,Wood!$K23,"")</f>
        <v>0</v>
      </c>
      <c r="H21" s="879">
        <f>IF(Select2=1,Textiles!$K23,"")</f>
        <v>1.3989330710694393E-2</v>
      </c>
      <c r="I21" s="880">
        <f>Sludge!K23</f>
        <v>0</v>
      </c>
      <c r="J21" s="880" t="str">
        <f>IF(Select2=2,MSW!$K23,"")</f>
        <v/>
      </c>
      <c r="K21" s="880">
        <f>Industry!$K23</f>
        <v>0</v>
      </c>
      <c r="L21" s="881">
        <f t="shared" si="3"/>
        <v>0.99564186835442192</v>
      </c>
      <c r="M21" s="882">
        <f>Recovery_OX!C16</f>
        <v>0</v>
      </c>
      <c r="N21" s="649"/>
      <c r="O21" s="700">
        <f>(L21-M21)*(1-Recovery_OX!F16)</f>
        <v>0.99564186835442192</v>
      </c>
      <c r="P21" s="692"/>
      <c r="Q21" s="651"/>
      <c r="S21" s="694">
        <f t="shared" si="2"/>
        <v>2004</v>
      </c>
      <c r="T21" s="695">
        <f>IF(Select2=1,Food!$W23,"")</f>
        <v>0.50809036503106797</v>
      </c>
      <c r="U21" s="696">
        <f>IF(Select2=1,Paper!$W23,"")</f>
        <v>0.12207838063112306</v>
      </c>
      <c r="V21" s="686">
        <f>IF(Select2=1,Nappies!$W23,"")</f>
        <v>0</v>
      </c>
      <c r="W21" s="696">
        <f>IF(Select2=1,Garden!$W23,"")</f>
        <v>0</v>
      </c>
      <c r="X21" s="686">
        <f>IF(Select2=1,Wood!$W23,"")</f>
        <v>5.3834132128064045E-2</v>
      </c>
      <c r="Y21" s="696">
        <f>IF(Select2=1,Textiles!$W23,"")</f>
        <v>1.5330773381582893E-2</v>
      </c>
      <c r="Z21" s="688">
        <f>Sludge!W23</f>
        <v>0</v>
      </c>
      <c r="AA21" s="688" t="str">
        <f>IF(Select2=2,MSW!$W23,"")</f>
        <v/>
      </c>
      <c r="AB21" s="697">
        <f>Industry!$W23</f>
        <v>0</v>
      </c>
      <c r="AC21" s="698">
        <f t="shared" si="0"/>
        <v>0.69933365117183799</v>
      </c>
      <c r="AD21" s="699">
        <f>Recovery_OX!R16</f>
        <v>0</v>
      </c>
      <c r="AE21" s="649"/>
      <c r="AF21" s="701">
        <f>(AC21-AD21)*(1-Recovery_OX!U16)</f>
        <v>0.69933365117183799</v>
      </c>
    </row>
    <row r="22" spans="2:34">
      <c r="B22" s="694">
        <f t="shared" si="1"/>
        <v>2005</v>
      </c>
      <c r="C22" s="878">
        <f>IF(Select2=1,Food!$K24,"")</f>
        <v>0.83037584192054803</v>
      </c>
      <c r="D22" s="879">
        <f>IF(Select2=1,Paper!$K24,"")</f>
        <v>7.1964602492924787E-2</v>
      </c>
      <c r="E22" s="873">
        <f>IF(Select2=1,Nappies!$K24,"")</f>
        <v>0.1908430439786481</v>
      </c>
      <c r="F22" s="879">
        <f>IF(Select2=1,Garden!$K24,"")</f>
        <v>0</v>
      </c>
      <c r="G22" s="873">
        <f>IF(Select2=1,Wood!$K24,"")</f>
        <v>0</v>
      </c>
      <c r="H22" s="879">
        <f>IF(Select2=1,Textiles!$K24,"")</f>
        <v>1.7038515221213094E-2</v>
      </c>
      <c r="I22" s="880">
        <f>Sludge!K24</f>
        <v>0</v>
      </c>
      <c r="J22" s="880" t="str">
        <f>IF(Select2=2,MSW!$K24,"")</f>
        <v/>
      </c>
      <c r="K22" s="880">
        <f>Industry!$K24</f>
        <v>0</v>
      </c>
      <c r="L22" s="881">
        <f t="shared" si="3"/>
        <v>1.1102220036133341</v>
      </c>
      <c r="M22" s="882">
        <f>Recovery_OX!C17</f>
        <v>0</v>
      </c>
      <c r="N22" s="649"/>
      <c r="O22" s="700">
        <f>(L22-M22)*(1-Recovery_OX!F17)</f>
        <v>1.1102220036133341</v>
      </c>
      <c r="P22" s="640"/>
      <c r="Q22" s="651"/>
      <c r="S22" s="694">
        <f t="shared" si="2"/>
        <v>2005</v>
      </c>
      <c r="T22" s="695">
        <f>IF(Select2=1,Food!$W24,"")</f>
        <v>0.55555921627155314</v>
      </c>
      <c r="U22" s="696">
        <f>IF(Select2=1,Paper!$W24,"")</f>
        <v>0.14868719523331564</v>
      </c>
      <c r="V22" s="686">
        <f>IF(Select2=1,Nappies!$W24,"")</f>
        <v>0</v>
      </c>
      <c r="W22" s="696">
        <f>IF(Select2=1,Garden!$W24,"")</f>
        <v>0</v>
      </c>
      <c r="X22" s="686">
        <f>IF(Select2=1,Wood!$W24,"")</f>
        <v>6.6614767305940445E-2</v>
      </c>
      <c r="Y22" s="696">
        <f>IF(Select2=1,Textiles!$W24,"")</f>
        <v>1.8672345447904755E-2</v>
      </c>
      <c r="Z22" s="688">
        <f>Sludge!W24</f>
        <v>0</v>
      </c>
      <c r="AA22" s="688" t="str">
        <f>IF(Select2=2,MSW!$W24,"")</f>
        <v/>
      </c>
      <c r="AB22" s="697">
        <f>Industry!$W24</f>
        <v>0</v>
      </c>
      <c r="AC22" s="698">
        <f t="shared" si="0"/>
        <v>0.78953352425871393</v>
      </c>
      <c r="AD22" s="699">
        <f>Recovery_OX!R17</f>
        <v>0</v>
      </c>
      <c r="AE22" s="649"/>
      <c r="AF22" s="701">
        <f>(AC22-AD22)*(1-Recovery_OX!U17)</f>
        <v>0.78953352425871393</v>
      </c>
    </row>
    <row r="23" spans="2:34">
      <c r="B23" s="694">
        <f t="shared" si="1"/>
        <v>2006</v>
      </c>
      <c r="C23" s="878">
        <f>IF(Select2=1,Food!$K25,"")</f>
        <v>0.91253068516056746</v>
      </c>
      <c r="D23" s="879">
        <f>IF(Select2=1,Paper!$K25,"")</f>
        <v>8.5789296495204698E-2</v>
      </c>
      <c r="E23" s="873">
        <f>IF(Select2=1,Nappies!$K25,"")</f>
        <v>0.21994305827506061</v>
      </c>
      <c r="F23" s="879">
        <f>IF(Select2=1,Garden!$K25,"")</f>
        <v>0</v>
      </c>
      <c r="G23" s="873">
        <f>IF(Select2=1,Wood!$K25,"")</f>
        <v>0</v>
      </c>
      <c r="H23" s="879">
        <f>IF(Select2=1,Textiles!$K25,"")</f>
        <v>2.0311683571022542E-2</v>
      </c>
      <c r="I23" s="880">
        <f>Sludge!K25</f>
        <v>0</v>
      </c>
      <c r="J23" s="880" t="str">
        <f>IF(Select2=2,MSW!$K25,"")</f>
        <v/>
      </c>
      <c r="K23" s="880">
        <f>Industry!$K25</f>
        <v>0</v>
      </c>
      <c r="L23" s="881">
        <f t="shared" si="3"/>
        <v>1.2385747235018554</v>
      </c>
      <c r="M23" s="882">
        <f>Recovery_OX!C18</f>
        <v>0</v>
      </c>
      <c r="N23" s="649"/>
      <c r="O23" s="700">
        <f>(L23-M23)*(1-Recovery_OX!F18)</f>
        <v>1.2385747235018554</v>
      </c>
      <c r="P23" s="640"/>
      <c r="Q23" s="651"/>
      <c r="S23" s="694">
        <f t="shared" si="2"/>
        <v>2006</v>
      </c>
      <c r="T23" s="695">
        <f>IF(Select2=1,Food!$W25,"")</f>
        <v>0.61052454404141443</v>
      </c>
      <c r="U23" s="696">
        <f>IF(Select2=1,Paper!$W25,"")</f>
        <v>0.17725061259339814</v>
      </c>
      <c r="V23" s="686">
        <f>IF(Select2=1,Nappies!$W25,"")</f>
        <v>0</v>
      </c>
      <c r="W23" s="696">
        <f>IF(Select2=1,Garden!$W25,"")</f>
        <v>0</v>
      </c>
      <c r="X23" s="686">
        <f>IF(Select2=1,Wood!$W25,"")</f>
        <v>8.0531239102250796E-2</v>
      </c>
      <c r="Y23" s="696">
        <f>IF(Select2=1,Textiles!$W25,"")</f>
        <v>2.2259379255915118E-2</v>
      </c>
      <c r="Z23" s="688">
        <f>Sludge!W25</f>
        <v>0</v>
      </c>
      <c r="AA23" s="688" t="str">
        <f>IF(Select2=2,MSW!$W25,"")</f>
        <v/>
      </c>
      <c r="AB23" s="697">
        <f>Industry!$W25</f>
        <v>0</v>
      </c>
      <c r="AC23" s="698">
        <f t="shared" si="0"/>
        <v>0.89056577499297851</v>
      </c>
      <c r="AD23" s="699">
        <f>Recovery_OX!R18</f>
        <v>0</v>
      </c>
      <c r="AE23" s="649"/>
      <c r="AF23" s="701">
        <f>(AC23-AD23)*(1-Recovery_OX!U18)</f>
        <v>0.89056577499297851</v>
      </c>
    </row>
    <row r="24" spans="2:34">
      <c r="B24" s="694">
        <f t="shared" si="1"/>
        <v>2007</v>
      </c>
      <c r="C24" s="878">
        <f>IF(Select2=1,Food!$K26,"")</f>
        <v>0.97492201114121269</v>
      </c>
      <c r="D24" s="879">
        <f>IF(Select2=1,Paper!$K26,"")</f>
        <v>9.9063816068702737E-2</v>
      </c>
      <c r="E24" s="873">
        <f>IF(Select2=1,Nappies!$K26,"")</f>
        <v>0.24570604532247869</v>
      </c>
      <c r="F24" s="879">
        <f>IF(Select2=1,Garden!$K26,"")</f>
        <v>0</v>
      </c>
      <c r="G24" s="873">
        <f>IF(Select2=1,Wood!$K26,"")</f>
        <v>0</v>
      </c>
      <c r="H24" s="879">
        <f>IF(Select2=1,Textiles!$K26,"")</f>
        <v>2.3454591278038284E-2</v>
      </c>
      <c r="I24" s="880">
        <f>Sludge!K26</f>
        <v>0</v>
      </c>
      <c r="J24" s="880" t="str">
        <f>IF(Select2=2,MSW!$K26,"")</f>
        <v/>
      </c>
      <c r="K24" s="880">
        <f>Industry!$K26</f>
        <v>0</v>
      </c>
      <c r="L24" s="881">
        <f t="shared" si="3"/>
        <v>1.3431464638104322</v>
      </c>
      <c r="M24" s="882">
        <f>Recovery_OX!C19</f>
        <v>0</v>
      </c>
      <c r="N24" s="649"/>
      <c r="O24" s="700">
        <f>(L24-M24)*(1-Recovery_OX!F19)</f>
        <v>1.3431464638104322</v>
      </c>
      <c r="P24" s="640"/>
      <c r="Q24" s="651"/>
      <c r="S24" s="694">
        <f t="shared" si="2"/>
        <v>2007</v>
      </c>
      <c r="T24" s="695">
        <f>IF(Select2=1,Food!$W26,"")</f>
        <v>0.65226717962168546</v>
      </c>
      <c r="U24" s="696">
        <f>IF(Select2=1,Paper!$W26,"")</f>
        <v>0.20467730592707178</v>
      </c>
      <c r="V24" s="686">
        <f>IF(Select2=1,Nappies!$W26,"")</f>
        <v>0</v>
      </c>
      <c r="W24" s="696">
        <f>IF(Select2=1,Garden!$W26,"")</f>
        <v>0</v>
      </c>
      <c r="X24" s="686">
        <f>IF(Select2=1,Wood!$W26,"")</f>
        <v>9.4302458245617921E-2</v>
      </c>
      <c r="Y24" s="696">
        <f>IF(Select2=1,Textiles!$W26,"")</f>
        <v>2.5703661674562499E-2</v>
      </c>
      <c r="Z24" s="688">
        <f>Sludge!W26</f>
        <v>0</v>
      </c>
      <c r="AA24" s="688" t="str">
        <f>IF(Select2=2,MSW!$W26,"")</f>
        <v/>
      </c>
      <c r="AB24" s="697">
        <f>Industry!$W26</f>
        <v>0</v>
      </c>
      <c r="AC24" s="698">
        <f t="shared" si="0"/>
        <v>0.97695060546893764</v>
      </c>
      <c r="AD24" s="699">
        <f>Recovery_OX!R19</f>
        <v>0</v>
      </c>
      <c r="AE24" s="649"/>
      <c r="AF24" s="701">
        <f>(AC24-AD24)*(1-Recovery_OX!U19)</f>
        <v>0.97695060546893764</v>
      </c>
    </row>
    <row r="25" spans="2:34">
      <c r="B25" s="694">
        <f t="shared" si="1"/>
        <v>2008</v>
      </c>
      <c r="C25" s="878">
        <f>IF(Select2=1,Food!$K27,"")</f>
        <v>1.0240594927551387</v>
      </c>
      <c r="D25" s="879">
        <f>IF(Select2=1,Paper!$K27,"")</f>
        <v>0.1118250432946228</v>
      </c>
      <c r="E25" s="873">
        <f>IF(Select2=1,Nappies!$K27,"")</f>
        <v>0.26865271254893874</v>
      </c>
      <c r="F25" s="879">
        <f>IF(Select2=1,Garden!$K27,"")</f>
        <v>0</v>
      </c>
      <c r="G25" s="873">
        <f>IF(Select2=1,Wood!$K27,"")</f>
        <v>0</v>
      </c>
      <c r="H25" s="879">
        <f>IF(Select2=1,Textiles!$K27,"")</f>
        <v>2.6475970633973375E-2</v>
      </c>
      <c r="I25" s="880">
        <f>Sludge!K27</f>
        <v>0</v>
      </c>
      <c r="J25" s="880" t="str">
        <f>IF(Select2=2,MSW!$K27,"")</f>
        <v/>
      </c>
      <c r="K25" s="880">
        <f>Industry!$K27</f>
        <v>0</v>
      </c>
      <c r="L25" s="881">
        <f t="shared" si="3"/>
        <v>1.4310132192326737</v>
      </c>
      <c r="M25" s="882">
        <f>Recovery_OX!C20</f>
        <v>0</v>
      </c>
      <c r="N25" s="649"/>
      <c r="O25" s="700">
        <f>(L25-M25)*(1-Recovery_OX!F20)</f>
        <v>1.4310132192326737</v>
      </c>
      <c r="P25" s="640"/>
      <c r="Q25" s="651"/>
      <c r="S25" s="694">
        <f t="shared" si="2"/>
        <v>2008</v>
      </c>
      <c r="T25" s="695">
        <f>IF(Select2=1,Food!$W27,"")</f>
        <v>0.68514239033573077</v>
      </c>
      <c r="U25" s="696">
        <f>IF(Select2=1,Paper!$W27,"")</f>
        <v>0.2310434778814521</v>
      </c>
      <c r="V25" s="686">
        <f>IF(Select2=1,Nappies!$W27,"")</f>
        <v>0</v>
      </c>
      <c r="W25" s="696">
        <f>IF(Select2=1,Garden!$W27,"")</f>
        <v>0</v>
      </c>
      <c r="X25" s="686">
        <f>IF(Select2=1,Wood!$W27,"")</f>
        <v>0.1079331491157058</v>
      </c>
      <c r="Y25" s="696">
        <f>IF(Select2=1,Textiles!$W27,"")</f>
        <v>2.9014762338600956E-2</v>
      </c>
      <c r="Z25" s="688">
        <f>Sludge!W27</f>
        <v>0</v>
      </c>
      <c r="AA25" s="688" t="str">
        <f>IF(Select2=2,MSW!$W27,"")</f>
        <v/>
      </c>
      <c r="AB25" s="697">
        <f>Industry!$W27</f>
        <v>0</v>
      </c>
      <c r="AC25" s="698">
        <f t="shared" si="0"/>
        <v>1.0531337796714897</v>
      </c>
      <c r="AD25" s="699">
        <f>Recovery_OX!R20</f>
        <v>0</v>
      </c>
      <c r="AE25" s="649"/>
      <c r="AF25" s="701">
        <f>(AC25-AD25)*(1-Recovery_OX!U20)</f>
        <v>1.0531337796714897</v>
      </c>
    </row>
    <row r="26" spans="2:34">
      <c r="B26" s="694">
        <f t="shared" si="1"/>
        <v>2009</v>
      </c>
      <c r="C26" s="878">
        <f>IF(Select2=1,Food!$K28,"")</f>
        <v>1.0642619749785132</v>
      </c>
      <c r="D26" s="879">
        <f>IF(Select2=1,Paper!$K28,"")</f>
        <v>0.12410501847020874</v>
      </c>
      <c r="E26" s="873">
        <f>IF(Select2=1,Nappies!$K28,"")</f>
        <v>0.28921495744903025</v>
      </c>
      <c r="F26" s="879">
        <f>IF(Select2=1,Garden!$K28,"")</f>
        <v>0</v>
      </c>
      <c r="G26" s="873">
        <f>IF(Select2=1,Wood!$K28,"")</f>
        <v>0</v>
      </c>
      <c r="H26" s="879">
        <f>IF(Select2=1,Textiles!$K28,"")</f>
        <v>2.938340757793358E-2</v>
      </c>
      <c r="I26" s="880">
        <f>Sludge!K28</f>
        <v>0</v>
      </c>
      <c r="J26" s="880" t="str">
        <f>IF(Select2=2,MSW!$K28,"")</f>
        <v/>
      </c>
      <c r="K26" s="880">
        <f>Industry!$K28</f>
        <v>0</v>
      </c>
      <c r="L26" s="881">
        <f t="shared" si="3"/>
        <v>1.5069653584756859</v>
      </c>
      <c r="M26" s="882">
        <f>Recovery_OX!C21</f>
        <v>0</v>
      </c>
      <c r="N26" s="649"/>
      <c r="O26" s="700">
        <f>(L26-M26)*(1-Recovery_OX!F21)</f>
        <v>1.5069653584756859</v>
      </c>
      <c r="P26" s="640"/>
      <c r="Q26" s="651"/>
      <c r="S26" s="694">
        <f t="shared" si="2"/>
        <v>2009</v>
      </c>
      <c r="T26" s="695">
        <f>IF(Select2=1,Food!$W28,"")</f>
        <v>0.71203967995886253</v>
      </c>
      <c r="U26" s="696">
        <f>IF(Select2=1,Paper!$W28,"")</f>
        <v>0.25641532741778672</v>
      </c>
      <c r="V26" s="686">
        <f>IF(Select2=1,Nappies!$W28,"")</f>
        <v>0</v>
      </c>
      <c r="W26" s="696">
        <f>IF(Select2=1,Garden!$W28,"")</f>
        <v>0</v>
      </c>
      <c r="X26" s="686">
        <f>IF(Select2=1,Wood!$W28,"")</f>
        <v>0.12142583716256969</v>
      </c>
      <c r="Y26" s="696">
        <f>IF(Select2=1,Textiles!$W28,"")</f>
        <v>3.2200994605954603E-2</v>
      </c>
      <c r="Z26" s="688">
        <f>Sludge!W28</f>
        <v>0</v>
      </c>
      <c r="AA26" s="688" t="str">
        <f>IF(Select2=2,MSW!$W28,"")</f>
        <v/>
      </c>
      <c r="AB26" s="697">
        <f>Industry!$W28</f>
        <v>0</v>
      </c>
      <c r="AC26" s="698">
        <f t="shared" si="0"/>
        <v>1.1220818391451735</v>
      </c>
      <c r="AD26" s="699">
        <f>Recovery_OX!R21</f>
        <v>0</v>
      </c>
      <c r="AE26" s="649"/>
      <c r="AF26" s="701">
        <f>(AC26-AD26)*(1-Recovery_OX!U21)</f>
        <v>1.1220818391451735</v>
      </c>
    </row>
    <row r="27" spans="2:34">
      <c r="B27" s="694">
        <f t="shared" si="1"/>
        <v>2010</v>
      </c>
      <c r="C27" s="878">
        <f>IF(Select2=1,Food!$K29,"")</f>
        <v>1.0983708030662829</v>
      </c>
      <c r="D27" s="879">
        <f>IF(Select2=1,Paper!$K29,"")</f>
        <v>0.1359307977777956</v>
      </c>
      <c r="E27" s="873">
        <f>IF(Select2=1,Nappies!$K29,"")</f>
        <v>0.30774827069269228</v>
      </c>
      <c r="F27" s="879">
        <f>IF(Select2=1,Garden!$K29,"")</f>
        <v>0</v>
      </c>
      <c r="G27" s="873">
        <f>IF(Select2=1,Wood!$K29,"")</f>
        <v>0</v>
      </c>
      <c r="H27" s="879">
        <f>IF(Select2=1,Textiles!$K29,"")</f>
        <v>3.2183307997793967E-2</v>
      </c>
      <c r="I27" s="880">
        <f>Sludge!K29</f>
        <v>0</v>
      </c>
      <c r="J27" s="880" t="str">
        <f>IF(Select2=2,MSW!$K29,"")</f>
        <v/>
      </c>
      <c r="K27" s="880">
        <f>Industry!$K29</f>
        <v>0</v>
      </c>
      <c r="L27" s="881">
        <f t="shared" si="3"/>
        <v>1.5742331795345648</v>
      </c>
      <c r="M27" s="882">
        <f>Recovery_OX!C22</f>
        <v>0</v>
      </c>
      <c r="N27" s="649"/>
      <c r="O27" s="700">
        <f>(L27-M27)*(1-Recovery_OX!F22)</f>
        <v>1.5742331795345648</v>
      </c>
      <c r="P27" s="640"/>
      <c r="Q27" s="651"/>
      <c r="S27" s="694">
        <f t="shared" si="2"/>
        <v>2010</v>
      </c>
      <c r="T27" s="695">
        <f>IF(Select2=1,Food!$W29,"")</f>
        <v>0.73486003773390896</v>
      </c>
      <c r="U27" s="696">
        <f>IF(Select2=1,Paper!$W29,"")</f>
        <v>0.28084875573924717</v>
      </c>
      <c r="V27" s="686">
        <f>IF(Select2=1,Nappies!$W29,"")</f>
        <v>0</v>
      </c>
      <c r="W27" s="696">
        <f>IF(Select2=1,Garden!$W29,"")</f>
        <v>0</v>
      </c>
      <c r="X27" s="686">
        <f>IF(Select2=1,Wood!$W29,"")</f>
        <v>0.13478051725061757</v>
      </c>
      <c r="Y27" s="696">
        <f>IF(Select2=1,Textiles!$W29,"")</f>
        <v>3.5269378627719408E-2</v>
      </c>
      <c r="Z27" s="688">
        <f>Sludge!W29</f>
        <v>0</v>
      </c>
      <c r="AA27" s="688" t="str">
        <f>IF(Select2=2,MSW!$W29,"")</f>
        <v/>
      </c>
      <c r="AB27" s="697">
        <f>Industry!$W29</f>
        <v>0</v>
      </c>
      <c r="AC27" s="698">
        <f t="shared" si="0"/>
        <v>1.1857586893514931</v>
      </c>
      <c r="AD27" s="699">
        <f>Recovery_OX!R22</f>
        <v>0</v>
      </c>
      <c r="AE27" s="649"/>
      <c r="AF27" s="701">
        <f>(AC27-AD27)*(1-Recovery_OX!U22)</f>
        <v>1.1857586893514931</v>
      </c>
    </row>
    <row r="28" spans="2:34">
      <c r="B28" s="694">
        <f t="shared" si="1"/>
        <v>2011</v>
      </c>
      <c r="C28" s="878">
        <f>IF(Select2=1,Food!$K30,"")</f>
        <v>1.1518352764663273</v>
      </c>
      <c r="D28" s="879">
        <f>IF(Select2=1,Paper!$K30,"")</f>
        <v>0.14856400257695229</v>
      </c>
      <c r="E28" s="873">
        <f>IF(Select2=1,Nappies!$K30,"")</f>
        <v>0.32845132196127602</v>
      </c>
      <c r="F28" s="879">
        <f>IF(Select2=1,Garden!$K30,"")</f>
        <v>0</v>
      </c>
      <c r="G28" s="873">
        <f>IF(Select2=1,Wood!$K30,"")</f>
        <v>0</v>
      </c>
      <c r="H28" s="879">
        <f>IF(Select2=1,Textiles!$K30,"")</f>
        <v>3.5174376450986575E-2</v>
      </c>
      <c r="I28" s="880">
        <f>Sludge!K30</f>
        <v>0</v>
      </c>
      <c r="J28" s="880" t="str">
        <f>IF(Select2=2,MSW!$K30,"")</f>
        <v/>
      </c>
      <c r="K28" s="880">
        <f>Industry!$K30</f>
        <v>0</v>
      </c>
      <c r="L28" s="881">
        <f t="shared" si="3"/>
        <v>1.6640249774555425</v>
      </c>
      <c r="M28" s="882">
        <f>Recovery_OX!C23</f>
        <v>0</v>
      </c>
      <c r="N28" s="649"/>
      <c r="O28" s="700">
        <f>(L28-M28)*(1-Recovery_OX!F23)</f>
        <v>1.6640249774555425</v>
      </c>
      <c r="P28" s="640"/>
      <c r="Q28" s="651"/>
      <c r="S28" s="694">
        <f t="shared" si="2"/>
        <v>2011</v>
      </c>
      <c r="T28" s="695">
        <f>IF(Select2=1,Food!$W30,"")</f>
        <v>0.77063020280976402</v>
      </c>
      <c r="U28" s="696">
        <f>IF(Select2=1,Paper!$W30,"")</f>
        <v>0.30695041854742217</v>
      </c>
      <c r="V28" s="686">
        <f>IF(Select2=1,Nappies!$W30,"")</f>
        <v>0</v>
      </c>
      <c r="W28" s="696">
        <f>IF(Select2=1,Garden!$W30,"")</f>
        <v>0</v>
      </c>
      <c r="X28" s="686">
        <f>IF(Select2=1,Wood!$W30,"")</f>
        <v>0.14906936825742623</v>
      </c>
      <c r="Y28" s="696">
        <f>IF(Select2=1,Textiles!$W30,"")</f>
        <v>3.8547261864094864E-2</v>
      </c>
      <c r="Z28" s="688">
        <f>Sludge!W30</f>
        <v>0</v>
      </c>
      <c r="AA28" s="688" t="str">
        <f>IF(Select2=2,MSW!$W30,"")</f>
        <v/>
      </c>
      <c r="AB28" s="697">
        <f>Industry!$W30</f>
        <v>0</v>
      </c>
      <c r="AC28" s="698">
        <f t="shared" si="0"/>
        <v>1.2651972514787073</v>
      </c>
      <c r="AD28" s="699">
        <f>Recovery_OX!R23</f>
        <v>0</v>
      </c>
      <c r="AE28" s="649"/>
      <c r="AF28" s="701">
        <f>(AC28-AD28)*(1-Recovery_OX!U23)</f>
        <v>1.2651972514787073</v>
      </c>
    </row>
    <row r="29" spans="2:34">
      <c r="B29" s="694">
        <f t="shared" si="1"/>
        <v>2012</v>
      </c>
      <c r="C29" s="878">
        <f>IF(Select2=1,Food!$K31,"")</f>
        <v>1.1985589971911914</v>
      </c>
      <c r="D29" s="879">
        <f>IF(Select2=1,Paper!$K31,"")</f>
        <v>0.16091474666964756</v>
      </c>
      <c r="E29" s="873">
        <f>IF(Select2=1,Nappies!$K31,"")</f>
        <v>0.34772026859801286</v>
      </c>
      <c r="F29" s="879">
        <f>IF(Select2=1,Garden!$K31,"")</f>
        <v>0</v>
      </c>
      <c r="G29" s="873">
        <f>IF(Select2=1,Wood!$K31,"")</f>
        <v>0</v>
      </c>
      <c r="H29" s="879">
        <f>IF(Select2=1,Textiles!$K31,"")</f>
        <v>3.8098568816773426E-2</v>
      </c>
      <c r="I29" s="880">
        <f>Sludge!K31</f>
        <v>0</v>
      </c>
      <c r="J29" s="880" t="str">
        <f>IF(Select2=2,MSW!$K31,"")</f>
        <v/>
      </c>
      <c r="K29" s="880">
        <f>Industry!$K31</f>
        <v>0</v>
      </c>
      <c r="L29" s="881">
        <f>SUM(C29:K29)</f>
        <v>1.7452925812756255</v>
      </c>
      <c r="M29" s="882">
        <f>Recovery_OX!C24</f>
        <v>0</v>
      </c>
      <c r="N29" s="649"/>
      <c r="O29" s="700">
        <f>(L29-M29)*(1-Recovery_OX!F24)</f>
        <v>1.7452925812756255</v>
      </c>
      <c r="P29" s="640"/>
      <c r="Q29" s="651"/>
      <c r="S29" s="694">
        <f t="shared" si="2"/>
        <v>2012</v>
      </c>
      <c r="T29" s="695">
        <f>IF(Select2=1,Food!$W31,"")</f>
        <v>0.80189049767474896</v>
      </c>
      <c r="U29" s="696">
        <f>IF(Select2=1,Paper!$W31,"")</f>
        <v>0.33246848485464375</v>
      </c>
      <c r="V29" s="686">
        <f>IF(Select2=1,Nappies!$W31,"")</f>
        <v>0</v>
      </c>
      <c r="W29" s="696">
        <f>IF(Select2=1,Garden!$W31,"")</f>
        <v>0</v>
      </c>
      <c r="X29" s="686">
        <f>IF(Select2=1,Wood!$W31,"")</f>
        <v>0.16336246277532115</v>
      </c>
      <c r="Y29" s="696">
        <f>IF(Select2=1,Textiles!$W31,"")</f>
        <v>4.1751856237559899E-2</v>
      </c>
      <c r="Z29" s="688">
        <f>Sludge!W31</f>
        <v>0</v>
      </c>
      <c r="AA29" s="688" t="str">
        <f>IF(Select2=2,MSW!$W31,"")</f>
        <v/>
      </c>
      <c r="AB29" s="697">
        <f>Industry!$W31</f>
        <v>0</v>
      </c>
      <c r="AC29" s="698">
        <f t="shared" si="0"/>
        <v>1.3394733015422737</v>
      </c>
      <c r="AD29" s="699">
        <f>Recovery_OX!R24</f>
        <v>0</v>
      </c>
      <c r="AE29" s="649"/>
      <c r="AF29" s="701">
        <f>(AC29-AD29)*(1-Recovery_OX!U24)</f>
        <v>1.3394733015422737</v>
      </c>
    </row>
    <row r="30" spans="2:34">
      <c r="B30" s="694">
        <f t="shared" si="1"/>
        <v>2013</v>
      </c>
      <c r="C30" s="878">
        <f>IF(Select2=1,Food!$K32,"")</f>
        <v>1.2381429624963425</v>
      </c>
      <c r="D30" s="879">
        <f>IF(Select2=1,Paper!$K32,"")</f>
        <v>0.17286447502459718</v>
      </c>
      <c r="E30" s="873">
        <f>IF(Select2=1,Nappies!$K32,"")</f>
        <v>0.36534525272412149</v>
      </c>
      <c r="F30" s="879">
        <f>IF(Select2=1,Garden!$K32,"")</f>
        <v>0</v>
      </c>
      <c r="G30" s="873">
        <f>IF(Select2=1,Wood!$K32,"")</f>
        <v>0</v>
      </c>
      <c r="H30" s="879">
        <f>IF(Select2=1,Textiles!$K32,"")</f>
        <v>4.0927815716111038E-2</v>
      </c>
      <c r="I30" s="880">
        <f>Sludge!K32</f>
        <v>0</v>
      </c>
      <c r="J30" s="880" t="str">
        <f>IF(Select2=2,MSW!$K32,"")</f>
        <v/>
      </c>
      <c r="K30" s="880">
        <f>Industry!$K32</f>
        <v>0</v>
      </c>
      <c r="L30" s="881">
        <f t="shared" si="3"/>
        <v>1.8172805059611721</v>
      </c>
      <c r="M30" s="882">
        <f>Recovery_OX!C25</f>
        <v>0</v>
      </c>
      <c r="N30" s="649"/>
      <c r="O30" s="700">
        <f>(L30-M30)*(1-Recovery_OX!F25)</f>
        <v>1.8172805059611721</v>
      </c>
      <c r="P30" s="640"/>
      <c r="Q30" s="651"/>
      <c r="S30" s="694">
        <f t="shared" si="2"/>
        <v>2013</v>
      </c>
      <c r="T30" s="695">
        <f>IF(Select2=1,Food!$W32,"")</f>
        <v>0.82837397134010415</v>
      </c>
      <c r="U30" s="696">
        <f>IF(Select2=1,Paper!$W32,"")</f>
        <v>0.35715800624916777</v>
      </c>
      <c r="V30" s="686">
        <f>IF(Select2=1,Nappies!$W32,"")</f>
        <v>0</v>
      </c>
      <c r="W30" s="696">
        <f>IF(Select2=1,Garden!$W32,"")</f>
        <v>0</v>
      </c>
      <c r="X30" s="686">
        <f>IF(Select2=1,Wood!$W32,"")</f>
        <v>0.17754028572884983</v>
      </c>
      <c r="Y30" s="696">
        <f>IF(Select2=1,Textiles!$W32,"")</f>
        <v>4.4852400784779201E-2</v>
      </c>
      <c r="Z30" s="688">
        <f>Sludge!W32</f>
        <v>0</v>
      </c>
      <c r="AA30" s="688" t="str">
        <f>IF(Select2=2,MSW!$W32,"")</f>
        <v/>
      </c>
      <c r="AB30" s="697">
        <f>Industry!$W32</f>
        <v>0</v>
      </c>
      <c r="AC30" s="698">
        <f t="shared" si="0"/>
        <v>1.4079246641029011</v>
      </c>
      <c r="AD30" s="699">
        <f>Recovery_OX!R25</f>
        <v>0</v>
      </c>
      <c r="AE30" s="649"/>
      <c r="AF30" s="701">
        <f>(AC30-AD30)*(1-Recovery_OX!U25)</f>
        <v>1.4079246641029011</v>
      </c>
    </row>
    <row r="31" spans="2:34">
      <c r="B31" s="694">
        <f t="shared" si="1"/>
        <v>2014</v>
      </c>
      <c r="C31" s="878">
        <f>IF(Select2=1,Food!$K33,"")</f>
        <v>1.2729126844238219</v>
      </c>
      <c r="D31" s="879">
        <f>IF(Select2=1,Paper!$K33,"")</f>
        <v>0.1844388115100084</v>
      </c>
      <c r="E31" s="873">
        <f>IF(Select2=1,Nappies!$K33,"")</f>
        <v>0.381578593660159</v>
      </c>
      <c r="F31" s="879">
        <f>IF(Select2=1,Garden!$K33,"")</f>
        <v>0</v>
      </c>
      <c r="G31" s="873">
        <f>IF(Select2=1,Wood!$K33,"")</f>
        <v>0</v>
      </c>
      <c r="H31" s="879">
        <f>IF(Select2=1,Textiles!$K33,"")</f>
        <v>4.3668183918679916E-2</v>
      </c>
      <c r="I31" s="880">
        <f>Sludge!K33</f>
        <v>0</v>
      </c>
      <c r="J31" s="880" t="str">
        <f>IF(Select2=2,MSW!$K33,"")</f>
        <v/>
      </c>
      <c r="K31" s="880">
        <f>Industry!$K33</f>
        <v>0</v>
      </c>
      <c r="L31" s="881">
        <f t="shared" si="3"/>
        <v>1.8825982735126692</v>
      </c>
      <c r="M31" s="882">
        <f>Recovery_OX!C26</f>
        <v>0</v>
      </c>
      <c r="N31" s="649"/>
      <c r="O31" s="700">
        <f>(L31-M31)*(1-Recovery_OX!F26)</f>
        <v>1.8825982735126692</v>
      </c>
      <c r="P31" s="640"/>
      <c r="Q31" s="651"/>
      <c r="S31" s="694">
        <f t="shared" si="2"/>
        <v>2014</v>
      </c>
      <c r="T31" s="695">
        <f>IF(Select2=1,Food!$W33,"")</f>
        <v>0.85163649716134371</v>
      </c>
      <c r="U31" s="696">
        <f>IF(Select2=1,Paper!$W33,"")</f>
        <v>0.38107192460745543</v>
      </c>
      <c r="V31" s="686">
        <f>IF(Select2=1,Nappies!$W33,"")</f>
        <v>0</v>
      </c>
      <c r="W31" s="696">
        <f>IF(Select2=1,Garden!$W33,"")</f>
        <v>0</v>
      </c>
      <c r="X31" s="686">
        <f>IF(Select2=1,Wood!$W33,"")</f>
        <v>0.19160551209234614</v>
      </c>
      <c r="Y31" s="696">
        <f>IF(Select2=1,Textiles!$W33,"")</f>
        <v>4.7855544020471132E-2</v>
      </c>
      <c r="Z31" s="688">
        <f>Sludge!W33</f>
        <v>0</v>
      </c>
      <c r="AA31" s="688" t="str">
        <f>IF(Select2=2,MSW!$W33,"")</f>
        <v/>
      </c>
      <c r="AB31" s="697">
        <f>Industry!$W33</f>
        <v>0</v>
      </c>
      <c r="AC31" s="698">
        <f t="shared" si="0"/>
        <v>1.4721694778816163</v>
      </c>
      <c r="AD31" s="699">
        <f>Recovery_OX!R26</f>
        <v>0</v>
      </c>
      <c r="AE31" s="649"/>
      <c r="AF31" s="701">
        <f>(AC31-AD31)*(1-Recovery_OX!U26)</f>
        <v>1.4721694778816163</v>
      </c>
    </row>
    <row r="32" spans="2:34">
      <c r="B32" s="694">
        <f t="shared" si="1"/>
        <v>2015</v>
      </c>
      <c r="C32" s="878">
        <f>IF(Select2=1,Food!$K34,"")</f>
        <v>1.3042496139269444</v>
      </c>
      <c r="D32" s="879">
        <f>IF(Select2=1,Paper!$K34,"")</f>
        <v>0.19565233263047371</v>
      </c>
      <c r="E32" s="873">
        <f>IF(Select2=1,Nappies!$K34,"")</f>
        <v>0.39660379100542575</v>
      </c>
      <c r="F32" s="879">
        <f>IF(Select2=1,Garden!$K34,"")</f>
        <v>0</v>
      </c>
      <c r="G32" s="873">
        <f>IF(Select2=1,Wood!$K34,"")</f>
        <v>0</v>
      </c>
      <c r="H32" s="879">
        <f>IF(Select2=1,Textiles!$K34,"")</f>
        <v>4.6323124593343229E-2</v>
      </c>
      <c r="I32" s="880">
        <f>Sludge!K34</f>
        <v>0</v>
      </c>
      <c r="J32" s="880" t="str">
        <f>IF(Select2=2,MSW!$K34,"")</f>
        <v/>
      </c>
      <c r="K32" s="880">
        <f>Industry!$K34</f>
        <v>0</v>
      </c>
      <c r="L32" s="881">
        <f t="shared" si="3"/>
        <v>1.9428288621561873</v>
      </c>
      <c r="M32" s="882">
        <f>Recovery_OX!C27</f>
        <v>0</v>
      </c>
      <c r="N32" s="649"/>
      <c r="O32" s="700">
        <f>(L32-M32)*(1-Recovery_OX!F27)</f>
        <v>1.9428288621561873</v>
      </c>
      <c r="P32" s="640"/>
      <c r="Q32" s="651"/>
      <c r="S32" s="694">
        <f t="shared" si="2"/>
        <v>2015</v>
      </c>
      <c r="T32" s="695">
        <f>IF(Select2=1,Food!$W34,"")</f>
        <v>0.8726023286754756</v>
      </c>
      <c r="U32" s="696">
        <f>IF(Select2=1,Paper!$W34,"")</f>
        <v>0.40424035667453251</v>
      </c>
      <c r="V32" s="686">
        <f>IF(Select2=1,Nappies!$W34,"")</f>
        <v>0</v>
      </c>
      <c r="W32" s="696">
        <f>IF(Select2=1,Garden!$W34,"")</f>
        <v>0</v>
      </c>
      <c r="X32" s="686">
        <f>IF(Select2=1,Wood!$W34,"")</f>
        <v>0.20555264697058662</v>
      </c>
      <c r="Y32" s="696">
        <f>IF(Select2=1,Textiles!$W34,"")</f>
        <v>5.0765068047499418E-2</v>
      </c>
      <c r="Z32" s="688">
        <f>Sludge!W34</f>
        <v>0</v>
      </c>
      <c r="AA32" s="688" t="str">
        <f>IF(Select2=2,MSW!$W34,"")</f>
        <v/>
      </c>
      <c r="AB32" s="697">
        <f>Industry!$W34</f>
        <v>0</v>
      </c>
      <c r="AC32" s="698">
        <f t="shared" si="0"/>
        <v>1.5331604003680941</v>
      </c>
      <c r="AD32" s="699">
        <f>Recovery_OX!R27</f>
        <v>0</v>
      </c>
      <c r="AE32" s="649"/>
      <c r="AF32" s="701">
        <f>(AC32-AD32)*(1-Recovery_OX!U27)</f>
        <v>1.5331604003680941</v>
      </c>
    </row>
    <row r="33" spans="2:32">
      <c r="B33" s="694">
        <f t="shared" si="1"/>
        <v>2016</v>
      </c>
      <c r="C33" s="878">
        <f>IF(Select2=1,Food!$K35,"")</f>
        <v>1.3330648588533605</v>
      </c>
      <c r="D33" s="879">
        <f>IF(Select2=1,Paper!$K35,"")</f>
        <v>0.20651784665301243</v>
      </c>
      <c r="E33" s="873">
        <f>IF(Select2=1,Nappies!$K35,"")</f>
        <v>0.41057318856831604</v>
      </c>
      <c r="F33" s="879">
        <f>IF(Select2=1,Garden!$K35,"")</f>
        <v>0</v>
      </c>
      <c r="G33" s="873">
        <f>IF(Select2=1,Wood!$K35,"")</f>
        <v>0</v>
      </c>
      <c r="H33" s="879">
        <f>IF(Select2=1,Textiles!$K35,"")</f>
        <v>4.8895670256713361E-2</v>
      </c>
      <c r="I33" s="880">
        <f>Sludge!K35</f>
        <v>0</v>
      </c>
      <c r="J33" s="880" t="str">
        <f>IF(Select2=2,MSW!$K35,"")</f>
        <v/>
      </c>
      <c r="K33" s="880">
        <f>Industry!$K35</f>
        <v>0</v>
      </c>
      <c r="L33" s="881">
        <f t="shared" si="3"/>
        <v>1.9990515643314024</v>
      </c>
      <c r="M33" s="882">
        <f>Recovery_OX!C28</f>
        <v>0</v>
      </c>
      <c r="N33" s="649"/>
      <c r="O33" s="700">
        <f>(L33-M33)*(1-Recovery_OX!F28)</f>
        <v>1.9990515643314024</v>
      </c>
      <c r="P33" s="640"/>
      <c r="Q33" s="651"/>
      <c r="S33" s="694">
        <f t="shared" si="2"/>
        <v>2016</v>
      </c>
      <c r="T33" s="695">
        <f>IF(Select2=1,Food!$W35,"")</f>
        <v>0.89188103848351485</v>
      </c>
      <c r="U33" s="696">
        <f>IF(Select2=1,Paper!$W35,"")</f>
        <v>0.42668976581200913</v>
      </c>
      <c r="V33" s="686">
        <f>IF(Select2=1,Nappies!$W35,"")</f>
        <v>0</v>
      </c>
      <c r="W33" s="696">
        <f>IF(Select2=1,Garden!$W35,"")</f>
        <v>0</v>
      </c>
      <c r="X33" s="686">
        <f>IF(Select2=1,Wood!$W35,"")</f>
        <v>0.21937570565080272</v>
      </c>
      <c r="Y33" s="696">
        <f>IF(Select2=1,Textiles!$W35,"")</f>
        <v>5.3584296171740667E-2</v>
      </c>
      <c r="Z33" s="688">
        <f>Sludge!W35</f>
        <v>0</v>
      </c>
      <c r="AA33" s="688" t="str">
        <f>IF(Select2=2,MSW!$W35,"")</f>
        <v/>
      </c>
      <c r="AB33" s="697">
        <f>Industry!$W35</f>
        <v>0</v>
      </c>
      <c r="AC33" s="698">
        <f t="shared" si="0"/>
        <v>1.5915308061180675</v>
      </c>
      <c r="AD33" s="699">
        <f>Recovery_OX!R28</f>
        <v>0</v>
      </c>
      <c r="AE33" s="649"/>
      <c r="AF33" s="701">
        <f>(AC33-AD33)*(1-Recovery_OX!U28)</f>
        <v>1.5915308061180675</v>
      </c>
    </row>
    <row r="34" spans="2:32">
      <c r="B34" s="694">
        <f t="shared" si="1"/>
        <v>2017</v>
      </c>
      <c r="C34" s="878">
        <f>IF(Select2=1,Food!$K36,"")</f>
        <v>1.3601271610985499</v>
      </c>
      <c r="D34" s="879">
        <f>IF(Select2=1,Paper!$K36,"")</f>
        <v>0.21705559334989066</v>
      </c>
      <c r="E34" s="873">
        <f>IF(Select2=1,Nappies!$K36,"")</f>
        <v>0.42364147794238582</v>
      </c>
      <c r="F34" s="879">
        <f>IF(Select2=1,Garden!$K36,"")</f>
        <v>0</v>
      </c>
      <c r="G34" s="873">
        <f>IF(Select2=1,Wood!$K36,"")</f>
        <v>0</v>
      </c>
      <c r="H34" s="879">
        <f>IF(Select2=1,Textiles!$K36,"")</f>
        <v>5.1390612926753128E-2</v>
      </c>
      <c r="I34" s="880">
        <f>Sludge!K36</f>
        <v>0</v>
      </c>
      <c r="J34" s="880" t="str">
        <f>IF(Select2=2,MSW!$K36,"")</f>
        <v/>
      </c>
      <c r="K34" s="880">
        <f>Industry!$K36</f>
        <v>0</v>
      </c>
      <c r="L34" s="881">
        <f t="shared" si="3"/>
        <v>2.0522148453175793</v>
      </c>
      <c r="M34" s="882">
        <f>Recovery_OX!C29</f>
        <v>0.217471112907345</v>
      </c>
      <c r="N34" s="649"/>
      <c r="O34" s="700">
        <f>(L34-M34)*(1-Recovery_OX!F29)</f>
        <v>1.8347437324102343</v>
      </c>
      <c r="P34" s="640"/>
      <c r="Q34" s="651"/>
      <c r="S34" s="694">
        <f t="shared" si="2"/>
        <v>2017</v>
      </c>
      <c r="T34" s="695">
        <f>IF(Select2=1,Food!$W36,"")</f>
        <v>0.90998694988752205</v>
      </c>
      <c r="U34" s="696">
        <f>IF(Select2=1,Paper!$W36,"")</f>
        <v>0.44846196973117902</v>
      </c>
      <c r="V34" s="686">
        <f>IF(Select2=1,Nappies!$W36,"")</f>
        <v>0</v>
      </c>
      <c r="W34" s="696">
        <f>IF(Select2=1,Garden!$W36,"")</f>
        <v>0</v>
      </c>
      <c r="X34" s="686">
        <f>IF(Select2=1,Wood!$W36,"")</f>
        <v>0.23307610467102671</v>
      </c>
      <c r="Y34" s="696">
        <f>IF(Select2=1,Textiles!$W36,"")</f>
        <v>5.631847991972945E-2</v>
      </c>
      <c r="Z34" s="688">
        <f>Sludge!W36</f>
        <v>0</v>
      </c>
      <c r="AA34" s="688" t="str">
        <f>IF(Select2=2,MSW!$W36,"")</f>
        <v/>
      </c>
      <c r="AB34" s="697">
        <f>Industry!$W36</f>
        <v>0</v>
      </c>
      <c r="AC34" s="698">
        <f t="shared" si="0"/>
        <v>1.6478435042094572</v>
      </c>
      <c r="AD34" s="699">
        <f>Recovery_OX!R29</f>
        <v>0</v>
      </c>
      <c r="AE34" s="649"/>
      <c r="AF34" s="701">
        <f>(AC34-AD34)*(1-Recovery_OX!U29)</f>
        <v>1.6478435042094572</v>
      </c>
    </row>
    <row r="35" spans="2:32">
      <c r="B35" s="694">
        <f t="shared" si="1"/>
        <v>2018</v>
      </c>
      <c r="C35" s="878">
        <f>IF(Select2=1,Food!$K37,"")</f>
        <v>1.3778726859987551</v>
      </c>
      <c r="D35" s="879">
        <f>IF(Select2=1,Paper!$K37,"")</f>
        <v>0.22686018710854663</v>
      </c>
      <c r="E35" s="873">
        <f>IF(Select2=1,Nappies!$K37,"")</f>
        <v>0.43460134609489576</v>
      </c>
      <c r="F35" s="879">
        <f>IF(Select2=1,Garden!$K37,"")</f>
        <v>0</v>
      </c>
      <c r="G35" s="873">
        <f>IF(Select2=1,Wood!$K37,"")</f>
        <v>0</v>
      </c>
      <c r="H35" s="879">
        <f>IF(Select2=1,Textiles!$K37,"")</f>
        <v>5.3711972514768572E-2</v>
      </c>
      <c r="I35" s="880">
        <f>Sludge!K37</f>
        <v>0</v>
      </c>
      <c r="J35" s="880" t="str">
        <f>IF(Select2=2,MSW!$K37,"")</f>
        <v/>
      </c>
      <c r="K35" s="880">
        <f>Industry!$K37</f>
        <v>0</v>
      </c>
      <c r="L35" s="881">
        <f t="shared" si="3"/>
        <v>2.093046191716966</v>
      </c>
      <c r="M35" s="882">
        <f>Recovery_OX!C30</f>
        <v>0.22750220167542914</v>
      </c>
      <c r="N35" s="649"/>
      <c r="O35" s="700">
        <f>(L35-M35)*(1-Recovery_OX!F30)</f>
        <v>1.8655439900415369</v>
      </c>
      <c r="P35" s="640"/>
      <c r="Q35" s="651"/>
      <c r="S35" s="694">
        <f t="shared" si="2"/>
        <v>2018</v>
      </c>
      <c r="T35" s="695">
        <f>IF(Select2=1,Food!$W37,"")</f>
        <v>0.92185951338007688</v>
      </c>
      <c r="U35" s="696">
        <f>IF(Select2=1,Paper!$W37,"")</f>
        <v>0.46871939485236902</v>
      </c>
      <c r="V35" s="686">
        <f>IF(Select2=1,Nappies!$W37,"")</f>
        <v>0</v>
      </c>
      <c r="W35" s="696">
        <f>IF(Select2=1,Garden!$W37,"")</f>
        <v>0</v>
      </c>
      <c r="X35" s="686">
        <f>IF(Select2=1,Wood!$W37,"")</f>
        <v>0.24628730208239336</v>
      </c>
      <c r="Y35" s="696">
        <f>IF(Select2=1,Textiles!$W37,"")</f>
        <v>5.8862435632623084E-2</v>
      </c>
      <c r="Z35" s="688">
        <f>Sludge!W37</f>
        <v>0</v>
      </c>
      <c r="AA35" s="688" t="str">
        <f>IF(Select2=2,MSW!$W37,"")</f>
        <v/>
      </c>
      <c r="AB35" s="697">
        <f>Industry!$W37</f>
        <v>0</v>
      </c>
      <c r="AC35" s="698">
        <f t="shared" si="0"/>
        <v>1.6957286459474623</v>
      </c>
      <c r="AD35" s="699">
        <f>Recovery_OX!R30</f>
        <v>0</v>
      </c>
      <c r="AE35" s="649"/>
      <c r="AF35" s="701">
        <f>(AC35-AD35)*(1-Recovery_OX!U30)</f>
        <v>1.6957286459474623</v>
      </c>
    </row>
    <row r="36" spans="2:32">
      <c r="B36" s="694">
        <f t="shared" si="1"/>
        <v>2019</v>
      </c>
      <c r="C36" s="878">
        <f>IF(Select2=1,Food!$K38,"")</f>
        <v>1.4112696374960612</v>
      </c>
      <c r="D36" s="879">
        <f>IF(Select2=1,Paper!$K38,"")</f>
        <v>0.23713104499293003</v>
      </c>
      <c r="E36" s="873">
        <f>IF(Select2=1,Nappies!$K38,"")</f>
        <v>0.44740827000675742</v>
      </c>
      <c r="F36" s="879">
        <f>IF(Select2=1,Garden!$K38,"")</f>
        <v>0</v>
      </c>
      <c r="G36" s="873">
        <f>IF(Select2=1,Wood!$K38,"")</f>
        <v>0</v>
      </c>
      <c r="H36" s="879">
        <f>IF(Select2=1,Textiles!$K38,"")</f>
        <v>5.6143725937087371E-2</v>
      </c>
      <c r="I36" s="880">
        <f>Sludge!K38</f>
        <v>0</v>
      </c>
      <c r="J36" s="880" t="str">
        <f>IF(Select2=2,MSW!$K38,"")</f>
        <v/>
      </c>
      <c r="K36" s="880">
        <f>Industry!$K38</f>
        <v>0</v>
      </c>
      <c r="L36" s="881">
        <f t="shared" si="3"/>
        <v>2.1519526784328362</v>
      </c>
      <c r="M36" s="882">
        <f>Recovery_OX!C31</f>
        <v>0.23783734098610004</v>
      </c>
      <c r="N36" s="649"/>
      <c r="O36" s="700">
        <f>(L36-M36)*(1-Recovery_OX!F31)</f>
        <v>1.9141153374467361</v>
      </c>
      <c r="P36" s="640"/>
      <c r="Q36" s="651"/>
      <c r="S36" s="694">
        <f t="shared" si="2"/>
        <v>2019</v>
      </c>
      <c r="T36" s="695">
        <f>IF(Select2=1,Food!$W38,"")</f>
        <v>0.94420359332921111</v>
      </c>
      <c r="U36" s="696">
        <f>IF(Select2=1,Paper!$W38,"")</f>
        <v>0.48994017560522729</v>
      </c>
      <c r="V36" s="686">
        <f>IF(Select2=1,Nappies!$W38,"")</f>
        <v>0</v>
      </c>
      <c r="W36" s="696">
        <f>IF(Select2=1,Garden!$W38,"")</f>
        <v>0</v>
      </c>
      <c r="X36" s="686">
        <f>IF(Select2=1,Wood!$W38,"")</f>
        <v>0.26002325877617072</v>
      </c>
      <c r="Y36" s="696">
        <f>IF(Select2=1,Textiles!$W38,"")</f>
        <v>6.1527370889958771E-2</v>
      </c>
      <c r="Z36" s="688">
        <f>Sludge!W38</f>
        <v>0</v>
      </c>
      <c r="AA36" s="688" t="str">
        <f>IF(Select2=2,MSW!$W38,"")</f>
        <v/>
      </c>
      <c r="AB36" s="697">
        <f>Industry!$W38</f>
        <v>0</v>
      </c>
      <c r="AC36" s="698">
        <f t="shared" si="0"/>
        <v>1.755694398600568</v>
      </c>
      <c r="AD36" s="699">
        <f>Recovery_OX!R31</f>
        <v>0</v>
      </c>
      <c r="AE36" s="649"/>
      <c r="AF36" s="701">
        <f>(AC36-AD36)*(1-Recovery_OX!U31)</f>
        <v>1.755694398600568</v>
      </c>
    </row>
    <row r="37" spans="2:32">
      <c r="B37" s="694">
        <f t="shared" si="1"/>
        <v>2020</v>
      </c>
      <c r="C37" s="878">
        <f>IF(Select2=1,Food!$K39,"")</f>
        <v>1.4558097903190612</v>
      </c>
      <c r="D37" s="879">
        <f>IF(Select2=1,Paper!$K39,"")</f>
        <v>0.24787086907776446</v>
      </c>
      <c r="E37" s="873">
        <f>IF(Select2=1,Nappies!$K39,"")</f>
        <v>0.46188141061055488</v>
      </c>
      <c r="F37" s="879">
        <f>IF(Select2=1,Garden!$K39,"")</f>
        <v>0</v>
      </c>
      <c r="G37" s="873">
        <f>IF(Select2=1,Wood!$K39,"")</f>
        <v>0</v>
      </c>
      <c r="H37" s="879">
        <f>IF(Select2=1,Textiles!$K39,"")</f>
        <v>5.8686512943527017E-2</v>
      </c>
      <c r="I37" s="880">
        <f>Sludge!K39</f>
        <v>0</v>
      </c>
      <c r="J37" s="880" t="str">
        <f>IF(Select2=2,MSW!$K39,"")</f>
        <v/>
      </c>
      <c r="K37" s="880">
        <f>Industry!$K39</f>
        <v>0</v>
      </c>
      <c r="L37" s="881">
        <f t="shared" si="3"/>
        <v>2.2242485829509078</v>
      </c>
      <c r="M37" s="882">
        <f>Recovery_OX!C32</f>
        <v>0.24847988343243363</v>
      </c>
      <c r="N37" s="649"/>
      <c r="O37" s="700">
        <f>(L37-M37)*(1-Recovery_OX!F32)</f>
        <v>1.9757686995184742</v>
      </c>
      <c r="P37" s="640"/>
      <c r="Q37" s="651"/>
      <c r="S37" s="694">
        <f t="shared" si="2"/>
        <v>2020</v>
      </c>
      <c r="T37" s="695">
        <f>IF(Select2=1,Food!$W39,"")</f>
        <v>0.97400298192622259</v>
      </c>
      <c r="U37" s="696">
        <f>IF(Select2=1,Paper!$W39,"")</f>
        <v>0.51212989478876936</v>
      </c>
      <c r="V37" s="686">
        <f>IF(Select2=1,Nappies!$W39,"")</f>
        <v>0</v>
      </c>
      <c r="W37" s="696">
        <f>IF(Select2=1,Garden!$W39,"")</f>
        <v>0</v>
      </c>
      <c r="X37" s="686">
        <f>IF(Select2=1,Wood!$W39,"")</f>
        <v>0.27429560480474252</v>
      </c>
      <c r="Y37" s="696">
        <f>IF(Select2=1,Textiles!$W39,"")</f>
        <v>6.4313986787426863E-2</v>
      </c>
      <c r="Z37" s="688">
        <f>Sludge!W39</f>
        <v>0</v>
      </c>
      <c r="AA37" s="688" t="str">
        <f>IF(Select2=2,MSW!$W39,"")</f>
        <v/>
      </c>
      <c r="AB37" s="697">
        <f>Industry!$W39</f>
        <v>0</v>
      </c>
      <c r="AC37" s="698">
        <f t="shared" si="0"/>
        <v>1.8247424683071614</v>
      </c>
      <c r="AD37" s="699">
        <f>Recovery_OX!R32</f>
        <v>0</v>
      </c>
      <c r="AE37" s="649"/>
      <c r="AF37" s="701">
        <f>(AC37-AD37)*(1-Recovery_OX!U32)</f>
        <v>1.8247424683071614</v>
      </c>
    </row>
    <row r="38" spans="2:32">
      <c r="B38" s="694">
        <f t="shared" si="1"/>
        <v>2021</v>
      </c>
      <c r="C38" s="878">
        <f>IF(Select2=1,Food!$K40,"")</f>
        <v>1.508478377023547</v>
      </c>
      <c r="D38" s="879">
        <f>IF(Select2=1,Paper!$K40,"")</f>
        <v>0.25908255613401565</v>
      </c>
      <c r="E38" s="873">
        <f>IF(Select2=1,Nappies!$K40,"")</f>
        <v>0.47786939032842968</v>
      </c>
      <c r="F38" s="879">
        <f>IF(Select2=1,Garden!$K40,"")</f>
        <v>0</v>
      </c>
      <c r="G38" s="873">
        <f>IF(Select2=1,Wood!$K40,"")</f>
        <v>0</v>
      </c>
      <c r="H38" s="879">
        <f>IF(Select2=1,Textiles!$K40,"")</f>
        <v>6.1341019380663192E-2</v>
      </c>
      <c r="I38" s="880">
        <f>Sludge!K40</f>
        <v>0</v>
      </c>
      <c r="J38" s="880" t="str">
        <f>IF(Select2=2,MSW!$K40,"")</f>
        <v/>
      </c>
      <c r="K38" s="880">
        <f>Industry!$K40</f>
        <v>0</v>
      </c>
      <c r="L38" s="881">
        <f t="shared" si="3"/>
        <v>2.3067713428666559</v>
      </c>
      <c r="M38" s="882">
        <f>Recovery_OX!C33</f>
        <v>0.2594326850924874</v>
      </c>
      <c r="N38" s="649"/>
      <c r="O38" s="700">
        <f>(L38-M38)*(1-Recovery_OX!F33)</f>
        <v>2.0473386577741683</v>
      </c>
      <c r="P38" s="640"/>
      <c r="Q38" s="651"/>
      <c r="S38" s="694">
        <f t="shared" si="2"/>
        <v>2021</v>
      </c>
      <c r="T38" s="695">
        <f>IF(Select2=1,Food!$W40,"")</f>
        <v>1.0092406625938093</v>
      </c>
      <c r="U38" s="696">
        <f>IF(Select2=1,Paper!$W40,"")</f>
        <v>0.53529453746697442</v>
      </c>
      <c r="V38" s="686">
        <f>IF(Select2=1,Nappies!$W40,"")</f>
        <v>0</v>
      </c>
      <c r="W38" s="696">
        <f>IF(Select2=1,Garden!$W40,"")</f>
        <v>0</v>
      </c>
      <c r="X38" s="686">
        <f>IF(Select2=1,Wood!$W40,"")</f>
        <v>0.28911589746242283</v>
      </c>
      <c r="Y38" s="696">
        <f>IF(Select2=1,Textiles!$W40,"")</f>
        <v>6.7223034937713075E-2</v>
      </c>
      <c r="Z38" s="688">
        <f>Sludge!W40</f>
        <v>0</v>
      </c>
      <c r="AA38" s="688" t="str">
        <f>IF(Select2=2,MSW!$W40,"")</f>
        <v/>
      </c>
      <c r="AB38" s="697">
        <f>Industry!$W40</f>
        <v>0</v>
      </c>
      <c r="AC38" s="698">
        <f t="shared" si="0"/>
        <v>1.9008741324609195</v>
      </c>
      <c r="AD38" s="699">
        <f>Recovery_OX!R33</f>
        <v>0</v>
      </c>
      <c r="AE38" s="649"/>
      <c r="AF38" s="701">
        <f>(AC38-AD38)*(1-Recovery_OX!U33)</f>
        <v>1.9008741324609195</v>
      </c>
    </row>
    <row r="39" spans="2:32">
      <c r="B39" s="694">
        <f t="shared" si="1"/>
        <v>2022</v>
      </c>
      <c r="C39" s="878">
        <f>IF(Select2=1,Food!$K41,"")</f>
        <v>1.5672606605983321</v>
      </c>
      <c r="D39" s="879">
        <f>IF(Select2=1,Paper!$K41,"")</f>
        <v>0.27076912857770469</v>
      </c>
      <c r="E39" s="873">
        <f>IF(Select2=1,Nappies!$K41,"")</f>
        <v>0.49524551096997871</v>
      </c>
      <c r="F39" s="879">
        <f>IF(Select2=1,Garden!$K41,"")</f>
        <v>0</v>
      </c>
      <c r="G39" s="873">
        <f>IF(Select2=1,Wood!$K41,"")</f>
        <v>0</v>
      </c>
      <c r="H39" s="879">
        <f>IF(Select2=1,Textiles!$K41,"")</f>
        <v>6.4107960843102052E-2</v>
      </c>
      <c r="I39" s="880">
        <f>Sludge!K41</f>
        <v>0</v>
      </c>
      <c r="J39" s="880" t="str">
        <f>IF(Select2=2,MSW!$K41,"")</f>
        <v/>
      </c>
      <c r="K39" s="880">
        <f>Industry!$K41</f>
        <v>0</v>
      </c>
      <c r="L39" s="881">
        <f t="shared" si="3"/>
        <v>2.3973832609891175</v>
      </c>
      <c r="M39" s="882">
        <f>Recovery_OX!C34</f>
        <v>0.2706980394469381</v>
      </c>
      <c r="N39" s="649"/>
      <c r="O39" s="700">
        <f>(L39-M39)*(1-Recovery_OX!F34)</f>
        <v>2.1266852215421794</v>
      </c>
      <c r="P39" s="640"/>
      <c r="Q39" s="651"/>
      <c r="S39" s="694">
        <f t="shared" si="2"/>
        <v>2022</v>
      </c>
      <c r="T39" s="695">
        <f>IF(Select2=1,Food!$W41,"")</f>
        <v>1.0485686846108377</v>
      </c>
      <c r="U39" s="696">
        <f>IF(Select2=1,Paper!$W41,"")</f>
        <v>0.55944034830104272</v>
      </c>
      <c r="V39" s="686">
        <f>IF(Select2=1,Nappies!$W41,"")</f>
        <v>0</v>
      </c>
      <c r="W39" s="696">
        <f>IF(Select2=1,Garden!$W41,"")</f>
        <v>0</v>
      </c>
      <c r="X39" s="686">
        <f>IF(Select2=1,Wood!$W41,"")</f>
        <v>0.30449557532220062</v>
      </c>
      <c r="Y39" s="696">
        <f>IF(Select2=1,Textiles!$W41,"")</f>
        <v>7.0255299554084424E-2</v>
      </c>
      <c r="Z39" s="688">
        <f>Sludge!W41</f>
        <v>0</v>
      </c>
      <c r="AA39" s="688" t="str">
        <f>IF(Select2=2,MSW!$W41,"")</f>
        <v/>
      </c>
      <c r="AB39" s="697">
        <f>Industry!$W41</f>
        <v>0</v>
      </c>
      <c r="AC39" s="698">
        <f t="shared" si="0"/>
        <v>1.9827599077881655</v>
      </c>
      <c r="AD39" s="699">
        <f>Recovery_OX!R34</f>
        <v>0</v>
      </c>
      <c r="AE39" s="649"/>
      <c r="AF39" s="701">
        <f>(AC39-AD39)*(1-Recovery_OX!U34)</f>
        <v>1.9827599077881655</v>
      </c>
    </row>
    <row r="40" spans="2:32">
      <c r="B40" s="694">
        <f t="shared" si="1"/>
        <v>2023</v>
      </c>
      <c r="C40" s="878">
        <f>IF(Select2=1,Food!$K42,"")</f>
        <v>1.6308110385432601</v>
      </c>
      <c r="D40" s="879">
        <f>IF(Select2=1,Paper!$K42,"")</f>
        <v>0.28293366264867215</v>
      </c>
      <c r="E40" s="873">
        <f>IF(Select2=1,Nappies!$K42,"")</f>
        <v>0.5139036957854628</v>
      </c>
      <c r="F40" s="879">
        <f>IF(Select2=1,Garden!$K42,"")</f>
        <v>0</v>
      </c>
      <c r="G40" s="873">
        <f>IF(Select2=1,Wood!$K42,"")</f>
        <v>0</v>
      </c>
      <c r="H40" s="879">
        <f>IF(Select2=1,Textiles!$K42,"")</f>
        <v>6.69880656689089E-2</v>
      </c>
      <c r="I40" s="880">
        <f>Sludge!K42</f>
        <v>0</v>
      </c>
      <c r="J40" s="880" t="str">
        <f>IF(Select2=2,MSW!$K42,"")</f>
        <v/>
      </c>
      <c r="K40" s="880">
        <f>Industry!$K42</f>
        <v>0</v>
      </c>
      <c r="L40" s="881">
        <f t="shared" si="3"/>
        <v>2.4946364626463042</v>
      </c>
      <c r="M40" s="882">
        <f>Recovery_OX!C35</f>
        <v>0.28227760512018901</v>
      </c>
      <c r="N40" s="649"/>
      <c r="O40" s="700">
        <f>(L40-M40)*(1-Recovery_OX!F35)</f>
        <v>2.2123588575261151</v>
      </c>
      <c r="P40" s="640"/>
      <c r="Q40" s="651"/>
      <c r="S40" s="694">
        <f t="shared" si="2"/>
        <v>2023</v>
      </c>
      <c r="T40" s="695">
        <f>IF(Select2=1,Food!$W42,"")</f>
        <v>1.0910867786863918</v>
      </c>
      <c r="U40" s="696">
        <f>IF(Select2=1,Paper!$W42,"")</f>
        <v>0.5845736831584134</v>
      </c>
      <c r="V40" s="686">
        <f>IF(Select2=1,Nappies!$W42,"")</f>
        <v>0</v>
      </c>
      <c r="W40" s="696">
        <f>IF(Select2=1,Garden!$W42,"")</f>
        <v>0</v>
      </c>
      <c r="X40" s="686">
        <f>IF(Select2=1,Wood!$W42,"")</f>
        <v>0.32044590740295098</v>
      </c>
      <c r="Y40" s="696">
        <f>IF(Select2=1,Textiles!$W42,"")</f>
        <v>7.3411578815242615E-2</v>
      </c>
      <c r="Z40" s="688">
        <f>Sludge!W42</f>
        <v>0</v>
      </c>
      <c r="AA40" s="688" t="str">
        <f>IF(Select2=2,MSW!$W42,"")</f>
        <v/>
      </c>
      <c r="AB40" s="697">
        <f>Industry!$W42</f>
        <v>0</v>
      </c>
      <c r="AC40" s="698">
        <f t="shared" si="0"/>
        <v>2.0695179480629986</v>
      </c>
      <c r="AD40" s="699">
        <f>Recovery_OX!R35</f>
        <v>0</v>
      </c>
      <c r="AE40" s="649"/>
      <c r="AF40" s="701">
        <f>(AC40-AD40)*(1-Recovery_OX!U35)</f>
        <v>2.0695179480629986</v>
      </c>
    </row>
    <row r="41" spans="2:32">
      <c r="B41" s="694">
        <f t="shared" si="1"/>
        <v>2024</v>
      </c>
      <c r="C41" s="878">
        <f>IF(Select2=1,Food!$K43,"")</f>
        <v>1.6982310818116573</v>
      </c>
      <c r="D41" s="879">
        <f>IF(Select2=1,Paper!$K43,"")</f>
        <v>0.29557921331132675</v>
      </c>
      <c r="E41" s="873">
        <f>IF(Select2=1,Nappies!$K43,"")</f>
        <v>0.53375504027105325</v>
      </c>
      <c r="F41" s="879">
        <f>IF(Select2=1,Garden!$K43,"")</f>
        <v>0</v>
      </c>
      <c r="G41" s="873">
        <f>IF(Select2=1,Wood!$K43,"")</f>
        <v>0</v>
      </c>
      <c r="H41" s="879">
        <f>IF(Select2=1,Textiles!$K43,"")</f>
        <v>6.9982057158925748E-2</v>
      </c>
      <c r="I41" s="880">
        <f>Sludge!K43</f>
        <v>0</v>
      </c>
      <c r="J41" s="880" t="str">
        <f>IF(Select2=2,MSW!$K43,"")</f>
        <v/>
      </c>
      <c r="K41" s="880">
        <f>Industry!$K43</f>
        <v>0</v>
      </c>
      <c r="L41" s="881">
        <f t="shared" si="3"/>
        <v>2.5975473925529631</v>
      </c>
      <c r="M41" s="882">
        <f>Recovery_OX!C36</f>
        <v>0.29417232692164591</v>
      </c>
      <c r="N41" s="649"/>
      <c r="O41" s="700">
        <f>(L41-M41)*(1-Recovery_OX!F36)</f>
        <v>2.3033750656313172</v>
      </c>
      <c r="P41" s="640"/>
      <c r="Q41" s="651"/>
      <c r="S41" s="694">
        <f t="shared" si="2"/>
        <v>2024</v>
      </c>
      <c r="T41" s="695">
        <f>IF(Select2=1,Food!$W43,"")</f>
        <v>1.1361938549141328</v>
      </c>
      <c r="U41" s="696">
        <f>IF(Select2=1,Paper!$W43,"")</f>
        <v>0.61070085394902218</v>
      </c>
      <c r="V41" s="686">
        <f>IF(Select2=1,Nappies!$W43,"")</f>
        <v>0</v>
      </c>
      <c r="W41" s="696">
        <f>IF(Select2=1,Garden!$W43,"")</f>
        <v>0</v>
      </c>
      <c r="X41" s="686">
        <f>IF(Select2=1,Wood!$W43,"")</f>
        <v>0.33697793703169682</v>
      </c>
      <c r="Y41" s="696">
        <f>IF(Select2=1,Textiles!$W43,"")</f>
        <v>7.6692665379644642E-2</v>
      </c>
      <c r="Z41" s="688">
        <f>Sludge!W43</f>
        <v>0</v>
      </c>
      <c r="AA41" s="688" t="str">
        <f>IF(Select2=2,MSW!$W43,"")</f>
        <v/>
      </c>
      <c r="AB41" s="697">
        <f>Industry!$W43</f>
        <v>0</v>
      </c>
      <c r="AC41" s="698">
        <f t="shared" si="0"/>
        <v>2.1605653112744965</v>
      </c>
      <c r="AD41" s="699">
        <f>Recovery_OX!R36</f>
        <v>0</v>
      </c>
      <c r="AE41" s="649"/>
      <c r="AF41" s="701">
        <f>(AC41-AD41)*(1-Recovery_OX!U36)</f>
        <v>2.1605653112744965</v>
      </c>
    </row>
    <row r="42" spans="2:32">
      <c r="B42" s="694">
        <f t="shared" si="1"/>
        <v>2025</v>
      </c>
      <c r="C42" s="878">
        <f>IF(Select2=1,Food!$K44,"")</f>
        <v>1.7689205806149593</v>
      </c>
      <c r="D42" s="879">
        <f>IF(Select2=1,Paper!$K44,"")</f>
        <v>0.30870873534484805</v>
      </c>
      <c r="E42" s="873">
        <f>IF(Select2=1,Nappies!$K44,"")</f>
        <v>0.55472487417869654</v>
      </c>
      <c r="F42" s="879">
        <f>IF(Select2=1,Garden!$K44,"")</f>
        <v>0</v>
      </c>
      <c r="G42" s="873">
        <f>IF(Select2=1,Wood!$K44,"")</f>
        <v>0</v>
      </c>
      <c r="H42" s="879">
        <f>IF(Select2=1,Textiles!$K44,"")</f>
        <v>7.3090634893894807E-2</v>
      </c>
      <c r="I42" s="880">
        <f>Sludge!K44</f>
        <v>0</v>
      </c>
      <c r="J42" s="880" t="str">
        <f>IF(Select2=2,MSW!$K44,"")</f>
        <v/>
      </c>
      <c r="K42" s="880">
        <f>Industry!$K44</f>
        <v>0</v>
      </c>
      <c r="L42" s="881">
        <f t="shared" si="3"/>
        <v>2.7054448250323984</v>
      </c>
      <c r="M42" s="882">
        <f>Recovery_OX!C37</f>
        <v>0.30638234962117905</v>
      </c>
      <c r="N42" s="649"/>
      <c r="O42" s="700">
        <f>(L42-M42)*(1-Recovery_OX!F37)</f>
        <v>2.3990624754112195</v>
      </c>
      <c r="P42" s="640"/>
      <c r="Q42" s="651"/>
      <c r="S42" s="694">
        <f t="shared" si="2"/>
        <v>2025</v>
      </c>
      <c r="T42" s="695">
        <f>IF(Select2=1,Food!$W44,"")</f>
        <v>1.1834883456389114</v>
      </c>
      <c r="U42" s="696">
        <f>IF(Select2=1,Paper!$W44,"")</f>
        <v>0.63782796558852906</v>
      </c>
      <c r="V42" s="686">
        <f>IF(Select2=1,Nappies!$W44,"")</f>
        <v>0</v>
      </c>
      <c r="W42" s="696">
        <f>IF(Select2=1,Garden!$W44,"")</f>
        <v>0</v>
      </c>
      <c r="X42" s="686">
        <f>IF(Select2=1,Wood!$W44,"")</f>
        <v>0.35410241992939878</v>
      </c>
      <c r="Y42" s="696">
        <f>IF(Select2=1,Textiles!$W44,"")</f>
        <v>8.0099325911117583E-2</v>
      </c>
      <c r="Z42" s="688">
        <f>Sludge!W44</f>
        <v>0</v>
      </c>
      <c r="AA42" s="688" t="str">
        <f>IF(Select2=2,MSW!$W44,"")</f>
        <v/>
      </c>
      <c r="AB42" s="697">
        <f>Industry!$W44</f>
        <v>0</v>
      </c>
      <c r="AC42" s="698">
        <f t="shared" si="0"/>
        <v>2.2555180570679569</v>
      </c>
      <c r="AD42" s="699">
        <f>Recovery_OX!R37</f>
        <v>0</v>
      </c>
      <c r="AE42" s="649"/>
      <c r="AF42" s="701">
        <f>(AC42-AD42)*(1-Recovery_OX!U37)</f>
        <v>2.2555180570679569</v>
      </c>
    </row>
    <row r="43" spans="2:32">
      <c r="B43" s="694">
        <f t="shared" si="1"/>
        <v>2026</v>
      </c>
      <c r="C43" s="878">
        <f>IF(Select2=1,Food!$K45,"")</f>
        <v>1.8424775126161821</v>
      </c>
      <c r="D43" s="879">
        <f>IF(Select2=1,Paper!$K45,"")</f>
        <v>0.32232500006260845</v>
      </c>
      <c r="E43" s="873">
        <f>IF(Select2=1,Nappies!$K45,"")</f>
        <v>0.57675025223237342</v>
      </c>
      <c r="F43" s="879">
        <f>IF(Select2=1,Garden!$K45,"")</f>
        <v>0</v>
      </c>
      <c r="G43" s="873">
        <f>IF(Select2=1,Wood!$K45,"")</f>
        <v>0</v>
      </c>
      <c r="H43" s="879">
        <f>IF(Select2=1,Textiles!$K45,"")</f>
        <v>7.6314455016745303E-2</v>
      </c>
      <c r="I43" s="880">
        <f>Sludge!K45</f>
        <v>0</v>
      </c>
      <c r="J43" s="880" t="str">
        <f>IF(Select2=2,MSW!$K45,"")</f>
        <v/>
      </c>
      <c r="K43" s="880">
        <f>Industry!$K45</f>
        <v>0</v>
      </c>
      <c r="L43" s="881">
        <f t="shared" si="3"/>
        <v>2.8178672199279089</v>
      </c>
      <c r="M43" s="882">
        <f>Recovery_OX!C38</f>
        <v>0.31890692384668723</v>
      </c>
      <c r="N43" s="649"/>
      <c r="O43" s="700">
        <f>(L43-M43)*(1-Recovery_OX!F38)</f>
        <v>2.4989602960812216</v>
      </c>
      <c r="P43" s="640"/>
      <c r="Q43" s="651"/>
      <c r="S43" s="694">
        <f t="shared" si="2"/>
        <v>2026</v>
      </c>
      <c r="T43" s="695">
        <f>IF(Select2=1,Food!$W45,"")</f>
        <v>1.2327012796272405</v>
      </c>
      <c r="U43" s="696">
        <f>IF(Select2=1,Paper!$W45,"")</f>
        <v>0.66596074393100912</v>
      </c>
      <c r="V43" s="686">
        <f>IF(Select2=1,Nappies!$W45,"")</f>
        <v>0</v>
      </c>
      <c r="W43" s="696">
        <f>IF(Select2=1,Garden!$W45,"")</f>
        <v>0</v>
      </c>
      <c r="X43" s="686">
        <f>IF(Select2=1,Wood!$W45,"")</f>
        <v>0.37182975600972396</v>
      </c>
      <c r="Y43" s="696">
        <f>IF(Select2=1,Textiles!$W45,"")</f>
        <v>8.3632279470405774E-2</v>
      </c>
      <c r="Z43" s="688">
        <f>Sludge!W45</f>
        <v>0</v>
      </c>
      <c r="AA43" s="688" t="str">
        <f>IF(Select2=2,MSW!$W45,"")</f>
        <v/>
      </c>
      <c r="AB43" s="697">
        <f>Industry!$W45</f>
        <v>0</v>
      </c>
      <c r="AC43" s="698">
        <f t="shared" si="0"/>
        <v>2.3541240590383792</v>
      </c>
      <c r="AD43" s="699">
        <f>Recovery_OX!R38</f>
        <v>0</v>
      </c>
      <c r="AE43" s="649"/>
      <c r="AF43" s="701">
        <f>(AC43-AD43)*(1-Recovery_OX!U38)</f>
        <v>2.3541240590383792</v>
      </c>
    </row>
    <row r="44" spans="2:32">
      <c r="B44" s="694">
        <f t="shared" si="1"/>
        <v>2027</v>
      </c>
      <c r="C44" s="878">
        <f>IF(Select2=1,Food!$K46,"")</f>
        <v>1.9186307878949562</v>
      </c>
      <c r="D44" s="879">
        <f>IF(Select2=1,Paper!$K46,"")</f>
        <v>0.33643050706955735</v>
      </c>
      <c r="E44" s="873">
        <f>IF(Select2=1,Nappies!$K46,"")</f>
        <v>0.59977780373265333</v>
      </c>
      <c r="F44" s="879">
        <f>IF(Select2=1,Garden!$K46,"")</f>
        <v>0</v>
      </c>
      <c r="G44" s="873">
        <f>IF(Select2=1,Wood!$K46,"")</f>
        <v>0</v>
      </c>
      <c r="H44" s="879">
        <f>IF(Select2=1,Textiles!$K46,"")</f>
        <v>7.9654109340055915E-2</v>
      </c>
      <c r="I44" s="880">
        <f>Sludge!K46</f>
        <v>0</v>
      </c>
      <c r="J44" s="880" t="str">
        <f>IF(Select2=2,MSW!$K46,"")</f>
        <v/>
      </c>
      <c r="K44" s="880">
        <f>Industry!$K46</f>
        <v>0</v>
      </c>
      <c r="L44" s="881">
        <f t="shared" si="3"/>
        <v>2.9344932080372228</v>
      </c>
      <c r="M44" s="882">
        <f>Recovery_OX!C39</f>
        <v>0.33174430344188965</v>
      </c>
      <c r="N44" s="649"/>
      <c r="O44" s="700">
        <f>(L44-M44)*(1-Recovery_OX!F39)</f>
        <v>2.6027489045953329</v>
      </c>
      <c r="P44" s="640"/>
      <c r="Q44" s="651"/>
      <c r="S44" s="694">
        <f t="shared" si="2"/>
        <v>2027</v>
      </c>
      <c r="T44" s="695">
        <f>IF(Select2=1,Food!$W46,"")</f>
        <v>1.2836512853891322</v>
      </c>
      <c r="U44" s="696">
        <f>IF(Select2=1,Paper!$W46,"")</f>
        <v>0.69510435344949872</v>
      </c>
      <c r="V44" s="686">
        <f>IF(Select2=1,Nappies!$W46,"")</f>
        <v>0</v>
      </c>
      <c r="W44" s="696">
        <f>IF(Select2=1,Garden!$W46,"")</f>
        <v>0</v>
      </c>
      <c r="X44" s="686">
        <f>IF(Select2=1,Wood!$W46,"")</f>
        <v>0.3901699143380567</v>
      </c>
      <c r="Y44" s="696">
        <f>IF(Select2=1,Textiles!$W46,"")</f>
        <v>8.7292174619239341E-2</v>
      </c>
      <c r="Z44" s="688">
        <f>Sludge!W46</f>
        <v>0</v>
      </c>
      <c r="AA44" s="688" t="str">
        <f>IF(Select2=2,MSW!$W46,"")</f>
        <v/>
      </c>
      <c r="AB44" s="697">
        <f>Industry!$W46</f>
        <v>0</v>
      </c>
      <c r="AC44" s="698">
        <f t="shared" si="0"/>
        <v>2.4562177277959267</v>
      </c>
      <c r="AD44" s="699">
        <f>Recovery_OX!R39</f>
        <v>0</v>
      </c>
      <c r="AE44" s="649"/>
      <c r="AF44" s="701">
        <f>(AC44-AD44)*(1-Recovery_OX!U39)</f>
        <v>2.4562177277959267</v>
      </c>
    </row>
    <row r="45" spans="2:32">
      <c r="B45" s="694">
        <f t="shared" si="1"/>
        <v>2028</v>
      </c>
      <c r="C45" s="878">
        <f>IF(Select2=1,Food!$K47,"")</f>
        <v>1.9971949465344747</v>
      </c>
      <c r="D45" s="879">
        <f>IF(Select2=1,Paper!$K47,"")</f>
        <v>0.35102739043178222</v>
      </c>
      <c r="E45" s="873">
        <f>IF(Select2=1,Nappies!$K47,"")</f>
        <v>0.62376188191154192</v>
      </c>
      <c r="F45" s="879">
        <f>IF(Select2=1,Garden!$K47,"")</f>
        <v>0</v>
      </c>
      <c r="G45" s="873">
        <f>IF(Select2=1,Wood!$K47,"")</f>
        <v>0</v>
      </c>
      <c r="H45" s="879">
        <f>IF(Select2=1,Textiles!$K47,"")</f>
        <v>8.3110103130530785E-2</v>
      </c>
      <c r="I45" s="880">
        <f>Sludge!K47</f>
        <v>0</v>
      </c>
      <c r="J45" s="880" t="str">
        <f>IF(Select2=2,MSW!$K47,"")</f>
        <v/>
      </c>
      <c r="K45" s="880">
        <f>Industry!$K47</f>
        <v>0</v>
      </c>
      <c r="L45" s="881">
        <f t="shared" si="3"/>
        <v>3.0550943220083298</v>
      </c>
      <c r="M45" s="882">
        <f>Recovery_OX!C40</f>
        <v>0.34489163356869706</v>
      </c>
      <c r="N45" s="649"/>
      <c r="O45" s="700">
        <f>(L45-M45)*(1-Recovery_OX!F40)</f>
        <v>2.7102026884396326</v>
      </c>
      <c r="P45" s="640"/>
      <c r="Q45" s="651"/>
      <c r="S45" s="694">
        <f t="shared" si="2"/>
        <v>2028</v>
      </c>
      <c r="T45" s="695">
        <f>IF(Select2=1,Food!$W47,"")</f>
        <v>1.3362142818027263</v>
      </c>
      <c r="U45" s="696">
        <f>IF(Select2=1,Paper!$W47,"")</f>
        <v>0.72526320337145089</v>
      </c>
      <c r="V45" s="686">
        <f>IF(Select2=1,Nappies!$W47,"")</f>
        <v>0</v>
      </c>
      <c r="W45" s="696">
        <f>IF(Select2=1,Garden!$W47,"")</f>
        <v>0</v>
      </c>
      <c r="X45" s="686">
        <f>IF(Select2=1,Wood!$W47,"")</f>
        <v>0.4091323506524196</v>
      </c>
      <c r="Y45" s="696">
        <f>IF(Select2=1,Textiles!$W47,"")</f>
        <v>9.1079565074554281E-2</v>
      </c>
      <c r="Z45" s="688">
        <f>Sludge!W47</f>
        <v>0</v>
      </c>
      <c r="AA45" s="688" t="str">
        <f>IF(Select2=2,MSW!$W47,"")</f>
        <v/>
      </c>
      <c r="AB45" s="697">
        <f>Industry!$W47</f>
        <v>0</v>
      </c>
      <c r="AC45" s="698">
        <f t="shared" si="0"/>
        <v>2.5616894009011513</v>
      </c>
      <c r="AD45" s="699">
        <f>Recovery_OX!R40</f>
        <v>0</v>
      </c>
      <c r="AE45" s="649"/>
      <c r="AF45" s="701">
        <f>(AC45-AD45)*(1-Recovery_OX!U40)</f>
        <v>2.5616894009011513</v>
      </c>
    </row>
    <row r="46" spans="2:32">
      <c r="B46" s="694">
        <f t="shared" si="1"/>
        <v>2029</v>
      </c>
      <c r="C46" s="878">
        <f>IF(Select2=1,Food!$K48,"")</f>
        <v>2.0780395516518526</v>
      </c>
      <c r="D46" s="879">
        <f>IF(Select2=1,Paper!$K48,"")</f>
        <v>0.3661173185942122</v>
      </c>
      <c r="E46" s="873">
        <f>IF(Select2=1,Nappies!$K48,"")</f>
        <v>0.64866296289095215</v>
      </c>
      <c r="F46" s="879">
        <f>IF(Select2=1,Garden!$K48,"")</f>
        <v>0</v>
      </c>
      <c r="G46" s="873">
        <f>IF(Select2=1,Wood!$K48,"")</f>
        <v>0</v>
      </c>
      <c r="H46" s="879">
        <f>IF(Select2=1,Textiles!$K48,"")</f>
        <v>8.6682831413270239E-2</v>
      </c>
      <c r="I46" s="880">
        <f>Sludge!K48</f>
        <v>0</v>
      </c>
      <c r="J46" s="880" t="str">
        <f>IF(Select2=2,MSW!$K48,"")</f>
        <v/>
      </c>
      <c r="K46" s="880">
        <f>Industry!$K48</f>
        <v>0</v>
      </c>
      <c r="L46" s="881">
        <f t="shared" si="3"/>
        <v>3.1795026645502875</v>
      </c>
      <c r="M46" s="882">
        <f>Recovery_OX!C41</f>
        <v>0.35834482878044727</v>
      </c>
      <c r="N46" s="649"/>
      <c r="O46" s="700">
        <f>(L46-M46)*(1-Recovery_OX!F41)</f>
        <v>2.8211578357698404</v>
      </c>
      <c r="P46" s="640"/>
      <c r="Q46" s="651"/>
      <c r="S46" s="694">
        <f t="shared" si="2"/>
        <v>2029</v>
      </c>
      <c r="T46" s="695">
        <f>IF(Select2=1,Food!$W48,"")</f>
        <v>1.3903030006591346</v>
      </c>
      <c r="U46" s="696">
        <f>IF(Select2=1,Paper!$W48,"")</f>
        <v>0.75644074089713265</v>
      </c>
      <c r="V46" s="686">
        <f>IF(Select2=1,Nappies!$W48,"")</f>
        <v>0</v>
      </c>
      <c r="W46" s="696">
        <f>IF(Select2=1,Garden!$W48,"")</f>
        <v>0</v>
      </c>
      <c r="X46" s="686">
        <f>IF(Select2=1,Wood!$W48,"")</f>
        <v>0.42872591679869543</v>
      </c>
      <c r="Y46" s="696">
        <f>IF(Select2=1,Textiles!$W48,"")</f>
        <v>9.4994883740570135E-2</v>
      </c>
      <c r="Z46" s="688">
        <f>Sludge!W48</f>
        <v>0</v>
      </c>
      <c r="AA46" s="688" t="str">
        <f>IF(Select2=2,MSW!$W48,"")</f>
        <v/>
      </c>
      <c r="AB46" s="697">
        <f>Industry!$W48</f>
        <v>0</v>
      </c>
      <c r="AC46" s="698">
        <f t="shared" si="0"/>
        <v>2.6704645420955329</v>
      </c>
      <c r="AD46" s="699">
        <f>Recovery_OX!R41</f>
        <v>0</v>
      </c>
      <c r="AE46" s="649"/>
      <c r="AF46" s="701">
        <f>(AC46-AD46)*(1-Recovery_OX!U41)</f>
        <v>2.6704645420955329</v>
      </c>
    </row>
    <row r="47" spans="2:32">
      <c r="B47" s="694">
        <f t="shared" si="1"/>
        <v>2030</v>
      </c>
      <c r="C47" s="878">
        <f>IF(Select2=1,Food!$K49,"")</f>
        <v>2.1610684115812093</v>
      </c>
      <c r="D47" s="879">
        <f>IF(Select2=1,Paper!$K49,"")</f>
        <v>0.38170138734023396</v>
      </c>
      <c r="E47" s="873">
        <f>IF(Select2=1,Nappies!$K49,"")</f>
        <v>0.67444625166319583</v>
      </c>
      <c r="F47" s="879">
        <f>IF(Select2=1,Garden!$K49,"")</f>
        <v>0</v>
      </c>
      <c r="G47" s="873">
        <f>IF(Select2=1,Wood!$K49,"")</f>
        <v>0</v>
      </c>
      <c r="H47" s="879">
        <f>IF(Select2=1,Textiles!$K49,"")</f>
        <v>9.0372553628627839E-2</v>
      </c>
      <c r="I47" s="880">
        <f>Sludge!K49</f>
        <v>0</v>
      </c>
      <c r="J47" s="880" t="str">
        <f>IF(Select2=2,MSW!$K49,"")</f>
        <v/>
      </c>
      <c r="K47" s="880">
        <f>Industry!$K49</f>
        <v>0</v>
      </c>
      <c r="L47" s="881">
        <f t="shared" si="3"/>
        <v>3.3075886042132669</v>
      </c>
      <c r="M47" s="882">
        <f>Recovery_OX!C42</f>
        <v>0.37236144000000004</v>
      </c>
      <c r="N47" s="649"/>
      <c r="O47" s="700">
        <f>(L47-M47)*(1-Recovery_OX!F42)</f>
        <v>2.9352271642132668</v>
      </c>
      <c r="P47" s="640"/>
      <c r="Q47" s="651"/>
      <c r="S47" s="694">
        <f t="shared" si="2"/>
        <v>2030</v>
      </c>
      <c r="T47" s="695">
        <f>IF(Select2=1,Food!$W49,"")</f>
        <v>1.4458530853576335</v>
      </c>
      <c r="U47" s="696">
        <f>IF(Select2=1,Paper!$W49,"")</f>
        <v>0.78863923004180558</v>
      </c>
      <c r="V47" s="686">
        <f>IF(Select2=1,Nappies!$W49,"")</f>
        <v>0</v>
      </c>
      <c r="W47" s="696">
        <f>IF(Select2=1,Garden!$W49,"")</f>
        <v>0</v>
      </c>
      <c r="X47" s="686">
        <f>IF(Select2=1,Wood!$W49,"")</f>
        <v>0.44895876137929291</v>
      </c>
      <c r="Y47" s="696">
        <f>IF(Select2=1,Textiles!$W49,"")</f>
        <v>9.9038414935482558E-2</v>
      </c>
      <c r="Z47" s="688">
        <f>Sludge!W49</f>
        <v>0</v>
      </c>
      <c r="AA47" s="688" t="str">
        <f>IF(Select2=2,MSW!$W49,"")</f>
        <v/>
      </c>
      <c r="AB47" s="697">
        <f>Industry!$W49</f>
        <v>0</v>
      </c>
      <c r="AC47" s="698">
        <f t="shared" si="0"/>
        <v>2.7824894917142142</v>
      </c>
      <c r="AD47" s="699">
        <f>Recovery_OX!R42</f>
        <v>0</v>
      </c>
      <c r="AE47" s="649"/>
      <c r="AF47" s="701">
        <f>(AC47-AD47)*(1-Recovery_OX!U42)</f>
        <v>2.7824894917142142</v>
      </c>
    </row>
    <row r="48" spans="2:32">
      <c r="B48" s="694">
        <f t="shared" si="1"/>
        <v>2031</v>
      </c>
      <c r="C48" s="870">
        <f>IF(Select2=1,Food!$K50,"")</f>
        <v>2.2467691109040668</v>
      </c>
      <c r="D48" s="696">
        <f>IF(Select2=1,Paper!$K50,"")</f>
        <v>0.3978096087117573</v>
      </c>
      <c r="E48" s="686">
        <f>IF(Select2=1,Nappies!$K50,"")</f>
        <v>0.70117380890482928</v>
      </c>
      <c r="F48" s="696">
        <f>IF(Select2=1,Garden!$K50,"")</f>
        <v>0</v>
      </c>
      <c r="G48" s="686">
        <f>IF(Select2=1,Wood!$K50,"")</f>
        <v>0</v>
      </c>
      <c r="H48" s="696">
        <f>IF(Select2=1,Textiles!$K50,"")</f>
        <v>9.4186375501017855E-2</v>
      </c>
      <c r="I48" s="697">
        <f>Sludge!K50</f>
        <v>0</v>
      </c>
      <c r="J48" s="697" t="str">
        <f>IF(Select2=2,MSW!$K50,"")</f>
        <v/>
      </c>
      <c r="K48" s="697">
        <f>Industry!$K50</f>
        <v>0</v>
      </c>
      <c r="L48" s="871">
        <f t="shared" si="3"/>
        <v>3.439938904021671</v>
      </c>
      <c r="M48" s="869">
        <f>Recovery_OX!C43</f>
        <v>0</v>
      </c>
      <c r="N48" s="649"/>
      <c r="O48" s="700">
        <f>(L48-M48)*(1-Recovery_OX!F43)</f>
        <v>3.439938904021671</v>
      </c>
      <c r="P48" s="640"/>
      <c r="Q48" s="651"/>
      <c r="S48" s="694">
        <f t="shared" si="2"/>
        <v>2031</v>
      </c>
      <c r="T48" s="695">
        <f>IF(Select2=1,Food!$W50,"")</f>
        <v>1.5031907521659682</v>
      </c>
      <c r="U48" s="696">
        <f>IF(Select2=1,Paper!$W50,"")</f>
        <v>0.82192067915652345</v>
      </c>
      <c r="V48" s="686">
        <f>IF(Select2=1,Nappies!$W50,"")</f>
        <v>0</v>
      </c>
      <c r="W48" s="696">
        <f>IF(Select2=1,Garden!$W50,"")</f>
        <v>0</v>
      </c>
      <c r="X48" s="686">
        <f>IF(Select2=1,Wood!$W50,"")</f>
        <v>0.4698638927453867</v>
      </c>
      <c r="Y48" s="696">
        <f>IF(Select2=1,Textiles!$W50,"")</f>
        <v>0.10321794575454013</v>
      </c>
      <c r="Z48" s="688">
        <f>Sludge!W50</f>
        <v>0</v>
      </c>
      <c r="AA48" s="688" t="str">
        <f>IF(Select2=2,MSW!$W50,"")</f>
        <v/>
      </c>
      <c r="AB48" s="697">
        <f>Industry!$W50</f>
        <v>0</v>
      </c>
      <c r="AC48" s="698">
        <f t="shared" si="0"/>
        <v>2.8981932698224186</v>
      </c>
      <c r="AD48" s="699">
        <f>Recovery_OX!R43</f>
        <v>0</v>
      </c>
      <c r="AE48" s="649"/>
      <c r="AF48" s="701">
        <f>(AC48-AD48)*(1-Recovery_OX!U43)</f>
        <v>2.8981932698224186</v>
      </c>
    </row>
    <row r="49" spans="2:32">
      <c r="B49" s="694">
        <f t="shared" si="1"/>
        <v>2032</v>
      </c>
      <c r="C49" s="870">
        <f>IF(Select2=1,Food!$K51,"")</f>
        <v>1.5060543738526664</v>
      </c>
      <c r="D49" s="696">
        <f>IF(Select2=1,Paper!$K51,"")</f>
        <v>0.37091522066204596</v>
      </c>
      <c r="E49" s="686">
        <f>IF(Select2=1,Nappies!$K51,"")</f>
        <v>0.59155567289188049</v>
      </c>
      <c r="F49" s="696">
        <f>IF(Select2=1,Garden!$K51,"")</f>
        <v>0</v>
      </c>
      <c r="G49" s="686">
        <f>IF(Select2=1,Wood!$K51,"")</f>
        <v>0</v>
      </c>
      <c r="H49" s="696">
        <f>IF(Select2=1,Textiles!$K51,"")</f>
        <v>8.7818794436490058E-2</v>
      </c>
      <c r="I49" s="697">
        <f>Sludge!K51</f>
        <v>0</v>
      </c>
      <c r="J49" s="697" t="str">
        <f>IF(Select2=2,MSW!$K51,"")</f>
        <v/>
      </c>
      <c r="K49" s="697">
        <f>Industry!$K51</f>
        <v>0</v>
      </c>
      <c r="L49" s="698">
        <f t="shared" si="3"/>
        <v>2.5563440618430828</v>
      </c>
      <c r="M49" s="869">
        <f>Recovery_OX!C44</f>
        <v>0</v>
      </c>
      <c r="N49" s="649"/>
      <c r="O49" s="700">
        <f>(L49-M49)*(1-Recovery_OX!F44)</f>
        <v>2.5563440618430828</v>
      </c>
      <c r="P49" s="640"/>
      <c r="Q49" s="651"/>
      <c r="S49" s="694">
        <f t="shared" si="2"/>
        <v>2032</v>
      </c>
      <c r="T49" s="695">
        <f>IF(Select2=1,Food!$W51,"")</f>
        <v>1.0076188941922393</v>
      </c>
      <c r="U49" s="696">
        <f>IF(Select2=1,Paper!$W51,"")</f>
        <v>0.76635376169844227</v>
      </c>
      <c r="V49" s="686">
        <f>IF(Select2=1,Nappies!$W51,"")</f>
        <v>0</v>
      </c>
      <c r="W49" s="696">
        <f>IF(Select2=1,Garden!$W51,"")</f>
        <v>0</v>
      </c>
      <c r="X49" s="686">
        <f>IF(Select2=1,Wood!$W51,"")</f>
        <v>0.45370311973880972</v>
      </c>
      <c r="Y49" s="696">
        <f>IF(Select2=1,Textiles!$W51,"")</f>
        <v>9.6239774724920638E-2</v>
      </c>
      <c r="Z49" s="688">
        <f>Sludge!W51</f>
        <v>0</v>
      </c>
      <c r="AA49" s="688" t="str">
        <f>IF(Select2=2,MSW!$W51,"")</f>
        <v/>
      </c>
      <c r="AB49" s="697">
        <f>Industry!$W51</f>
        <v>0</v>
      </c>
      <c r="AC49" s="698">
        <f t="shared" ref="AC49:AC80" si="4">SUM(T49:AA49)</f>
        <v>2.3239155503544118</v>
      </c>
      <c r="AD49" s="699">
        <f>Recovery_OX!R44</f>
        <v>0</v>
      </c>
      <c r="AE49" s="649"/>
      <c r="AF49" s="701">
        <f>(AC49-AD49)*(1-Recovery_OX!U44)</f>
        <v>2.3239155503544118</v>
      </c>
    </row>
    <row r="50" spans="2:32">
      <c r="B50" s="694">
        <f t="shared" si="1"/>
        <v>2033</v>
      </c>
      <c r="C50" s="870">
        <f>IF(Select2=1,Food!$K52,"")</f>
        <v>1.0095384372130953</v>
      </c>
      <c r="D50" s="696">
        <f>IF(Select2=1,Paper!$K52,"")</f>
        <v>0.34583905945434279</v>
      </c>
      <c r="E50" s="686">
        <f>IF(Select2=1,Nappies!$K52,"")</f>
        <v>0.49907470827687872</v>
      </c>
      <c r="F50" s="696">
        <f>IF(Select2=1,Garden!$K52,"")</f>
        <v>0</v>
      </c>
      <c r="G50" s="686">
        <f>IF(Select2=1,Wood!$K52,"")</f>
        <v>0</v>
      </c>
      <c r="H50" s="696">
        <f>IF(Select2=1,Textiles!$K52,"")</f>
        <v>8.1881701204174206E-2</v>
      </c>
      <c r="I50" s="697">
        <f>Sludge!K52</f>
        <v>0</v>
      </c>
      <c r="J50" s="697" t="str">
        <f>IF(Select2=2,MSW!$K52,"")</f>
        <v/>
      </c>
      <c r="K50" s="697">
        <f>Industry!$K52</f>
        <v>0</v>
      </c>
      <c r="L50" s="698">
        <f t="shared" si="3"/>
        <v>1.936333906148491</v>
      </c>
      <c r="M50" s="869">
        <f>Recovery_OX!C45</f>
        <v>0</v>
      </c>
      <c r="N50" s="649"/>
      <c r="O50" s="700">
        <f>(L50-M50)*(1-Recovery_OX!F45)</f>
        <v>1.936333906148491</v>
      </c>
      <c r="P50" s="640"/>
      <c r="Q50" s="651"/>
      <c r="S50" s="694">
        <f t="shared" si="2"/>
        <v>2033</v>
      </c>
      <c r="T50" s="695">
        <f>IF(Select2=1,Food!$W52,"")</f>
        <v>0.67542714354132172</v>
      </c>
      <c r="U50" s="696">
        <f>IF(Select2=1,Paper!$W52,"")</f>
        <v>0.71454351126930338</v>
      </c>
      <c r="V50" s="686">
        <f>IF(Select2=1,Nappies!$W52,"")</f>
        <v>0</v>
      </c>
      <c r="W50" s="696">
        <f>IF(Select2=1,Garden!$W52,"")</f>
        <v>0</v>
      </c>
      <c r="X50" s="686">
        <f>IF(Select2=1,Wood!$W52,"")</f>
        <v>0.43809818979274984</v>
      </c>
      <c r="Y50" s="696">
        <f>IF(Select2=1,Textiles!$W52,"")</f>
        <v>8.9733371182656674E-2</v>
      </c>
      <c r="Z50" s="688">
        <f>Sludge!W52</f>
        <v>0</v>
      </c>
      <c r="AA50" s="688" t="str">
        <f>IF(Select2=2,MSW!$W52,"")</f>
        <v/>
      </c>
      <c r="AB50" s="697">
        <f>Industry!$W52</f>
        <v>0</v>
      </c>
      <c r="AC50" s="698">
        <f t="shared" si="4"/>
        <v>1.9178022157860317</v>
      </c>
      <c r="AD50" s="699">
        <f>Recovery_OX!R45</f>
        <v>0</v>
      </c>
      <c r="AE50" s="649"/>
      <c r="AF50" s="701">
        <f>(AC50-AD50)*(1-Recovery_OX!U45)</f>
        <v>1.9178022157860317</v>
      </c>
    </row>
    <row r="51" spans="2:32">
      <c r="B51" s="694">
        <f t="shared" si="1"/>
        <v>2034</v>
      </c>
      <c r="C51" s="870">
        <f>IF(Select2=1,Food!$K53,"")</f>
        <v>0.67671385170742948</v>
      </c>
      <c r="D51" s="696">
        <f>IF(Select2=1,Paper!$K53,"")</f>
        <v>0.32245820171731499</v>
      </c>
      <c r="E51" s="686">
        <f>IF(Select2=1,Nappies!$K53,"")</f>
        <v>0.42105177222630663</v>
      </c>
      <c r="F51" s="696">
        <f>IF(Select2=1,Garden!$K53,"")</f>
        <v>0</v>
      </c>
      <c r="G51" s="686">
        <f>IF(Select2=1,Wood!$K53,"")</f>
        <v>0</v>
      </c>
      <c r="H51" s="696">
        <f>IF(Select2=1,Textiles!$K53,"")</f>
        <v>7.6345992166157478E-2</v>
      </c>
      <c r="I51" s="697">
        <f>Sludge!K53</f>
        <v>0</v>
      </c>
      <c r="J51" s="697" t="str">
        <f>IF(Select2=2,MSW!$K53,"")</f>
        <v/>
      </c>
      <c r="K51" s="697">
        <f>Industry!$K53</f>
        <v>0</v>
      </c>
      <c r="L51" s="698">
        <f t="shared" si="3"/>
        <v>1.4965698178172087</v>
      </c>
      <c r="M51" s="869">
        <f>Recovery_OX!C46</f>
        <v>0</v>
      </c>
      <c r="N51" s="649"/>
      <c r="O51" s="700">
        <f>(L51-M51)*(1-Recovery_OX!F46)</f>
        <v>1.4965698178172087</v>
      </c>
      <c r="P51" s="640"/>
      <c r="Q51" s="651"/>
      <c r="S51" s="694">
        <f t="shared" si="2"/>
        <v>2034</v>
      </c>
      <c r="T51" s="695">
        <f>IF(Select2=1,Food!$W53,"")</f>
        <v>0.45275235395233915</v>
      </c>
      <c r="U51" s="696">
        <f>IF(Select2=1,Paper!$W53,"")</f>
        <v>0.66623595396139468</v>
      </c>
      <c r="V51" s="686">
        <f>IF(Select2=1,Nappies!$W53,"")</f>
        <v>0</v>
      </c>
      <c r="W51" s="696">
        <f>IF(Select2=1,Garden!$W53,"")</f>
        <v>0</v>
      </c>
      <c r="X51" s="686">
        <f>IF(Select2=1,Wood!$W53,"")</f>
        <v>0.42302998491651456</v>
      </c>
      <c r="Y51" s="696">
        <f>IF(Select2=1,Textiles!$W53,"")</f>
        <v>8.366684073003558E-2</v>
      </c>
      <c r="Z51" s="688">
        <f>Sludge!W53</f>
        <v>0</v>
      </c>
      <c r="AA51" s="688" t="str">
        <f>IF(Select2=2,MSW!$W53,"")</f>
        <v/>
      </c>
      <c r="AB51" s="697">
        <f>Industry!$W53</f>
        <v>0</v>
      </c>
      <c r="AC51" s="698">
        <f t="shared" si="4"/>
        <v>1.6256851335602842</v>
      </c>
      <c r="AD51" s="699">
        <f>Recovery_OX!R46</f>
        <v>0</v>
      </c>
      <c r="AE51" s="649"/>
      <c r="AF51" s="701">
        <f>(AC51-AD51)*(1-Recovery_OX!U46)</f>
        <v>1.6256851335602842</v>
      </c>
    </row>
    <row r="52" spans="2:32">
      <c r="B52" s="694">
        <f t="shared" si="1"/>
        <v>2035</v>
      </c>
      <c r="C52" s="870">
        <f>IF(Select2=1,Food!$K54,"")</f>
        <v>0.453614860229479</v>
      </c>
      <c r="D52" s="696">
        <f>IF(Select2=1,Paper!$K54,"")</f>
        <v>0.30065803445921013</v>
      </c>
      <c r="E52" s="686">
        <f>IF(Select2=1,Nappies!$K54,"")</f>
        <v>0.35522656619288934</v>
      </c>
      <c r="F52" s="696">
        <f>IF(Select2=1,Garden!$K54,"")</f>
        <v>0</v>
      </c>
      <c r="G52" s="686">
        <f>IF(Select2=1,Wood!$K54,"")</f>
        <v>0</v>
      </c>
      <c r="H52" s="696">
        <f>IF(Select2=1,Textiles!$K54,"")</f>
        <v>7.1184531270313184E-2</v>
      </c>
      <c r="I52" s="697">
        <f>Sludge!K54</f>
        <v>0</v>
      </c>
      <c r="J52" s="697" t="str">
        <f>IF(Select2=2,MSW!$K54,"")</f>
        <v/>
      </c>
      <c r="K52" s="697">
        <f>Industry!$K54</f>
        <v>0</v>
      </c>
      <c r="L52" s="698">
        <f t="shared" si="3"/>
        <v>1.1806839921518917</v>
      </c>
      <c r="M52" s="869">
        <f>Recovery_OX!C47</f>
        <v>0</v>
      </c>
      <c r="N52" s="649"/>
      <c r="O52" s="700">
        <f>(L52-M52)*(1-Recovery_OX!F47)</f>
        <v>1.1806839921518917</v>
      </c>
      <c r="P52" s="640"/>
      <c r="Q52" s="651"/>
      <c r="S52" s="694">
        <f t="shared" si="2"/>
        <v>2035</v>
      </c>
      <c r="T52" s="695">
        <f>IF(Select2=1,Food!$W54,"")</f>
        <v>0.3034889787440761</v>
      </c>
      <c r="U52" s="696">
        <f>IF(Select2=1,Paper!$W54,"")</f>
        <v>0.62119428607274829</v>
      </c>
      <c r="V52" s="686">
        <f>IF(Select2=1,Nappies!$W54,"")</f>
        <v>0</v>
      </c>
      <c r="W52" s="696">
        <f>IF(Select2=1,Garden!$W54,"")</f>
        <v>0</v>
      </c>
      <c r="X52" s="686">
        <f>IF(Select2=1,Wood!$W54,"")</f>
        <v>0.40848004467474308</v>
      </c>
      <c r="Y52" s="696">
        <f>IF(Select2=1,Textiles!$W54,"")</f>
        <v>7.8010445227740477E-2</v>
      </c>
      <c r="Z52" s="688">
        <f>Sludge!W54</f>
        <v>0</v>
      </c>
      <c r="AA52" s="688" t="str">
        <f>IF(Select2=2,MSW!$W54,"")</f>
        <v/>
      </c>
      <c r="AB52" s="697">
        <f>Industry!$W54</f>
        <v>0</v>
      </c>
      <c r="AC52" s="698">
        <f t="shared" si="4"/>
        <v>1.4111737547193077</v>
      </c>
      <c r="AD52" s="699">
        <f>Recovery_OX!R47</f>
        <v>0</v>
      </c>
      <c r="AE52" s="649"/>
      <c r="AF52" s="701">
        <f>(AC52-AD52)*(1-Recovery_OX!U47)</f>
        <v>1.4111737547193077</v>
      </c>
    </row>
    <row r="53" spans="2:32">
      <c r="B53" s="694">
        <f t="shared" si="1"/>
        <v>2036</v>
      </c>
      <c r="C53" s="870">
        <f>IF(Select2=1,Food!$K55,"")</f>
        <v>0.30406713399147445</v>
      </c>
      <c r="D53" s="696">
        <f>IF(Select2=1,Paper!$K55,"")</f>
        <v>0.28033169323483714</v>
      </c>
      <c r="E53" s="686">
        <f>IF(Select2=1,Nappies!$K55,"")</f>
        <v>0.29969215581728709</v>
      </c>
      <c r="F53" s="696">
        <f>IF(Select2=1,Garden!$K55,"")</f>
        <v>0</v>
      </c>
      <c r="G53" s="686">
        <f>IF(Select2=1,Wood!$K55,"")</f>
        <v>0</v>
      </c>
      <c r="H53" s="696">
        <f>IF(Select2=1,Textiles!$K55,"")</f>
        <v>6.6372017029341729E-2</v>
      </c>
      <c r="I53" s="697">
        <f>Sludge!K55</f>
        <v>0</v>
      </c>
      <c r="J53" s="697" t="str">
        <f>IF(Select2=2,MSW!$K55,"")</f>
        <v/>
      </c>
      <c r="K53" s="697">
        <f>Industry!$K55</f>
        <v>0</v>
      </c>
      <c r="L53" s="698">
        <f t="shared" si="3"/>
        <v>0.95046300007294049</v>
      </c>
      <c r="M53" s="869">
        <f>Recovery_OX!C48</f>
        <v>0</v>
      </c>
      <c r="N53" s="649"/>
      <c r="O53" s="700">
        <f>(L53-M53)*(1-Recovery_OX!F48)</f>
        <v>0.95046300007294049</v>
      </c>
      <c r="P53" s="640"/>
      <c r="Q53" s="651"/>
      <c r="S53" s="694">
        <f t="shared" si="2"/>
        <v>2036</v>
      </c>
      <c r="T53" s="695">
        <f>IF(Select2=1,Food!$W55,"")</f>
        <v>0.20343474620303825</v>
      </c>
      <c r="U53" s="696">
        <f>IF(Select2=1,Paper!$W55,"")</f>
        <v>0.57919771329511827</v>
      </c>
      <c r="V53" s="686">
        <f>IF(Select2=1,Nappies!$W55,"")</f>
        <v>0</v>
      </c>
      <c r="W53" s="696">
        <f>IF(Select2=1,Garden!$W55,"")</f>
        <v>0</v>
      </c>
      <c r="X53" s="686">
        <f>IF(Select2=1,Wood!$W55,"")</f>
        <v>0.39443054357106466</v>
      </c>
      <c r="Y53" s="696">
        <f>IF(Select2=1,Textiles!$W55,"")</f>
        <v>7.2736457018456685E-2</v>
      </c>
      <c r="Z53" s="688">
        <f>Sludge!W55</f>
        <v>0</v>
      </c>
      <c r="AA53" s="688" t="str">
        <f>IF(Select2=2,MSW!$W55,"")</f>
        <v/>
      </c>
      <c r="AB53" s="697">
        <f>Industry!$W55</f>
        <v>0</v>
      </c>
      <c r="AC53" s="698">
        <f t="shared" si="4"/>
        <v>1.2497994600876781</v>
      </c>
      <c r="AD53" s="699">
        <f>Recovery_OX!R48</f>
        <v>0</v>
      </c>
      <c r="AE53" s="649"/>
      <c r="AF53" s="701">
        <f>(AC53-AD53)*(1-Recovery_OX!U48)</f>
        <v>1.2497994600876781</v>
      </c>
    </row>
    <row r="54" spans="2:32">
      <c r="B54" s="694">
        <f t="shared" si="1"/>
        <v>2037</v>
      </c>
      <c r="C54" s="870">
        <f>IF(Select2=1,Food!$K56,"")</f>
        <v>0.20382229525509005</v>
      </c>
      <c r="D54" s="696">
        <f>IF(Select2=1,Paper!$K56,"")</f>
        <v>0.2613795382959323</v>
      </c>
      <c r="E54" s="686">
        <f>IF(Select2=1,Nappies!$K56,"")</f>
        <v>0.25283972767296636</v>
      </c>
      <c r="F54" s="696">
        <f>IF(Select2=1,Garden!$K56,"")</f>
        <v>0</v>
      </c>
      <c r="G54" s="686">
        <f>IF(Select2=1,Wood!$K56,"")</f>
        <v>0</v>
      </c>
      <c r="H54" s="696">
        <f>IF(Select2=1,Textiles!$K56,"")</f>
        <v>6.1884858492850588E-2</v>
      </c>
      <c r="I54" s="697">
        <f>Sludge!K56</f>
        <v>0</v>
      </c>
      <c r="J54" s="697" t="str">
        <f>IF(Select2=2,MSW!$K56,"")</f>
        <v/>
      </c>
      <c r="K54" s="697">
        <f>Industry!$K56</f>
        <v>0</v>
      </c>
      <c r="L54" s="698">
        <f t="shared" si="3"/>
        <v>0.7799264197168394</v>
      </c>
      <c r="M54" s="869">
        <f>Recovery_OX!C49</f>
        <v>0</v>
      </c>
      <c r="N54" s="649"/>
      <c r="O54" s="700">
        <f>(L54-M54)*(1-Recovery_OX!F49)</f>
        <v>0.7799264197168394</v>
      </c>
      <c r="P54" s="640"/>
      <c r="Q54" s="651"/>
      <c r="S54" s="694">
        <f t="shared" si="2"/>
        <v>2037</v>
      </c>
      <c r="T54" s="695">
        <f>IF(Select2=1,Food!$W56,"")</f>
        <v>0.13636638844006918</v>
      </c>
      <c r="U54" s="696">
        <f>IF(Select2=1,Paper!$W56,"")</f>
        <v>0.54004036838002545</v>
      </c>
      <c r="V54" s="686">
        <f>IF(Select2=1,Nappies!$W56,"")</f>
        <v>0</v>
      </c>
      <c r="W54" s="696">
        <f>IF(Select2=1,Garden!$W56,"")</f>
        <v>0</v>
      </c>
      <c r="X54" s="686">
        <f>IF(Select2=1,Wood!$W56,"")</f>
        <v>0.38086426920963606</v>
      </c>
      <c r="Y54" s="696">
        <f>IF(Select2=1,Textiles!$W56,"")</f>
        <v>6.7819023005863649E-2</v>
      </c>
      <c r="Z54" s="688">
        <f>Sludge!W56</f>
        <v>0</v>
      </c>
      <c r="AA54" s="688" t="str">
        <f>IF(Select2=2,MSW!$W56,"")</f>
        <v/>
      </c>
      <c r="AB54" s="697">
        <f>Industry!$W56</f>
        <v>0</v>
      </c>
      <c r="AC54" s="698">
        <f t="shared" si="4"/>
        <v>1.1250900490355944</v>
      </c>
      <c r="AD54" s="699">
        <f>Recovery_OX!R49</f>
        <v>0</v>
      </c>
      <c r="AE54" s="649"/>
      <c r="AF54" s="701">
        <f>(AC54-AD54)*(1-Recovery_OX!U49)</f>
        <v>1.1250900490355944</v>
      </c>
    </row>
    <row r="55" spans="2:32">
      <c r="B55" s="694">
        <f t="shared" si="1"/>
        <v>2038</v>
      </c>
      <c r="C55" s="870">
        <f>IF(Select2=1,Food!$K57,"")</f>
        <v>0.13662617033848162</v>
      </c>
      <c r="D55" s="696">
        <f>IF(Select2=1,Paper!$K57,"")</f>
        <v>0.24370866615699743</v>
      </c>
      <c r="E55" s="686">
        <f>IF(Select2=1,Nappies!$K57,"")</f>
        <v>0.2133119824754928</v>
      </c>
      <c r="F55" s="696">
        <f>IF(Select2=1,Garden!$K57,"")</f>
        <v>0</v>
      </c>
      <c r="G55" s="686">
        <f>IF(Select2=1,Wood!$K57,"")</f>
        <v>0</v>
      </c>
      <c r="H55" s="696">
        <f>IF(Select2=1,Textiles!$K57,"")</f>
        <v>5.7701059604488021E-2</v>
      </c>
      <c r="I55" s="697">
        <f>Sludge!K57</f>
        <v>0</v>
      </c>
      <c r="J55" s="697" t="str">
        <f>IF(Select2=2,MSW!$K57,"")</f>
        <v/>
      </c>
      <c r="K55" s="697">
        <f>Industry!$K57</f>
        <v>0</v>
      </c>
      <c r="L55" s="698">
        <f t="shared" si="3"/>
        <v>0.65134787857545984</v>
      </c>
      <c r="M55" s="869">
        <f>Recovery_OX!C50</f>
        <v>0</v>
      </c>
      <c r="N55" s="649"/>
      <c r="O55" s="700">
        <f>(L55-M55)*(1-Recovery_OX!F50)</f>
        <v>0.65134787857545984</v>
      </c>
      <c r="P55" s="640"/>
      <c r="Q55" s="651"/>
      <c r="S55" s="694">
        <f t="shared" si="2"/>
        <v>2038</v>
      </c>
      <c r="T55" s="695">
        <f>IF(Select2=1,Food!$W57,"")</f>
        <v>9.1409123776861056E-2</v>
      </c>
      <c r="U55" s="696">
        <f>IF(Select2=1,Paper!$W57,"")</f>
        <v>0.50353030197726745</v>
      </c>
      <c r="V55" s="686">
        <f>IF(Select2=1,Nappies!$W57,"")</f>
        <v>0</v>
      </c>
      <c r="W55" s="696">
        <f>IF(Select2=1,Garden!$W57,"")</f>
        <v>0</v>
      </c>
      <c r="X55" s="686">
        <f>IF(Select2=1,Wood!$W57,"")</f>
        <v>0.36776460120780446</v>
      </c>
      <c r="Y55" s="696">
        <f>IF(Select2=1,Textiles!$W57,"")</f>
        <v>6.3234037922726596E-2</v>
      </c>
      <c r="Z55" s="688">
        <f>Sludge!W57</f>
        <v>0</v>
      </c>
      <c r="AA55" s="688" t="str">
        <f>IF(Select2=2,MSW!$W57,"")</f>
        <v/>
      </c>
      <c r="AB55" s="697">
        <f>Industry!$W57</f>
        <v>0</v>
      </c>
      <c r="AC55" s="698">
        <f t="shared" si="4"/>
        <v>1.0259380648846594</v>
      </c>
      <c r="AD55" s="699">
        <f>Recovery_OX!R50</f>
        <v>0</v>
      </c>
      <c r="AE55" s="649"/>
      <c r="AF55" s="701">
        <f>(AC55-AD55)*(1-Recovery_OX!U50)</f>
        <v>1.0259380648846594</v>
      </c>
    </row>
    <row r="56" spans="2:32">
      <c r="B56" s="694">
        <f t="shared" si="1"/>
        <v>2039</v>
      </c>
      <c r="C56" s="870">
        <f>IF(Select2=1,Food!$K58,"")</f>
        <v>9.1583260790964099E-2</v>
      </c>
      <c r="D56" s="696">
        <f>IF(Select2=1,Paper!$K58,"")</f>
        <v>0.22723245418230634</v>
      </c>
      <c r="E56" s="686">
        <f>IF(Select2=1,Nappies!$K58,"")</f>
        <v>0.17996381457299762</v>
      </c>
      <c r="F56" s="696">
        <f>IF(Select2=1,Garden!$K58,"")</f>
        <v>0</v>
      </c>
      <c r="G56" s="686">
        <f>IF(Select2=1,Wood!$K58,"")</f>
        <v>0</v>
      </c>
      <c r="H56" s="696">
        <f>IF(Select2=1,Textiles!$K58,"")</f>
        <v>5.3800111377249389E-2</v>
      </c>
      <c r="I56" s="697">
        <f>Sludge!K58</f>
        <v>0</v>
      </c>
      <c r="J56" s="697" t="str">
        <f>IF(Select2=2,MSW!$K58,"")</f>
        <v/>
      </c>
      <c r="K56" s="697">
        <f>Industry!$K58</f>
        <v>0</v>
      </c>
      <c r="L56" s="698">
        <f t="shared" si="3"/>
        <v>0.55257964092351741</v>
      </c>
      <c r="M56" s="869">
        <f>Recovery_OX!C51</f>
        <v>0</v>
      </c>
      <c r="N56" s="649"/>
      <c r="O56" s="700">
        <f>(L56-M56)*(1-Recovery_OX!F51)</f>
        <v>0.55257964092351741</v>
      </c>
      <c r="P56" s="640"/>
      <c r="Q56" s="651"/>
      <c r="S56" s="694">
        <f t="shared" si="2"/>
        <v>2039</v>
      </c>
      <c r="T56" s="695">
        <f>IF(Select2=1,Food!$W58,"")</f>
        <v>6.1273368058182953E-2</v>
      </c>
      <c r="U56" s="696">
        <f>IF(Select2=1,Paper!$W58,"")</f>
        <v>0.46948854169898008</v>
      </c>
      <c r="V56" s="686">
        <f>IF(Select2=1,Nappies!$W58,"")</f>
        <v>0</v>
      </c>
      <c r="W56" s="696">
        <f>IF(Select2=1,Garden!$W58,"")</f>
        <v>0</v>
      </c>
      <c r="X56" s="686">
        <f>IF(Select2=1,Wood!$W58,"")</f>
        <v>0.35511549083406002</v>
      </c>
      <c r="Y56" s="696">
        <f>IF(Select2=1,Textiles!$W58,"")</f>
        <v>5.8959026166848651E-2</v>
      </c>
      <c r="Z56" s="688">
        <f>Sludge!W58</f>
        <v>0</v>
      </c>
      <c r="AA56" s="688" t="str">
        <f>IF(Select2=2,MSW!$W58,"")</f>
        <v/>
      </c>
      <c r="AB56" s="697">
        <f>Industry!$W58</f>
        <v>0</v>
      </c>
      <c r="AC56" s="698">
        <f t="shared" si="4"/>
        <v>0.94483642675807167</v>
      </c>
      <c r="AD56" s="699">
        <f>Recovery_OX!R51</f>
        <v>0</v>
      </c>
      <c r="AE56" s="649"/>
      <c r="AF56" s="701">
        <f>(AC56-AD56)*(1-Recovery_OX!U51)</f>
        <v>0.94483642675807167</v>
      </c>
    </row>
    <row r="57" spans="2:32">
      <c r="B57" s="694">
        <f t="shared" si="1"/>
        <v>2040</v>
      </c>
      <c r="C57" s="870">
        <f>IF(Select2=1,Food!$K59,"")</f>
        <v>6.1390095589493016E-2</v>
      </c>
      <c r="D57" s="696">
        <f>IF(Select2=1,Paper!$K59,"")</f>
        <v>0.211870135961644</v>
      </c>
      <c r="E57" s="686">
        <f>IF(Select2=1,Nappies!$K59,"")</f>
        <v>0.15182913861571362</v>
      </c>
      <c r="F57" s="696">
        <f>IF(Select2=1,Garden!$K59,"")</f>
        <v>0</v>
      </c>
      <c r="G57" s="686">
        <f>IF(Select2=1,Wood!$K59,"")</f>
        <v>0</v>
      </c>
      <c r="H57" s="696">
        <f>IF(Select2=1,Textiles!$K59,"")</f>
        <v>5.0162891358399027E-2</v>
      </c>
      <c r="I57" s="697">
        <f>Sludge!K59</f>
        <v>0</v>
      </c>
      <c r="J57" s="697" t="str">
        <f>IF(Select2=2,MSW!$K59,"")</f>
        <v/>
      </c>
      <c r="K57" s="697">
        <f>Industry!$K59</f>
        <v>0</v>
      </c>
      <c r="L57" s="698">
        <f t="shared" si="3"/>
        <v>0.47525226152524963</v>
      </c>
      <c r="M57" s="869">
        <f>Recovery_OX!C52</f>
        <v>0</v>
      </c>
      <c r="N57" s="649"/>
      <c r="O57" s="700">
        <f>(L57-M57)*(1-Recovery_OX!F52)</f>
        <v>0.47525226152524963</v>
      </c>
      <c r="P57" s="640"/>
      <c r="Q57" s="651"/>
      <c r="S57" s="694">
        <f t="shared" si="2"/>
        <v>2040</v>
      </c>
      <c r="T57" s="695">
        <f>IF(Select2=1,Food!$W59,"")</f>
        <v>4.1072766897519868E-2</v>
      </c>
      <c r="U57" s="696">
        <f>IF(Select2=1,Paper!$W59,"")</f>
        <v>0.43774821479678511</v>
      </c>
      <c r="V57" s="686">
        <f>IF(Select2=1,Nappies!$W59,"")</f>
        <v>0</v>
      </c>
      <c r="W57" s="696">
        <f>IF(Select2=1,Garden!$W59,"")</f>
        <v>0</v>
      </c>
      <c r="X57" s="686">
        <f>IF(Select2=1,Wood!$W59,"")</f>
        <v>0.34290144134633255</v>
      </c>
      <c r="Y57" s="696">
        <f>IF(Select2=1,Textiles!$W59,"")</f>
        <v>5.4973031625642772E-2</v>
      </c>
      <c r="Z57" s="688">
        <f>Sludge!W59</f>
        <v>0</v>
      </c>
      <c r="AA57" s="688" t="str">
        <f>IF(Select2=2,MSW!$W59,"")</f>
        <v/>
      </c>
      <c r="AB57" s="697">
        <f>Industry!$W59</f>
        <v>0</v>
      </c>
      <c r="AC57" s="698">
        <f t="shared" si="4"/>
        <v>0.87669545466628029</v>
      </c>
      <c r="AD57" s="699">
        <f>Recovery_OX!R52</f>
        <v>0</v>
      </c>
      <c r="AE57" s="649"/>
      <c r="AF57" s="701">
        <f>(AC57-AD57)*(1-Recovery_OX!U52)</f>
        <v>0.87669545466628029</v>
      </c>
    </row>
    <row r="58" spans="2:32">
      <c r="B58" s="694">
        <f t="shared" si="1"/>
        <v>2041</v>
      </c>
      <c r="C58" s="870">
        <f>IF(Select2=1,Food!$K60,"")</f>
        <v>4.1151011701681256E-2</v>
      </c>
      <c r="D58" s="696">
        <f>IF(Select2=1,Paper!$K60,"")</f>
        <v>0.19754640539326987</v>
      </c>
      <c r="E58" s="686">
        <f>IF(Select2=1,Nappies!$K60,"")</f>
        <v>0.12809290238421295</v>
      </c>
      <c r="F58" s="696">
        <f>IF(Select2=1,Garden!$K60,"")</f>
        <v>0</v>
      </c>
      <c r="G58" s="686">
        <f>IF(Select2=1,Wood!$K60,"")</f>
        <v>0</v>
      </c>
      <c r="H58" s="696">
        <f>IF(Select2=1,Textiles!$K60,"")</f>
        <v>4.677156989118475E-2</v>
      </c>
      <c r="I58" s="697">
        <f>Sludge!K60</f>
        <v>0</v>
      </c>
      <c r="J58" s="697" t="str">
        <f>IF(Select2=2,MSW!$K60,"")</f>
        <v/>
      </c>
      <c r="K58" s="697">
        <f>Industry!$K60</f>
        <v>0</v>
      </c>
      <c r="L58" s="698">
        <f t="shared" si="3"/>
        <v>0.41356188937034882</v>
      </c>
      <c r="M58" s="869">
        <f>Recovery_OX!C53</f>
        <v>0</v>
      </c>
      <c r="N58" s="649"/>
      <c r="O58" s="700">
        <f>(L58-M58)*(1-Recovery_OX!F53)</f>
        <v>0.41356188937034882</v>
      </c>
      <c r="P58" s="640"/>
      <c r="Q58" s="651"/>
      <c r="S58" s="694">
        <f t="shared" si="2"/>
        <v>2041</v>
      </c>
      <c r="T58" s="695">
        <f>IF(Select2=1,Food!$W60,"")</f>
        <v>2.7531898997556599E-2</v>
      </c>
      <c r="U58" s="696">
        <f>IF(Select2=1,Paper!$W60,"")</f>
        <v>0.40815373015138401</v>
      </c>
      <c r="V58" s="686">
        <f>IF(Select2=1,Nappies!$W60,"")</f>
        <v>0</v>
      </c>
      <c r="W58" s="696">
        <f>IF(Select2=1,Garden!$W60,"")</f>
        <v>0</v>
      </c>
      <c r="X58" s="686">
        <f>IF(Select2=1,Wood!$W60,"")</f>
        <v>0.33110748900654496</v>
      </c>
      <c r="Y58" s="696">
        <f>IF(Select2=1,Textiles!$W60,"")</f>
        <v>5.1256514949243562E-2</v>
      </c>
      <c r="Z58" s="688">
        <f>Sludge!W60</f>
        <v>0</v>
      </c>
      <c r="AA58" s="688" t="str">
        <f>IF(Select2=2,MSW!$W60,"")</f>
        <v/>
      </c>
      <c r="AB58" s="697">
        <f>Industry!$W60</f>
        <v>0</v>
      </c>
      <c r="AC58" s="698">
        <f t="shared" si="4"/>
        <v>0.81804963310472911</v>
      </c>
      <c r="AD58" s="699">
        <f>Recovery_OX!R53</f>
        <v>0</v>
      </c>
      <c r="AE58" s="649"/>
      <c r="AF58" s="701">
        <f>(AC58-AD58)*(1-Recovery_OX!U53)</f>
        <v>0.81804963310472911</v>
      </c>
    </row>
    <row r="59" spans="2:32">
      <c r="B59" s="694">
        <f t="shared" si="1"/>
        <v>2042</v>
      </c>
      <c r="C59" s="870">
        <f>IF(Select2=1,Food!$K61,"")</f>
        <v>2.7584348058284112E-2</v>
      </c>
      <c r="D59" s="696">
        <f>IF(Select2=1,Paper!$K61,"")</f>
        <v>0.18419104753331988</v>
      </c>
      <c r="E59" s="686">
        <f>IF(Select2=1,Nappies!$K61,"")</f>
        <v>0.10806747499727551</v>
      </c>
      <c r="F59" s="696">
        <f>IF(Select2=1,Garden!$K61,"")</f>
        <v>0</v>
      </c>
      <c r="G59" s="686">
        <f>IF(Select2=1,Wood!$K61,"")</f>
        <v>0</v>
      </c>
      <c r="H59" s="696">
        <f>IF(Select2=1,Textiles!$K61,"")</f>
        <v>4.3609522713839784E-2</v>
      </c>
      <c r="I59" s="697">
        <f>Sludge!K61</f>
        <v>0</v>
      </c>
      <c r="J59" s="697" t="str">
        <f>IF(Select2=2,MSW!$K61,"")</f>
        <v/>
      </c>
      <c r="K59" s="697">
        <f>Industry!$K61</f>
        <v>0</v>
      </c>
      <c r="L59" s="698">
        <f t="shared" si="3"/>
        <v>0.36345239330271928</v>
      </c>
      <c r="M59" s="869">
        <f>Recovery_OX!C54</f>
        <v>0</v>
      </c>
      <c r="N59" s="649"/>
      <c r="O59" s="700">
        <f>(L59-M59)*(1-Recovery_OX!F54)</f>
        <v>0.36345239330271928</v>
      </c>
      <c r="P59" s="640"/>
      <c r="Q59" s="651"/>
      <c r="S59" s="694">
        <f t="shared" si="2"/>
        <v>2042</v>
      </c>
      <c r="T59" s="695">
        <f>IF(Select2=1,Food!$W61,"")</f>
        <v>1.8455183803490711E-2</v>
      </c>
      <c r="U59" s="696">
        <f>IF(Select2=1,Paper!$W61,"")</f>
        <v>0.38056001556471053</v>
      </c>
      <c r="V59" s="686">
        <f>IF(Select2=1,Nappies!$W61,"")</f>
        <v>0</v>
      </c>
      <c r="W59" s="696">
        <f>IF(Select2=1,Garden!$W61,"")</f>
        <v>0</v>
      </c>
      <c r="X59" s="686">
        <f>IF(Select2=1,Wood!$W61,"")</f>
        <v>0.31971918474816241</v>
      </c>
      <c r="Y59" s="696">
        <f>IF(Select2=1,Textiles!$W61,"")</f>
        <v>4.7791257768591555E-2</v>
      </c>
      <c r="Z59" s="688">
        <f>Sludge!W61</f>
        <v>0</v>
      </c>
      <c r="AA59" s="688" t="str">
        <f>IF(Select2=2,MSW!$W61,"")</f>
        <v/>
      </c>
      <c r="AB59" s="697">
        <f>Industry!$W61</f>
        <v>0</v>
      </c>
      <c r="AC59" s="698">
        <f t="shared" si="4"/>
        <v>0.76652564188495509</v>
      </c>
      <c r="AD59" s="699">
        <f>Recovery_OX!R54</f>
        <v>0</v>
      </c>
      <c r="AE59" s="649"/>
      <c r="AF59" s="701">
        <f>(AC59-AD59)*(1-Recovery_OX!U54)</f>
        <v>0.76652564188495509</v>
      </c>
    </row>
    <row r="60" spans="2:32">
      <c r="B60" s="694">
        <f t="shared" si="1"/>
        <v>2043</v>
      </c>
      <c r="C60" s="870">
        <f>IF(Select2=1,Food!$K62,"")</f>
        <v>1.8490341460292103E-2</v>
      </c>
      <c r="D60" s="696">
        <f>IF(Select2=1,Paper!$K62,"")</f>
        <v>0.1717385944020702</v>
      </c>
      <c r="E60" s="686">
        <f>IF(Select2=1,Nappies!$K62,"")</f>
        <v>9.1172726473610743E-2</v>
      </c>
      <c r="F60" s="696">
        <f>IF(Select2=1,Garden!$K62,"")</f>
        <v>0</v>
      </c>
      <c r="G60" s="686">
        <f>IF(Select2=1,Wood!$K62,"")</f>
        <v>0</v>
      </c>
      <c r="H60" s="696">
        <f>IF(Select2=1,Textiles!$K62,"")</f>
        <v>4.0661249467432298E-2</v>
      </c>
      <c r="I60" s="697">
        <f>Sludge!K62</f>
        <v>0</v>
      </c>
      <c r="J60" s="697" t="str">
        <f>IF(Select2=2,MSW!$K62,"")</f>
        <v/>
      </c>
      <c r="K60" s="697">
        <f>Industry!$K62</f>
        <v>0</v>
      </c>
      <c r="L60" s="698">
        <f t="shared" si="3"/>
        <v>0.32206291180340541</v>
      </c>
      <c r="M60" s="869">
        <f>Recovery_OX!C55</f>
        <v>0</v>
      </c>
      <c r="N60" s="649"/>
      <c r="O60" s="700">
        <f>(L60-M60)*(1-Recovery_OX!F55)</f>
        <v>0.32206291180340541</v>
      </c>
      <c r="P60" s="640"/>
      <c r="Q60" s="651"/>
      <c r="S60" s="694">
        <f t="shared" si="2"/>
        <v>2043</v>
      </c>
      <c r="T60" s="695">
        <f>IF(Select2=1,Food!$W62,"")</f>
        <v>1.2370879656752081E-2</v>
      </c>
      <c r="U60" s="696">
        <f>IF(Select2=1,Paper!$W62,"")</f>
        <v>0.35483180661584757</v>
      </c>
      <c r="V60" s="686">
        <f>IF(Select2=1,Nappies!$W62,"")</f>
        <v>0</v>
      </c>
      <c r="W60" s="696">
        <f>IF(Select2=1,Garden!$W62,"")</f>
        <v>0</v>
      </c>
      <c r="X60" s="686">
        <f>IF(Select2=1,Wood!$W62,"")</f>
        <v>0.30872257647427914</v>
      </c>
      <c r="Y60" s="696">
        <f>IF(Select2=1,Textiles!$W62,"")</f>
        <v>4.4560273388966905E-2</v>
      </c>
      <c r="Z60" s="688">
        <f>Sludge!W62</f>
        <v>0</v>
      </c>
      <c r="AA60" s="688" t="str">
        <f>IF(Select2=2,MSW!$W62,"")</f>
        <v/>
      </c>
      <c r="AB60" s="697">
        <f>Industry!$W62</f>
        <v>0</v>
      </c>
      <c r="AC60" s="698">
        <f t="shared" si="4"/>
        <v>0.72048553613584576</v>
      </c>
      <c r="AD60" s="699">
        <f>Recovery_OX!R55</f>
        <v>0</v>
      </c>
      <c r="AE60" s="649"/>
      <c r="AF60" s="701">
        <f>(AC60-AD60)*(1-Recovery_OX!U55)</f>
        <v>0.72048553613584576</v>
      </c>
    </row>
    <row r="61" spans="2:32">
      <c r="B61" s="694">
        <f t="shared" si="1"/>
        <v>2044</v>
      </c>
      <c r="C61" s="870">
        <f>IF(Select2=1,Food!$K63,"")</f>
        <v>1.2394446538877696E-2</v>
      </c>
      <c r="D61" s="696">
        <f>IF(Select2=1,Paper!$K63,"")</f>
        <v>0.16012800405982455</v>
      </c>
      <c r="E61" s="686">
        <f>IF(Select2=1,Nappies!$K63,"")</f>
        <v>7.6919221558951062E-2</v>
      </c>
      <c r="F61" s="696">
        <f>IF(Select2=1,Garden!$K63,"")</f>
        <v>0</v>
      </c>
      <c r="G61" s="686">
        <f>IF(Select2=1,Wood!$K63,"")</f>
        <v>0</v>
      </c>
      <c r="H61" s="696">
        <f>IF(Select2=1,Textiles!$K63,"")</f>
        <v>3.7912297713087899E-2</v>
      </c>
      <c r="I61" s="697">
        <f>Sludge!K63</f>
        <v>0</v>
      </c>
      <c r="J61" s="697" t="str">
        <f>IF(Select2=2,MSW!$K63,"")</f>
        <v/>
      </c>
      <c r="K61" s="697">
        <f>Industry!$K63</f>
        <v>0</v>
      </c>
      <c r="L61" s="698">
        <f t="shared" si="3"/>
        <v>0.28735396987074119</v>
      </c>
      <c r="M61" s="869">
        <f>Recovery_OX!C56</f>
        <v>0</v>
      </c>
      <c r="N61" s="649"/>
      <c r="O61" s="700">
        <f>(L61-M61)*(1-Recovery_OX!F56)</f>
        <v>0.28735396987074119</v>
      </c>
      <c r="P61" s="640"/>
      <c r="Q61" s="651"/>
      <c r="S61" s="694">
        <f t="shared" si="2"/>
        <v>2044</v>
      </c>
      <c r="T61" s="695">
        <f>IF(Select2=1,Food!$W63,"")</f>
        <v>8.2924486210154101E-3</v>
      </c>
      <c r="U61" s="696">
        <f>IF(Select2=1,Paper!$W63,"")</f>
        <v>0.33084298359467884</v>
      </c>
      <c r="V61" s="686">
        <f>IF(Select2=1,Nappies!$W63,"")</f>
        <v>0</v>
      </c>
      <c r="W61" s="696">
        <f>IF(Select2=1,Garden!$W63,"")</f>
        <v>0</v>
      </c>
      <c r="X61" s="686">
        <f>IF(Select2=1,Wood!$W63,"")</f>
        <v>0.29810419196455473</v>
      </c>
      <c r="Y61" s="696">
        <f>IF(Select2=1,Textiles!$W63,"")</f>
        <v>4.154772352119223E-2</v>
      </c>
      <c r="Z61" s="688">
        <f>Sludge!W63</f>
        <v>0</v>
      </c>
      <c r="AA61" s="688" t="str">
        <f>IF(Select2=2,MSW!$W63,"")</f>
        <v/>
      </c>
      <c r="AB61" s="697">
        <f>Industry!$W63</f>
        <v>0</v>
      </c>
      <c r="AC61" s="698">
        <f t="shared" si="4"/>
        <v>0.67878734770144111</v>
      </c>
      <c r="AD61" s="699">
        <f>Recovery_OX!R56</f>
        <v>0</v>
      </c>
      <c r="AE61" s="649"/>
      <c r="AF61" s="701">
        <f>(AC61-AD61)*(1-Recovery_OX!U56)</f>
        <v>0.67878734770144111</v>
      </c>
    </row>
    <row r="62" spans="2:32">
      <c r="B62" s="694">
        <f t="shared" si="1"/>
        <v>2045</v>
      </c>
      <c r="C62" s="870">
        <f>IF(Select2=1,Food!$K64,"")</f>
        <v>8.3082459745267671E-3</v>
      </c>
      <c r="D62" s="696">
        <f>IF(Select2=1,Paper!$K64,"")</f>
        <v>0.14930236137925501</v>
      </c>
      <c r="E62" s="686">
        <f>IF(Select2=1,Nappies!$K64,"")</f>
        <v>6.4894040949269052E-2</v>
      </c>
      <c r="F62" s="696">
        <f>IF(Select2=1,Garden!$K64,"")</f>
        <v>0</v>
      </c>
      <c r="G62" s="686">
        <f>IF(Select2=1,Wood!$K64,"")</f>
        <v>0</v>
      </c>
      <c r="H62" s="696">
        <f>IF(Select2=1,Textiles!$K64,"")</f>
        <v>3.5349192086117573E-2</v>
      </c>
      <c r="I62" s="697">
        <f>Sludge!K64</f>
        <v>0</v>
      </c>
      <c r="J62" s="697" t="str">
        <f>IF(Select2=2,MSW!$K64,"")</f>
        <v/>
      </c>
      <c r="K62" s="697">
        <f>Industry!$K64</f>
        <v>0</v>
      </c>
      <c r="L62" s="698">
        <f t="shared" si="3"/>
        <v>0.25785384038916842</v>
      </c>
      <c r="M62" s="869">
        <f>Recovery_OX!C57</f>
        <v>0</v>
      </c>
      <c r="N62" s="649"/>
      <c r="O62" s="700">
        <f>(L62-M62)*(1-Recovery_OX!F57)</f>
        <v>0.25785384038916842</v>
      </c>
      <c r="P62" s="640"/>
      <c r="Q62" s="651"/>
      <c r="S62" s="694">
        <f t="shared" si="2"/>
        <v>2045</v>
      </c>
      <c r="T62" s="695">
        <f>IF(Select2=1,Food!$W64,"")</f>
        <v>5.5585945413872233E-3</v>
      </c>
      <c r="U62" s="696">
        <f>IF(Select2=1,Paper!$W64,"")</f>
        <v>0.3084759532629236</v>
      </c>
      <c r="V62" s="686">
        <f>IF(Select2=1,Nappies!$W64,"")</f>
        <v>0</v>
      </c>
      <c r="W62" s="696">
        <f>IF(Select2=1,Garden!$W64,"")</f>
        <v>0</v>
      </c>
      <c r="X62" s="686">
        <f>IF(Select2=1,Wood!$W64,"")</f>
        <v>0.28785102237005938</v>
      </c>
      <c r="Y62" s="696">
        <f>IF(Select2=1,Textiles!$W64,"")</f>
        <v>3.8738840642320638E-2</v>
      </c>
      <c r="Z62" s="688">
        <f>Sludge!W64</f>
        <v>0</v>
      </c>
      <c r="AA62" s="688" t="str">
        <f>IF(Select2=2,MSW!$W64,"")</f>
        <v/>
      </c>
      <c r="AB62" s="697">
        <f>Industry!$W64</f>
        <v>0</v>
      </c>
      <c r="AC62" s="698">
        <f t="shared" si="4"/>
        <v>0.64062441081669075</v>
      </c>
      <c r="AD62" s="699">
        <f>Recovery_OX!R57</f>
        <v>0</v>
      </c>
      <c r="AE62" s="649"/>
      <c r="AF62" s="701">
        <f>(AC62-AD62)*(1-Recovery_OX!U57)</f>
        <v>0.64062441081669075</v>
      </c>
    </row>
    <row r="63" spans="2:32">
      <c r="B63" s="694">
        <f t="shared" si="1"/>
        <v>2046</v>
      </c>
      <c r="C63" s="870">
        <f>IF(Select2=1,Food!$K65,"")</f>
        <v>5.5691838241201976E-3</v>
      </c>
      <c r="D63" s="696">
        <f>IF(Select2=1,Paper!$K65,"")</f>
        <v>0.13920859904738192</v>
      </c>
      <c r="E63" s="686">
        <f>IF(Select2=1,Nappies!$K65,"")</f>
        <v>5.4748819155663292E-2</v>
      </c>
      <c r="F63" s="696">
        <f>IF(Select2=1,Garden!$K65,"")</f>
        <v>0</v>
      </c>
      <c r="G63" s="686">
        <f>IF(Select2=1,Wood!$K65,"")</f>
        <v>0</v>
      </c>
      <c r="H63" s="696">
        <f>IF(Select2=1,Textiles!$K65,"")</f>
        <v>3.2959368239764281E-2</v>
      </c>
      <c r="I63" s="697">
        <f>Sludge!K65</f>
        <v>0</v>
      </c>
      <c r="J63" s="697" t="str">
        <f>IF(Select2=2,MSW!$K65,"")</f>
        <v/>
      </c>
      <c r="K63" s="697">
        <f>Industry!$K65</f>
        <v>0</v>
      </c>
      <c r="L63" s="698">
        <f t="shared" si="3"/>
        <v>0.23248597026692969</v>
      </c>
      <c r="M63" s="869">
        <f>Recovery_OX!C58</f>
        <v>0</v>
      </c>
      <c r="N63" s="649"/>
      <c r="O63" s="700">
        <f>(L63-M63)*(1-Recovery_OX!F58)</f>
        <v>0.23248597026692969</v>
      </c>
      <c r="P63" s="640"/>
      <c r="Q63" s="651"/>
      <c r="S63" s="694">
        <f t="shared" si="2"/>
        <v>2046</v>
      </c>
      <c r="T63" s="695">
        <f>IF(Select2=1,Food!$W65,"")</f>
        <v>3.7260373488761369E-3</v>
      </c>
      <c r="U63" s="696">
        <f>IF(Select2=1,Paper!$W65,"")</f>
        <v>0.28762107241194612</v>
      </c>
      <c r="V63" s="686">
        <f>IF(Select2=1,Nappies!$W65,"")</f>
        <v>0</v>
      </c>
      <c r="W63" s="696">
        <f>IF(Select2=1,Garden!$W65,"")</f>
        <v>0</v>
      </c>
      <c r="X63" s="686">
        <f>IF(Select2=1,Wood!$W65,"")</f>
        <v>0.27795050627580725</v>
      </c>
      <c r="Y63" s="696">
        <f>IF(Select2=1,Textiles!$W65,"")</f>
        <v>3.6119855605221143E-2</v>
      </c>
      <c r="Z63" s="688">
        <f>Sludge!W65</f>
        <v>0</v>
      </c>
      <c r="AA63" s="688" t="str">
        <f>IF(Select2=2,MSW!$W65,"")</f>
        <v/>
      </c>
      <c r="AB63" s="697">
        <f>Industry!$W65</f>
        <v>0</v>
      </c>
      <c r="AC63" s="698">
        <f t="shared" si="4"/>
        <v>0.60541747164185056</v>
      </c>
      <c r="AD63" s="699">
        <f>Recovery_OX!R58</f>
        <v>0</v>
      </c>
      <c r="AE63" s="649"/>
      <c r="AF63" s="701">
        <f>(AC63-AD63)*(1-Recovery_OX!U58)</f>
        <v>0.60541747164185056</v>
      </c>
    </row>
    <row r="64" spans="2:32">
      <c r="B64" s="694">
        <f t="shared" si="1"/>
        <v>2047</v>
      </c>
      <c r="C64" s="870">
        <f>IF(Select2=1,Food!$K66,"")</f>
        <v>3.733135557365189E-3</v>
      </c>
      <c r="D64" s="696">
        <f>IF(Select2=1,Paper!$K66,"")</f>
        <v>0.12979723742954397</v>
      </c>
      <c r="E64" s="686">
        <f>IF(Select2=1,Nappies!$K66,"")</f>
        <v>4.6189652471831252E-2</v>
      </c>
      <c r="F64" s="696">
        <f>IF(Select2=1,Garden!$K66,"")</f>
        <v>0</v>
      </c>
      <c r="G64" s="686">
        <f>IF(Select2=1,Wood!$K66,"")</f>
        <v>0</v>
      </c>
      <c r="H64" s="696">
        <f>IF(Select2=1,Textiles!$K66,"")</f>
        <v>3.073111125476061E-2</v>
      </c>
      <c r="I64" s="697">
        <f>Sludge!K66</f>
        <v>0</v>
      </c>
      <c r="J64" s="697" t="str">
        <f>IF(Select2=2,MSW!$K66,"")</f>
        <v/>
      </c>
      <c r="K64" s="697">
        <f>Industry!$K66</f>
        <v>0</v>
      </c>
      <c r="L64" s="698">
        <f t="shared" si="3"/>
        <v>0.21045113671350099</v>
      </c>
      <c r="M64" s="869">
        <f>Recovery_OX!C59</f>
        <v>0</v>
      </c>
      <c r="N64" s="649"/>
      <c r="O64" s="700">
        <f>(L64-M64)*(1-Recovery_OX!F59)</f>
        <v>0.21045113671350099</v>
      </c>
      <c r="P64" s="640"/>
      <c r="Q64" s="651"/>
      <c r="S64" s="694">
        <f t="shared" si="2"/>
        <v>2047</v>
      </c>
      <c r="T64" s="695">
        <f>IF(Select2=1,Food!$W66,"")</f>
        <v>2.4976375272291636E-3</v>
      </c>
      <c r="U64" s="696">
        <f>IF(Select2=1,Paper!$W66,"")</f>
        <v>0.26817611039161976</v>
      </c>
      <c r="V64" s="686">
        <f>IF(Select2=1,Nappies!$W66,"")</f>
        <v>0</v>
      </c>
      <c r="W64" s="696">
        <f>IF(Select2=1,Garden!$W66,"")</f>
        <v>0</v>
      </c>
      <c r="X64" s="686">
        <f>IF(Select2=1,Wood!$W66,"")</f>
        <v>0.26839051431145222</v>
      </c>
      <c r="Y64" s="696">
        <f>IF(Select2=1,Textiles!$W66,"")</f>
        <v>3.3677930142203417E-2</v>
      </c>
      <c r="Z64" s="688">
        <f>Sludge!W66</f>
        <v>0</v>
      </c>
      <c r="AA64" s="688" t="str">
        <f>IF(Select2=2,MSW!$W66,"")</f>
        <v/>
      </c>
      <c r="AB64" s="697">
        <f>Industry!$W66</f>
        <v>0</v>
      </c>
      <c r="AC64" s="698">
        <f t="shared" si="4"/>
        <v>0.57274219237250457</v>
      </c>
      <c r="AD64" s="699">
        <f>Recovery_OX!R59</f>
        <v>0</v>
      </c>
      <c r="AE64" s="649"/>
      <c r="AF64" s="701">
        <f>(AC64-AD64)*(1-Recovery_OX!U59)</f>
        <v>0.57274219237250457</v>
      </c>
    </row>
    <row r="65" spans="2:32">
      <c r="B65" s="694">
        <f t="shared" si="1"/>
        <v>2048</v>
      </c>
      <c r="C65" s="870">
        <f>IF(Select2=1,Food!$K67,"")</f>
        <v>2.5023955986703157E-3</v>
      </c>
      <c r="D65" s="696">
        <f>IF(Select2=1,Paper!$K67,"")</f>
        <v>0.12102214202017182</v>
      </c>
      <c r="E65" s="686">
        <f>IF(Select2=1,Nappies!$K67,"")</f>
        <v>3.8968584681298213E-2</v>
      </c>
      <c r="F65" s="696">
        <f>IF(Select2=1,Garden!$K67,"")</f>
        <v>0</v>
      </c>
      <c r="G65" s="686">
        <f>IF(Select2=1,Wood!$K67,"")</f>
        <v>0</v>
      </c>
      <c r="H65" s="696">
        <f>IF(Select2=1,Textiles!$K67,"")</f>
        <v>2.8653498212780924E-2</v>
      </c>
      <c r="I65" s="697">
        <f>Sludge!K67</f>
        <v>0</v>
      </c>
      <c r="J65" s="697" t="str">
        <f>IF(Select2=2,MSW!$K67,"")</f>
        <v/>
      </c>
      <c r="K65" s="697">
        <f>Industry!$K67</f>
        <v>0</v>
      </c>
      <c r="L65" s="698">
        <f t="shared" si="3"/>
        <v>0.19114662051292128</v>
      </c>
      <c r="M65" s="869">
        <f>Recovery_OX!C60</f>
        <v>0</v>
      </c>
      <c r="N65" s="649"/>
      <c r="O65" s="700">
        <f>(L65-M65)*(1-Recovery_OX!F60)</f>
        <v>0.19114662051292128</v>
      </c>
      <c r="P65" s="640"/>
      <c r="Q65" s="651"/>
      <c r="S65" s="694">
        <f t="shared" si="2"/>
        <v>2048</v>
      </c>
      <c r="T65" s="695">
        <f>IF(Select2=1,Food!$W67,"")</f>
        <v>1.6742165022325935E-3</v>
      </c>
      <c r="U65" s="696">
        <f>IF(Select2=1,Paper!$W67,"")</f>
        <v>0.25004574797556162</v>
      </c>
      <c r="V65" s="686">
        <f>IF(Select2=1,Nappies!$W67,"")</f>
        <v>0</v>
      </c>
      <c r="W65" s="696">
        <f>IF(Select2=1,Garden!$W67,"")</f>
        <v>0</v>
      </c>
      <c r="X65" s="686">
        <f>IF(Select2=1,Wood!$W67,"")</f>
        <v>0.25915933429129212</v>
      </c>
      <c r="Y65" s="696">
        <f>IF(Select2=1,Textiles!$W67,"")</f>
        <v>3.1401093931814721E-2</v>
      </c>
      <c r="Z65" s="688">
        <f>Sludge!W67</f>
        <v>0</v>
      </c>
      <c r="AA65" s="688" t="str">
        <f>IF(Select2=2,MSW!$W67,"")</f>
        <v/>
      </c>
      <c r="AB65" s="697">
        <f>Industry!$W67</f>
        <v>0</v>
      </c>
      <c r="AC65" s="698">
        <f t="shared" si="4"/>
        <v>0.542280392700901</v>
      </c>
      <c r="AD65" s="699">
        <f>Recovery_OX!R60</f>
        <v>0</v>
      </c>
      <c r="AE65" s="649"/>
      <c r="AF65" s="701">
        <f>(AC65-AD65)*(1-Recovery_OX!U60)</f>
        <v>0.542280392700901</v>
      </c>
    </row>
    <row r="66" spans="2:32">
      <c r="B66" s="694">
        <f t="shared" si="1"/>
        <v>2049</v>
      </c>
      <c r="C66" s="870">
        <f>IF(Select2=1,Food!$K68,"")</f>
        <v>1.6774059329000672E-3</v>
      </c>
      <c r="D66" s="696">
        <f>IF(Select2=1,Paper!$K68,"")</f>
        <v>0.11284029729138818</v>
      </c>
      <c r="E66" s="686">
        <f>IF(Select2=1,Nappies!$K68,"")</f>
        <v>3.28764238481681E-2</v>
      </c>
      <c r="F66" s="696">
        <f>IF(Select2=1,Garden!$K68,"")</f>
        <v>0</v>
      </c>
      <c r="G66" s="686">
        <f>IF(Select2=1,Wood!$K68,"")</f>
        <v>0</v>
      </c>
      <c r="H66" s="696">
        <f>IF(Select2=1,Textiles!$K68,"")</f>
        <v>2.6716344652283067E-2</v>
      </c>
      <c r="I66" s="697">
        <f>Sludge!K68</f>
        <v>0</v>
      </c>
      <c r="J66" s="697" t="str">
        <f>IF(Select2=2,MSW!$K68,"")</f>
        <v/>
      </c>
      <c r="K66" s="697">
        <f>Industry!$K68</f>
        <v>0</v>
      </c>
      <c r="L66" s="698">
        <f t="shared" si="3"/>
        <v>0.17411047172473942</v>
      </c>
      <c r="M66" s="869">
        <f>Recovery_OX!C61</f>
        <v>0</v>
      </c>
      <c r="N66" s="649"/>
      <c r="O66" s="700">
        <f>(L66-M66)*(1-Recovery_OX!F61)</f>
        <v>0.17411047172473942</v>
      </c>
      <c r="P66" s="640"/>
      <c r="Q66" s="651"/>
      <c r="S66" s="694">
        <f t="shared" si="2"/>
        <v>2049</v>
      </c>
      <c r="T66" s="695">
        <f>IF(Select2=1,Food!$W68,"")</f>
        <v>1.1222608828501792E-3</v>
      </c>
      <c r="U66" s="696">
        <f>IF(Select2=1,Paper!$W68,"")</f>
        <v>0.23314111010617392</v>
      </c>
      <c r="V66" s="686">
        <f>IF(Select2=1,Nappies!$W68,"")</f>
        <v>0</v>
      </c>
      <c r="W66" s="696">
        <f>IF(Select2=1,Garden!$W68,"")</f>
        <v>0</v>
      </c>
      <c r="X66" s="686">
        <f>IF(Select2=1,Wood!$W68,"")</f>
        <v>0.25024565686537698</v>
      </c>
      <c r="Y66" s="696">
        <f>IF(Select2=1,Textiles!$W68,"")</f>
        <v>2.9278185920310219E-2</v>
      </c>
      <c r="Z66" s="688">
        <f>Sludge!W68</f>
        <v>0</v>
      </c>
      <c r="AA66" s="688" t="str">
        <f>IF(Select2=2,MSW!$W68,"")</f>
        <v/>
      </c>
      <c r="AB66" s="697">
        <f>Industry!$W68</f>
        <v>0</v>
      </c>
      <c r="AC66" s="698">
        <f t="shared" si="4"/>
        <v>0.51378721377471126</v>
      </c>
      <c r="AD66" s="699">
        <f>Recovery_OX!R61</f>
        <v>0</v>
      </c>
      <c r="AE66" s="649"/>
      <c r="AF66" s="701">
        <f>(AC66-AD66)*(1-Recovery_OX!U61)</f>
        <v>0.51378721377471126</v>
      </c>
    </row>
    <row r="67" spans="2:32">
      <c r="B67" s="694">
        <f t="shared" si="1"/>
        <v>2050</v>
      </c>
      <c r="C67" s="870">
        <f>IF(Select2=1,Food!$K69,"")</f>
        <v>1.1243988221620275E-3</v>
      </c>
      <c r="D67" s="696">
        <f>IF(Select2=1,Paper!$K69,"")</f>
        <v>0.10521159583084025</v>
      </c>
      <c r="E67" s="686">
        <f>IF(Select2=1,Nappies!$K69,"")</f>
        <v>2.7736682096209719E-2</v>
      </c>
      <c r="F67" s="696">
        <f>IF(Select2=1,Garden!$K69,"")</f>
        <v>0</v>
      </c>
      <c r="G67" s="686">
        <f>IF(Select2=1,Wood!$K69,"")</f>
        <v>0</v>
      </c>
      <c r="H67" s="696">
        <f>IF(Select2=1,Textiles!$K69,"")</f>
        <v>2.4910154644266064E-2</v>
      </c>
      <c r="I67" s="697">
        <f>Sludge!K69</f>
        <v>0</v>
      </c>
      <c r="J67" s="697" t="str">
        <f>IF(Select2=2,MSW!$K69,"")</f>
        <v/>
      </c>
      <c r="K67" s="697">
        <f>Industry!$K69</f>
        <v>0</v>
      </c>
      <c r="L67" s="698">
        <f t="shared" si="3"/>
        <v>0.15898283139347807</v>
      </c>
      <c r="M67" s="869">
        <f>Recovery_OX!C62</f>
        <v>0</v>
      </c>
      <c r="N67" s="649"/>
      <c r="O67" s="700">
        <f>(L67-M67)*(1-Recovery_OX!F62)</f>
        <v>0.15898283139347807</v>
      </c>
      <c r="P67" s="640"/>
      <c r="Q67" s="651"/>
      <c r="S67" s="694">
        <f t="shared" si="2"/>
        <v>2050</v>
      </c>
      <c r="T67" s="695">
        <f>IF(Select2=1,Food!$W69,"")</f>
        <v>7.522739666561293E-4</v>
      </c>
      <c r="U67" s="696">
        <f>IF(Select2=1,Paper!$W69,"")</f>
        <v>0.21737933022900879</v>
      </c>
      <c r="V67" s="686">
        <f>IF(Select2=1,Nappies!$W69,"")</f>
        <v>0</v>
      </c>
      <c r="W67" s="696">
        <f>IF(Select2=1,Garden!$W69,"")</f>
        <v>0</v>
      </c>
      <c r="X67" s="686">
        <f>IF(Select2=1,Wood!$W69,"")</f>
        <v>0.24163856166414049</v>
      </c>
      <c r="Y67" s="696">
        <f>IF(Select2=1,Textiles!$W69,"")</f>
        <v>2.7298799610154596E-2</v>
      </c>
      <c r="Z67" s="688">
        <f>Sludge!W69</f>
        <v>0</v>
      </c>
      <c r="AA67" s="688" t="str">
        <f>IF(Select2=2,MSW!$W69,"")</f>
        <v/>
      </c>
      <c r="AB67" s="697">
        <f>Industry!$W69</f>
        <v>0</v>
      </c>
      <c r="AC67" s="698">
        <f t="shared" si="4"/>
        <v>0.48706896546996004</v>
      </c>
      <c r="AD67" s="699">
        <f>Recovery_OX!R62</f>
        <v>0</v>
      </c>
      <c r="AE67" s="649"/>
      <c r="AF67" s="701">
        <f>(AC67-AD67)*(1-Recovery_OX!U62)</f>
        <v>0.48706896546996004</v>
      </c>
    </row>
    <row r="68" spans="2:32">
      <c r="B68" s="694">
        <f t="shared" si="1"/>
        <v>2051</v>
      </c>
      <c r="C68" s="870">
        <f>IF(Select2=1,Food!$K70,"")</f>
        <v>7.5370707023406883E-4</v>
      </c>
      <c r="D68" s="696">
        <f>IF(Select2=1,Paper!$K70,"")</f>
        <v>9.809864173511787E-2</v>
      </c>
      <c r="E68" s="686">
        <f>IF(Select2=1,Nappies!$K70,"")</f>
        <v>2.3400462813690973E-2</v>
      </c>
      <c r="F68" s="696">
        <f>IF(Select2=1,Garden!$K70,"")</f>
        <v>0</v>
      </c>
      <c r="G68" s="686">
        <f>IF(Select2=1,Wood!$K70,"")</f>
        <v>0</v>
      </c>
      <c r="H68" s="696">
        <f>IF(Select2=1,Textiles!$K70,"")</f>
        <v>2.3226074243215135E-2</v>
      </c>
      <c r="I68" s="697">
        <f>Sludge!K70</f>
        <v>0</v>
      </c>
      <c r="J68" s="697" t="str">
        <f>IF(Select2=2,MSW!$K70,"")</f>
        <v/>
      </c>
      <c r="K68" s="697">
        <f>Industry!$K70</f>
        <v>0</v>
      </c>
      <c r="L68" s="698">
        <f t="shared" si="3"/>
        <v>0.14547888586225804</v>
      </c>
      <c r="M68" s="869">
        <f>Recovery_OX!C63</f>
        <v>0</v>
      </c>
      <c r="N68" s="649"/>
      <c r="O68" s="700">
        <f>(L68-M68)*(1-Recovery_OX!F63)</f>
        <v>0.14547888586225804</v>
      </c>
      <c r="P68" s="640"/>
      <c r="Q68" s="651"/>
      <c r="S68" s="694">
        <f t="shared" si="2"/>
        <v>2051</v>
      </c>
      <c r="T68" s="695">
        <f>IF(Select2=1,Food!$W70,"")</f>
        <v>5.0426431996034959E-4</v>
      </c>
      <c r="U68" s="696">
        <f>IF(Select2=1,Paper!$W70,"")</f>
        <v>0.20268314408082205</v>
      </c>
      <c r="V68" s="686">
        <f>IF(Select2=1,Nappies!$W70,"")</f>
        <v>0</v>
      </c>
      <c r="W68" s="696">
        <f>IF(Select2=1,Garden!$W70,"")</f>
        <v>0</v>
      </c>
      <c r="X68" s="686">
        <f>IF(Select2=1,Wood!$W70,"")</f>
        <v>0.23332750391958201</v>
      </c>
      <c r="Y68" s="696">
        <f>IF(Select2=1,Textiles!$W70,"")</f>
        <v>2.5453232047359057E-2</v>
      </c>
      <c r="Z68" s="688">
        <f>Sludge!W70</f>
        <v>0</v>
      </c>
      <c r="AA68" s="688" t="str">
        <f>IF(Select2=2,MSW!$W70,"")</f>
        <v/>
      </c>
      <c r="AB68" s="697">
        <f>Industry!$W70</f>
        <v>0</v>
      </c>
      <c r="AC68" s="698">
        <f t="shared" si="4"/>
        <v>0.46196814436772349</v>
      </c>
      <c r="AD68" s="699">
        <f>Recovery_OX!R63</f>
        <v>0</v>
      </c>
      <c r="AE68" s="649"/>
      <c r="AF68" s="701">
        <f>(AC68-AD68)*(1-Recovery_OX!U63)</f>
        <v>0.46196814436772349</v>
      </c>
    </row>
    <row r="69" spans="2:32">
      <c r="B69" s="694">
        <f t="shared" si="1"/>
        <v>2052</v>
      </c>
      <c r="C69" s="870">
        <f>IF(Select2=1,Food!$K71,"")</f>
        <v>5.0522495801668787E-4</v>
      </c>
      <c r="D69" s="696">
        <f>IF(Select2=1,Paper!$K71,"")</f>
        <v>9.1466567294991641E-2</v>
      </c>
      <c r="E69" s="686">
        <f>IF(Select2=1,Nappies!$K71,"")</f>
        <v>1.9742147167983091E-2</v>
      </c>
      <c r="F69" s="696">
        <f>IF(Select2=1,Garden!$K71,"")</f>
        <v>0</v>
      </c>
      <c r="G69" s="686">
        <f>IF(Select2=1,Wood!$K71,"")</f>
        <v>0</v>
      </c>
      <c r="H69" s="696">
        <f>IF(Select2=1,Textiles!$K71,"")</f>
        <v>2.1655848085050517E-2</v>
      </c>
      <c r="I69" s="697">
        <f>Sludge!K71</f>
        <v>0</v>
      </c>
      <c r="J69" s="697" t="str">
        <f>IF(Select2=2,MSW!$K71,"")</f>
        <v/>
      </c>
      <c r="K69" s="697">
        <f>Industry!$K71</f>
        <v>0</v>
      </c>
      <c r="L69" s="698">
        <f t="shared" si="3"/>
        <v>0.13336978750604195</v>
      </c>
      <c r="M69" s="869">
        <f>Recovery_OX!C64</f>
        <v>0</v>
      </c>
      <c r="N69" s="649"/>
      <c r="O69" s="700">
        <f>(L69-M69)*(1-Recovery_OX!F64)</f>
        <v>0.13336978750604195</v>
      </c>
      <c r="P69" s="640"/>
      <c r="Q69" s="651"/>
      <c r="S69" s="694">
        <f t="shared" si="2"/>
        <v>2052</v>
      </c>
      <c r="T69" s="695">
        <f>IF(Select2=1,Food!$W71,"")</f>
        <v>3.3801848216995185E-4</v>
      </c>
      <c r="U69" s="696">
        <f>IF(Select2=1,Paper!$W71,"")</f>
        <v>0.18898051094006535</v>
      </c>
      <c r="V69" s="686">
        <f>IF(Select2=1,Nappies!$W71,"")</f>
        <v>0</v>
      </c>
      <c r="W69" s="696">
        <f>IF(Select2=1,Garden!$W71,"")</f>
        <v>0</v>
      </c>
      <c r="X69" s="686">
        <f>IF(Select2=1,Wood!$W71,"")</f>
        <v>0.22530230154660694</v>
      </c>
      <c r="Y69" s="696">
        <f>IF(Select2=1,Textiles!$W71,"")</f>
        <v>2.3732436257589612E-2</v>
      </c>
      <c r="Z69" s="688">
        <f>Sludge!W71</f>
        <v>0</v>
      </c>
      <c r="AA69" s="688" t="str">
        <f>IF(Select2=2,MSW!$W71,"")</f>
        <v/>
      </c>
      <c r="AB69" s="697">
        <f>Industry!$W71</f>
        <v>0</v>
      </c>
      <c r="AC69" s="698">
        <f t="shared" si="4"/>
        <v>0.43835326722643186</v>
      </c>
      <c r="AD69" s="699">
        <f>Recovery_OX!R64</f>
        <v>0</v>
      </c>
      <c r="AE69" s="649"/>
      <c r="AF69" s="701">
        <f>(AC69-AD69)*(1-Recovery_OX!U64)</f>
        <v>0.43835326722643186</v>
      </c>
    </row>
    <row r="70" spans="2:32">
      <c r="B70" s="694">
        <f t="shared" si="1"/>
        <v>2053</v>
      </c>
      <c r="C70" s="870">
        <f>IF(Select2=1,Food!$K72,"")</f>
        <v>3.3866241711610017E-4</v>
      </c>
      <c r="D70" s="696">
        <f>IF(Select2=1,Paper!$K72,"")</f>
        <v>8.5282862073861723E-2</v>
      </c>
      <c r="E70" s="686">
        <f>IF(Select2=1,Nappies!$K72,"")</f>
        <v>1.665575496969527E-2</v>
      </c>
      <c r="F70" s="696">
        <f>IF(Select2=1,Garden!$K72,"")</f>
        <v>0</v>
      </c>
      <c r="G70" s="686">
        <f>IF(Select2=1,Wood!$K72,"")</f>
        <v>0</v>
      </c>
      <c r="H70" s="696">
        <f>IF(Select2=1,Textiles!$K72,"")</f>
        <v>2.0191778919323167E-2</v>
      </c>
      <c r="I70" s="697">
        <f>Sludge!K72</f>
        <v>0</v>
      </c>
      <c r="J70" s="697" t="str">
        <f>IF(Select2=2,MSW!$K72,"")</f>
        <v/>
      </c>
      <c r="K70" s="697">
        <f>Industry!$K72</f>
        <v>0</v>
      </c>
      <c r="L70" s="698">
        <f t="shared" si="3"/>
        <v>0.12246905837999625</v>
      </c>
      <c r="M70" s="869">
        <f>Recovery_OX!C65</f>
        <v>0</v>
      </c>
      <c r="N70" s="649"/>
      <c r="O70" s="700">
        <f>(L70-M70)*(1-Recovery_OX!F65)</f>
        <v>0.12246905837999625</v>
      </c>
      <c r="P70" s="640"/>
      <c r="Q70" s="651"/>
      <c r="S70" s="694">
        <f t="shared" si="2"/>
        <v>2053</v>
      </c>
      <c r="T70" s="695">
        <f>IF(Select2=1,Food!$W72,"")</f>
        <v>2.2658056452905904E-4</v>
      </c>
      <c r="U70" s="696">
        <f>IF(Select2=1,Paper!$W72,"")</f>
        <v>0.17620426048318541</v>
      </c>
      <c r="V70" s="686">
        <f>IF(Select2=1,Nappies!$W72,"")</f>
        <v>0</v>
      </c>
      <c r="W70" s="696">
        <f>IF(Select2=1,Garden!$W72,"")</f>
        <v>0</v>
      </c>
      <c r="X70" s="686">
        <f>IF(Select2=1,Wood!$W72,"")</f>
        <v>0.21755312266869919</v>
      </c>
      <c r="Y70" s="696">
        <f>IF(Select2=1,Textiles!$W72,"")</f>
        <v>2.2127976897888403E-2</v>
      </c>
      <c r="Z70" s="688">
        <f>Sludge!W72</f>
        <v>0</v>
      </c>
      <c r="AA70" s="688" t="str">
        <f>IF(Select2=2,MSW!$W72,"")</f>
        <v/>
      </c>
      <c r="AB70" s="697">
        <f>Industry!$W72</f>
        <v>0</v>
      </c>
      <c r="AC70" s="698">
        <f t="shared" si="4"/>
        <v>0.41611194061430207</v>
      </c>
      <c r="AD70" s="699">
        <f>Recovery_OX!R65</f>
        <v>0</v>
      </c>
      <c r="AE70" s="649"/>
      <c r="AF70" s="701">
        <f>(AC70-AD70)*(1-Recovery_OX!U65)</f>
        <v>0.41611194061430207</v>
      </c>
    </row>
    <row r="71" spans="2:32">
      <c r="B71" s="694">
        <f t="shared" si="1"/>
        <v>2054</v>
      </c>
      <c r="C71" s="870">
        <f>IF(Select2=1,Food!$K73,"")</f>
        <v>2.2701220703180518E-4</v>
      </c>
      <c r="D71" s="696">
        <f>IF(Select2=1,Paper!$K73,"")</f>
        <v>7.951721354156005E-2</v>
      </c>
      <c r="E71" s="686">
        <f>IF(Select2=1,Nappies!$K73,"")</f>
        <v>1.4051874461782266E-2</v>
      </c>
      <c r="F71" s="696">
        <f>IF(Select2=1,Garden!$K73,"")</f>
        <v>0</v>
      </c>
      <c r="G71" s="686">
        <f>IF(Select2=1,Wood!$K73,"")</f>
        <v>0</v>
      </c>
      <c r="H71" s="696">
        <f>IF(Select2=1,Textiles!$K73,"")</f>
        <v>1.8826689877284128E-2</v>
      </c>
      <c r="I71" s="697">
        <f>Sludge!K73</f>
        <v>0</v>
      </c>
      <c r="J71" s="697" t="str">
        <f>IF(Select2=2,MSW!$K73,"")</f>
        <v/>
      </c>
      <c r="K71" s="697">
        <f>Industry!$K73</f>
        <v>0</v>
      </c>
      <c r="L71" s="698">
        <f t="shared" si="3"/>
        <v>0.11262279008765826</v>
      </c>
      <c r="M71" s="869">
        <f>Recovery_OX!C66</f>
        <v>0</v>
      </c>
      <c r="N71" s="649"/>
      <c r="O71" s="700">
        <f>(L71-M71)*(1-Recovery_OX!F66)</f>
        <v>0.11262279008765826</v>
      </c>
      <c r="P71" s="640"/>
      <c r="Q71" s="651"/>
      <c r="S71" s="694">
        <f t="shared" si="2"/>
        <v>2054</v>
      </c>
      <c r="T71" s="695">
        <f>IF(Select2=1,Food!$W73,"")</f>
        <v>1.518814944459E-4</v>
      </c>
      <c r="U71" s="696">
        <f>IF(Select2=1,Paper!$W73,"")</f>
        <v>0.16429176351561997</v>
      </c>
      <c r="V71" s="686">
        <f>IF(Select2=1,Nappies!$W73,"")</f>
        <v>0</v>
      </c>
      <c r="W71" s="696">
        <f>IF(Select2=1,Garden!$W73,"")</f>
        <v>0</v>
      </c>
      <c r="X71" s="686">
        <f>IF(Select2=1,Wood!$W73,"")</f>
        <v>0.21007047357264266</v>
      </c>
      <c r="Y71" s="696">
        <f>IF(Select2=1,Textiles!$W73,"")</f>
        <v>2.0631988906612744E-2</v>
      </c>
      <c r="Z71" s="688">
        <f>Sludge!W73</f>
        <v>0</v>
      </c>
      <c r="AA71" s="688" t="str">
        <f>IF(Select2=2,MSW!$W73,"")</f>
        <v/>
      </c>
      <c r="AB71" s="697">
        <f>Industry!$W73</f>
        <v>0</v>
      </c>
      <c r="AC71" s="698">
        <f t="shared" si="4"/>
        <v>0.39514610748932127</v>
      </c>
      <c r="AD71" s="699">
        <f>Recovery_OX!R66</f>
        <v>0</v>
      </c>
      <c r="AE71" s="649"/>
      <c r="AF71" s="701">
        <f>(AC71-AD71)*(1-Recovery_OX!U66)</f>
        <v>0.39514610748932127</v>
      </c>
    </row>
    <row r="72" spans="2:32">
      <c r="B72" s="694">
        <f t="shared" si="1"/>
        <v>2055</v>
      </c>
      <c r="C72" s="870">
        <f>IF(Select2=1,Food!$K74,"")</f>
        <v>1.5217083306821172E-4</v>
      </c>
      <c r="D72" s="696">
        <f>IF(Select2=1,Paper!$K74,"")</f>
        <v>7.4141358482292169E-2</v>
      </c>
      <c r="E72" s="686">
        <f>IF(Select2=1,Nappies!$K74,"")</f>
        <v>1.1855072090634945E-2</v>
      </c>
      <c r="F72" s="696">
        <f>IF(Select2=1,Garden!$K74,"")</f>
        <v>0</v>
      </c>
      <c r="G72" s="686">
        <f>IF(Select2=1,Wood!$K74,"")</f>
        <v>0</v>
      </c>
      <c r="H72" s="696">
        <f>IF(Select2=1,Textiles!$K74,"")</f>
        <v>1.7553889290865599E-2</v>
      </c>
      <c r="I72" s="697">
        <f>Sludge!K74</f>
        <v>0</v>
      </c>
      <c r="J72" s="697" t="str">
        <f>IF(Select2=2,MSW!$K74,"")</f>
        <v/>
      </c>
      <c r="K72" s="697">
        <f>Industry!$K74</f>
        <v>0</v>
      </c>
      <c r="L72" s="698">
        <f t="shared" si="3"/>
        <v>0.10370249069686091</v>
      </c>
      <c r="M72" s="869">
        <f>Recovery_OX!C67</f>
        <v>0</v>
      </c>
      <c r="N72" s="649"/>
      <c r="O72" s="700">
        <f>(L72-M72)*(1-Recovery_OX!F67)</f>
        <v>0.10370249069686091</v>
      </c>
      <c r="P72" s="640"/>
      <c r="Q72" s="651"/>
      <c r="S72" s="694">
        <f t="shared" si="2"/>
        <v>2055</v>
      </c>
      <c r="T72" s="695">
        <f>IF(Select2=1,Food!$W74,"")</f>
        <v>1.0180921034893739E-4</v>
      </c>
      <c r="U72" s="696">
        <f>IF(Select2=1,Paper!$W74,"")</f>
        <v>0.15318462496341359</v>
      </c>
      <c r="V72" s="686">
        <f>IF(Select2=1,Nappies!$W74,"")</f>
        <v>0</v>
      </c>
      <c r="W72" s="696">
        <f>IF(Select2=1,Garden!$W74,"")</f>
        <v>0</v>
      </c>
      <c r="X72" s="686">
        <f>IF(Select2=1,Wood!$W74,"")</f>
        <v>0.20284518707753577</v>
      </c>
      <c r="Y72" s="696">
        <f>IF(Select2=1,Textiles!$W74,"")</f>
        <v>1.9237138948893805E-2</v>
      </c>
      <c r="Z72" s="688">
        <f>Sludge!W74</f>
        <v>0</v>
      </c>
      <c r="AA72" s="688" t="str">
        <f>IF(Select2=2,MSW!$W74,"")</f>
        <v/>
      </c>
      <c r="AB72" s="697">
        <f>Industry!$W74</f>
        <v>0</v>
      </c>
      <c r="AC72" s="698">
        <f t="shared" si="4"/>
        <v>0.37536876020019205</v>
      </c>
      <c r="AD72" s="699">
        <f>Recovery_OX!R67</f>
        <v>0</v>
      </c>
      <c r="AE72" s="649"/>
      <c r="AF72" s="701">
        <f>(AC72-AD72)*(1-Recovery_OX!U67)</f>
        <v>0.37536876020019205</v>
      </c>
    </row>
    <row r="73" spans="2:32">
      <c r="B73" s="694">
        <f t="shared" si="1"/>
        <v>2056</v>
      </c>
      <c r="C73" s="870">
        <f>IF(Select2=1,Food!$K75,"")</f>
        <v>1.0200315982756528E-4</v>
      </c>
      <c r="D73" s="696">
        <f>IF(Select2=1,Paper!$K75,"")</f>
        <v>6.9128944448320684E-2</v>
      </c>
      <c r="E73" s="686">
        <f>IF(Select2=1,Nappies!$K75,"")</f>
        <v>1.0001707221082436E-2</v>
      </c>
      <c r="F73" s="696">
        <f>IF(Select2=1,Garden!$K75,"")</f>
        <v>0</v>
      </c>
      <c r="G73" s="686">
        <f>IF(Select2=1,Wood!$K75,"")</f>
        <v>0</v>
      </c>
      <c r="H73" s="696">
        <f>IF(Select2=1,Textiles!$K75,"")</f>
        <v>1.636713789011629E-2</v>
      </c>
      <c r="I73" s="697">
        <f>Sludge!K75</f>
        <v>0</v>
      </c>
      <c r="J73" s="697" t="str">
        <f>IF(Select2=2,MSW!$K75,"")</f>
        <v/>
      </c>
      <c r="K73" s="697">
        <f>Industry!$K75</f>
        <v>0</v>
      </c>
      <c r="L73" s="698">
        <f t="shared" si="3"/>
        <v>9.5599792719346988E-2</v>
      </c>
      <c r="M73" s="869">
        <f>Recovery_OX!C68</f>
        <v>0</v>
      </c>
      <c r="N73" s="649"/>
      <c r="O73" s="700">
        <f>(L73-M73)*(1-Recovery_OX!F68)</f>
        <v>9.5599792719346988E-2</v>
      </c>
      <c r="P73" s="640"/>
      <c r="Q73" s="651"/>
      <c r="S73" s="694">
        <f t="shared" si="2"/>
        <v>2056</v>
      </c>
      <c r="T73" s="695">
        <f>IF(Select2=1,Food!$W75,"")</f>
        <v>6.8244754567951802E-5</v>
      </c>
      <c r="U73" s="696">
        <f>IF(Select2=1,Paper!$W75,"")</f>
        <v>0.14282839762049729</v>
      </c>
      <c r="V73" s="686">
        <f>IF(Select2=1,Nappies!$W75,"")</f>
        <v>0</v>
      </c>
      <c r="W73" s="696">
        <f>IF(Select2=1,Garden!$W75,"")</f>
        <v>0</v>
      </c>
      <c r="X73" s="686">
        <f>IF(Select2=1,Wood!$W75,"")</f>
        <v>0.19586841130384786</v>
      </c>
      <c r="Y73" s="696">
        <f>IF(Select2=1,Textiles!$W75,"")</f>
        <v>1.7936589468620593E-2</v>
      </c>
      <c r="Z73" s="688">
        <f>Sludge!W75</f>
        <v>0</v>
      </c>
      <c r="AA73" s="688" t="str">
        <f>IF(Select2=2,MSW!$W75,"")</f>
        <v/>
      </c>
      <c r="AB73" s="697">
        <f>Industry!$W75</f>
        <v>0</v>
      </c>
      <c r="AC73" s="698">
        <f t="shared" si="4"/>
        <v>0.35670164314753366</v>
      </c>
      <c r="AD73" s="699">
        <f>Recovery_OX!R68</f>
        <v>0</v>
      </c>
      <c r="AE73" s="649"/>
      <c r="AF73" s="701">
        <f>(AC73-AD73)*(1-Recovery_OX!U68)</f>
        <v>0.35670164314753366</v>
      </c>
    </row>
    <row r="74" spans="2:32">
      <c r="B74" s="694">
        <f t="shared" si="1"/>
        <v>2057</v>
      </c>
      <c r="C74" s="870">
        <f>IF(Select2=1,Food!$K76,"")</f>
        <v>6.8374762791394223E-5</v>
      </c>
      <c r="D74" s="696">
        <f>IF(Select2=1,Paper!$K76,"")</f>
        <v>6.4455400580235814E-2</v>
      </c>
      <c r="E74" s="686">
        <f>IF(Select2=1,Nappies!$K76,"")</f>
        <v>8.4380884883252395E-3</v>
      </c>
      <c r="F74" s="696">
        <f>IF(Select2=1,Garden!$K76,"")</f>
        <v>0</v>
      </c>
      <c r="G74" s="686">
        <f>IF(Select2=1,Wood!$K76,"")</f>
        <v>0</v>
      </c>
      <c r="H74" s="696">
        <f>IF(Select2=1,Textiles!$K76,"")</f>
        <v>1.5260618218292912E-2</v>
      </c>
      <c r="I74" s="697">
        <f>Sludge!K76</f>
        <v>0</v>
      </c>
      <c r="J74" s="697" t="str">
        <f>IF(Select2=2,MSW!$K76,"")</f>
        <v/>
      </c>
      <c r="K74" s="697">
        <f>Industry!$K76</f>
        <v>0</v>
      </c>
      <c r="L74" s="698">
        <f t="shared" si="3"/>
        <v>8.8222482049645362E-2</v>
      </c>
      <c r="M74" s="869">
        <f>Recovery_OX!C69</f>
        <v>0</v>
      </c>
      <c r="N74" s="649"/>
      <c r="O74" s="700">
        <f>(L74-M74)*(1-Recovery_OX!F69)</f>
        <v>8.8222482049645362E-2</v>
      </c>
      <c r="P74" s="640"/>
      <c r="Q74" s="651"/>
      <c r="S74" s="694">
        <f t="shared" si="2"/>
        <v>2057</v>
      </c>
      <c r="T74" s="695">
        <f>IF(Select2=1,Food!$W76,"")</f>
        <v>4.5745827023680363E-5</v>
      </c>
      <c r="U74" s="696">
        <f>IF(Select2=1,Paper!$W76,"")</f>
        <v>0.13317231524842113</v>
      </c>
      <c r="V74" s="686">
        <f>IF(Select2=1,Nappies!$W76,"")</f>
        <v>0</v>
      </c>
      <c r="W74" s="696">
        <f>IF(Select2=1,Garden!$W76,"")</f>
        <v>0</v>
      </c>
      <c r="X74" s="686">
        <f>IF(Select2=1,Wood!$W76,"")</f>
        <v>0.18913159882876024</v>
      </c>
      <c r="Y74" s="696">
        <f>IF(Select2=1,Textiles!$W76,"")</f>
        <v>1.6723965170731957E-2</v>
      </c>
      <c r="Z74" s="688">
        <f>Sludge!W76</f>
        <v>0</v>
      </c>
      <c r="AA74" s="688" t="str">
        <f>IF(Select2=2,MSW!$W76,"")</f>
        <v/>
      </c>
      <c r="AB74" s="697">
        <f>Industry!$W76</f>
        <v>0</v>
      </c>
      <c r="AC74" s="698">
        <f t="shared" si="4"/>
        <v>0.33907362507493699</v>
      </c>
      <c r="AD74" s="699">
        <f>Recovery_OX!R69</f>
        <v>0</v>
      </c>
      <c r="AE74" s="649"/>
      <c r="AF74" s="701">
        <f>(AC74-AD74)*(1-Recovery_OX!U69)</f>
        <v>0.33907362507493699</v>
      </c>
    </row>
    <row r="75" spans="2:32">
      <c r="B75" s="694">
        <f t="shared" si="1"/>
        <v>2058</v>
      </c>
      <c r="C75" s="695">
        <f>IF(Select2=1,Food!$K77,"")</f>
        <v>4.58329741420033E-5</v>
      </c>
      <c r="D75" s="696">
        <f>IF(Select2=1,Paper!$K77,"")</f>
        <v>6.0097817160574149E-2</v>
      </c>
      <c r="E75" s="686">
        <f>IF(Select2=1,Nappies!$K77,"")</f>
        <v>7.1189183769269707E-3</v>
      </c>
      <c r="F75" s="696">
        <f>IF(Select2=1,Garden!$K77,"")</f>
        <v>0</v>
      </c>
      <c r="G75" s="686">
        <f>IF(Select2=1,Wood!$K77,"")</f>
        <v>0</v>
      </c>
      <c r="H75" s="696">
        <f>IF(Select2=1,Textiles!$K77,"")</f>
        <v>1.4228906114680435E-2</v>
      </c>
      <c r="I75" s="697">
        <f>Sludge!K77</f>
        <v>0</v>
      </c>
      <c r="J75" s="697" t="str">
        <f>IF(Select2=2,MSW!$K77,"")</f>
        <v/>
      </c>
      <c r="K75" s="697">
        <f>Industry!$K77</f>
        <v>0</v>
      </c>
      <c r="L75" s="698">
        <f t="shared" si="3"/>
        <v>8.1491474626323557E-2</v>
      </c>
      <c r="M75" s="699">
        <f>Recovery_OX!C70</f>
        <v>0</v>
      </c>
      <c r="N75" s="649"/>
      <c r="O75" s="700">
        <f>(L75-M75)*(1-Recovery_OX!F70)</f>
        <v>8.1491474626323557E-2</v>
      </c>
      <c r="P75" s="640"/>
      <c r="Q75" s="651"/>
      <c r="S75" s="694">
        <f t="shared" si="2"/>
        <v>2058</v>
      </c>
      <c r="T75" s="695">
        <f>IF(Select2=1,Food!$W77,"")</f>
        <v>3.0664344876451808E-5</v>
      </c>
      <c r="U75" s="696">
        <f>IF(Select2=1,Paper!$W77,"")</f>
        <v>0.12416904372019452</v>
      </c>
      <c r="V75" s="686">
        <f>IF(Select2=1,Nappies!$W77,"")</f>
        <v>0</v>
      </c>
      <c r="W75" s="696">
        <f>IF(Select2=1,Garden!$W77,"")</f>
        <v>0</v>
      </c>
      <c r="X75" s="686">
        <f>IF(Select2=1,Wood!$W77,"")</f>
        <v>0.18262649621450411</v>
      </c>
      <c r="Y75" s="696">
        <f>IF(Select2=1,Textiles!$W77,"")</f>
        <v>1.5593321769512803E-2</v>
      </c>
      <c r="Z75" s="688">
        <f>Sludge!W77</f>
        <v>0</v>
      </c>
      <c r="AA75" s="688" t="str">
        <f>IF(Select2=2,MSW!$W77,"")</f>
        <v/>
      </c>
      <c r="AB75" s="697">
        <f>Industry!$W77</f>
        <v>0</v>
      </c>
      <c r="AC75" s="698">
        <f t="shared" si="4"/>
        <v>0.32241952604908786</v>
      </c>
      <c r="AD75" s="699">
        <f>Recovery_OX!R70</f>
        <v>0</v>
      </c>
      <c r="AE75" s="649"/>
      <c r="AF75" s="701">
        <f>(AC75-AD75)*(1-Recovery_OX!U70)</f>
        <v>0.32241952604908786</v>
      </c>
    </row>
    <row r="76" spans="2:32">
      <c r="B76" s="694">
        <f t="shared" si="1"/>
        <v>2059</v>
      </c>
      <c r="C76" s="695">
        <f>IF(Select2=1,Food!$K78,"")</f>
        <v>3.0722761336817911E-5</v>
      </c>
      <c r="D76" s="696">
        <f>IF(Select2=1,Paper!$K78,"")</f>
        <v>5.6034833310356975E-2</v>
      </c>
      <c r="E76" s="686">
        <f>IF(Select2=1,Nappies!$K78,"")</f>
        <v>6.0059809668347184E-3</v>
      </c>
      <c r="F76" s="696">
        <f>IF(Select2=1,Garden!$K78,"")</f>
        <v>0</v>
      </c>
      <c r="G76" s="686">
        <f>IF(Select2=1,Wood!$K78,"")</f>
        <v>0</v>
      </c>
      <c r="H76" s="696">
        <f>IF(Select2=1,Textiles!$K78,"")</f>
        <v>1.3266944125349997E-2</v>
      </c>
      <c r="I76" s="697">
        <f>Sludge!K78</f>
        <v>0</v>
      </c>
      <c r="J76" s="697" t="str">
        <f>IF(Select2=2,MSW!$K78,"")</f>
        <v/>
      </c>
      <c r="K76" s="697">
        <f>Industry!$K78</f>
        <v>0</v>
      </c>
      <c r="L76" s="698">
        <f t="shared" si="3"/>
        <v>7.5338481163878507E-2</v>
      </c>
      <c r="M76" s="699">
        <f>Recovery_OX!C71</f>
        <v>0</v>
      </c>
      <c r="N76" s="649"/>
      <c r="O76" s="700">
        <f>(L76-M76)*(1-Recovery_OX!F71)</f>
        <v>7.5338481163878507E-2</v>
      </c>
      <c r="P76" s="640"/>
      <c r="Q76" s="651"/>
      <c r="S76" s="694">
        <f t="shared" si="2"/>
        <v>2059</v>
      </c>
      <c r="T76" s="695">
        <f>IF(Select2=1,Food!$W78,"")</f>
        <v>2.0554925069235901E-5</v>
      </c>
      <c r="U76" s="696">
        <f>IF(Select2=1,Paper!$W78,"")</f>
        <v>0.11577444898834088</v>
      </c>
      <c r="V76" s="686">
        <f>IF(Select2=1,Nappies!$W78,"")</f>
        <v>0</v>
      </c>
      <c r="W76" s="696">
        <f>IF(Select2=1,Garden!$W78,"")</f>
        <v>0</v>
      </c>
      <c r="X76" s="686">
        <f>IF(Select2=1,Wood!$W78,"")</f>
        <v>0.17634513389686712</v>
      </c>
      <c r="Y76" s="696">
        <f>IF(Select2=1,Textiles!$W78,"")</f>
        <v>1.4539116849698623E-2</v>
      </c>
      <c r="Z76" s="688">
        <f>Sludge!W78</f>
        <v>0</v>
      </c>
      <c r="AA76" s="688" t="str">
        <f>IF(Select2=2,MSW!$W78,"")</f>
        <v/>
      </c>
      <c r="AB76" s="697">
        <f>Industry!$W78</f>
        <v>0</v>
      </c>
      <c r="AC76" s="698">
        <f t="shared" si="4"/>
        <v>0.30667925465997586</v>
      </c>
      <c r="AD76" s="699">
        <f>Recovery_OX!R71</f>
        <v>0</v>
      </c>
      <c r="AE76" s="649"/>
      <c r="AF76" s="701">
        <f>(AC76-AD76)*(1-Recovery_OX!U71)</f>
        <v>0.30667925465997586</v>
      </c>
    </row>
    <row r="77" spans="2:32">
      <c r="B77" s="694">
        <f t="shared" si="1"/>
        <v>2060</v>
      </c>
      <c r="C77" s="695">
        <f>IF(Select2=1,Food!$K79,"")</f>
        <v>2.0594082793637749E-5</v>
      </c>
      <c r="D77" s="696">
        <f>IF(Select2=1,Paper!$K79,"")</f>
        <v>5.2246532278036814E-2</v>
      </c>
      <c r="E77" s="686">
        <f>IF(Select2=1,Nappies!$K79,"")</f>
        <v>5.0670348308659834E-3</v>
      </c>
      <c r="F77" s="696">
        <f>IF(Select2=1,Garden!$K79,"")</f>
        <v>0</v>
      </c>
      <c r="G77" s="686">
        <f>IF(Select2=1,Wood!$K79,"")</f>
        <v>0</v>
      </c>
      <c r="H77" s="696">
        <f>IF(Select2=1,Textiles!$K79,"")</f>
        <v>1.2370016711513863E-2</v>
      </c>
      <c r="I77" s="697">
        <f>Sludge!K79</f>
        <v>0</v>
      </c>
      <c r="J77" s="697" t="str">
        <f>IF(Select2=2,MSW!$K79,"")</f>
        <v/>
      </c>
      <c r="K77" s="697">
        <f>Industry!$K79</f>
        <v>0</v>
      </c>
      <c r="L77" s="698">
        <f t="shared" si="3"/>
        <v>6.9704177903210304E-2</v>
      </c>
      <c r="M77" s="699">
        <f>Recovery_OX!C72</f>
        <v>0</v>
      </c>
      <c r="N77" s="649"/>
      <c r="O77" s="700">
        <f>(L77-M77)*(1-Recovery_OX!F72)</f>
        <v>6.9704177903210304E-2</v>
      </c>
      <c r="P77" s="640"/>
      <c r="Q77" s="651"/>
      <c r="S77" s="694">
        <f t="shared" si="2"/>
        <v>2060</v>
      </c>
      <c r="T77" s="695">
        <f>IF(Select2=1,Food!$W79,"")</f>
        <v>1.3778378318669324E-5</v>
      </c>
      <c r="U77" s="696">
        <f>IF(Select2=1,Paper!$W79,"")</f>
        <v>0.10794738073974552</v>
      </c>
      <c r="V77" s="686">
        <f>IF(Select2=1,Nappies!$W79,"")</f>
        <v>0</v>
      </c>
      <c r="W77" s="696">
        <f>IF(Select2=1,Garden!$W79,"")</f>
        <v>0</v>
      </c>
      <c r="X77" s="686">
        <f>IF(Select2=1,Wood!$W79,"")</f>
        <v>0.17027981642148066</v>
      </c>
      <c r="Y77" s="696">
        <f>IF(Select2=1,Textiles!$W79,"")</f>
        <v>1.3556182697549435E-2</v>
      </c>
      <c r="Z77" s="688">
        <f>Sludge!W79</f>
        <v>0</v>
      </c>
      <c r="AA77" s="688" t="str">
        <f>IF(Select2=2,MSW!$W79,"")</f>
        <v/>
      </c>
      <c r="AB77" s="697">
        <f>Industry!$W79</f>
        <v>0</v>
      </c>
      <c r="AC77" s="698">
        <f t="shared" si="4"/>
        <v>0.29179715823709429</v>
      </c>
      <c r="AD77" s="699">
        <f>Recovery_OX!R72</f>
        <v>0</v>
      </c>
      <c r="AE77" s="649"/>
      <c r="AF77" s="701">
        <f>(AC77-AD77)*(1-Recovery_OX!U72)</f>
        <v>0.29179715823709429</v>
      </c>
    </row>
    <row r="78" spans="2:32">
      <c r="B78" s="694">
        <f t="shared" si="1"/>
        <v>2061</v>
      </c>
      <c r="C78" s="695">
        <f>IF(Select2=1,Food!$K80,"")</f>
        <v>1.380462652629302E-5</v>
      </c>
      <c r="D78" s="696">
        <f>IF(Select2=1,Paper!$K80,"")</f>
        <v>4.871434380755818E-2</v>
      </c>
      <c r="E78" s="686">
        <f>IF(Select2=1,Nappies!$K80,"")</f>
        <v>4.2748790112700375E-3</v>
      </c>
      <c r="F78" s="696">
        <f>IF(Select2=1,Garden!$K80,"")</f>
        <v>0</v>
      </c>
      <c r="G78" s="686">
        <f>IF(Select2=1,Wood!$K80,"")</f>
        <v>0</v>
      </c>
      <c r="H78" s="696">
        <f>IF(Select2=1,Textiles!$K80,"")</f>
        <v>1.1533727133948827E-2</v>
      </c>
      <c r="I78" s="697">
        <f>Sludge!K80</f>
        <v>0</v>
      </c>
      <c r="J78" s="697" t="str">
        <f>IF(Select2=2,MSW!$K80,"")</f>
        <v/>
      </c>
      <c r="K78" s="697">
        <f>Industry!$K80</f>
        <v>0</v>
      </c>
      <c r="L78" s="698">
        <f t="shared" si="3"/>
        <v>6.4536754579303343E-2</v>
      </c>
      <c r="M78" s="699">
        <f>Recovery_OX!C73</f>
        <v>0</v>
      </c>
      <c r="N78" s="649"/>
      <c r="O78" s="700">
        <f>(L78-M78)*(1-Recovery_OX!F73)</f>
        <v>6.4536754579303343E-2</v>
      </c>
      <c r="P78" s="640"/>
      <c r="Q78" s="651"/>
      <c r="S78" s="694">
        <f t="shared" si="2"/>
        <v>2061</v>
      </c>
      <c r="T78" s="695">
        <f>IF(Select2=1,Food!$W80,"")</f>
        <v>9.235923188866877E-6</v>
      </c>
      <c r="U78" s="696">
        <f>IF(Select2=1,Paper!$W80,"")</f>
        <v>0.10064947067677311</v>
      </c>
      <c r="V78" s="686">
        <f>IF(Select2=1,Nappies!$W80,"")</f>
        <v>0</v>
      </c>
      <c r="W78" s="696">
        <f>IF(Select2=1,Garden!$W80,"")</f>
        <v>0</v>
      </c>
      <c r="X78" s="686">
        <f>IF(Select2=1,Wood!$W80,"")</f>
        <v>0.16442311301592585</v>
      </c>
      <c r="Y78" s="696">
        <f>IF(Select2=1,Textiles!$W80,"")</f>
        <v>1.263970096871104E-2</v>
      </c>
      <c r="Z78" s="688">
        <f>Sludge!W80</f>
        <v>0</v>
      </c>
      <c r="AA78" s="688" t="str">
        <f>IF(Select2=2,MSW!$W80,"")</f>
        <v/>
      </c>
      <c r="AB78" s="697">
        <f>Industry!$W80</f>
        <v>0</v>
      </c>
      <c r="AC78" s="698">
        <f t="shared" si="4"/>
        <v>0.27772152058459887</v>
      </c>
      <c r="AD78" s="699">
        <f>Recovery_OX!R73</f>
        <v>0</v>
      </c>
      <c r="AE78" s="649"/>
      <c r="AF78" s="701">
        <f>(AC78-AD78)*(1-Recovery_OX!U73)</f>
        <v>0.27772152058459887</v>
      </c>
    </row>
    <row r="79" spans="2:32">
      <c r="B79" s="694">
        <f t="shared" si="1"/>
        <v>2062</v>
      </c>
      <c r="C79" s="695">
        <f>IF(Select2=1,Food!$K81,"")</f>
        <v>9.2535178886095445E-6</v>
      </c>
      <c r="D79" s="696">
        <f>IF(Select2=1,Paper!$K81,"")</f>
        <v>4.5420953106940838E-2</v>
      </c>
      <c r="E79" s="686">
        <f>IF(Select2=1,Nappies!$K81,"")</f>
        <v>3.6065650170148665E-3</v>
      </c>
      <c r="F79" s="696">
        <f>IF(Select2=1,Garden!$K81,"")</f>
        <v>0</v>
      </c>
      <c r="G79" s="686">
        <f>IF(Select2=1,Wood!$K81,"")</f>
        <v>0</v>
      </c>
      <c r="H79" s="696">
        <f>IF(Select2=1,Textiles!$K81,"")</f>
        <v>1.075397590017543E-2</v>
      </c>
      <c r="I79" s="697">
        <f>Sludge!K81</f>
        <v>0</v>
      </c>
      <c r="J79" s="697" t="str">
        <f>IF(Select2=2,MSW!$K81,"")</f>
        <v/>
      </c>
      <c r="K79" s="697">
        <f>Industry!$K81</f>
        <v>0</v>
      </c>
      <c r="L79" s="698">
        <f t="shared" si="3"/>
        <v>5.979074754201974E-2</v>
      </c>
      <c r="M79" s="699">
        <f>Recovery_OX!C74</f>
        <v>0</v>
      </c>
      <c r="N79" s="649"/>
      <c r="O79" s="700">
        <f>(L79-M79)*(1-Recovery_OX!F74)</f>
        <v>5.979074754201974E-2</v>
      </c>
      <c r="P79" s="640"/>
      <c r="Q79" s="651"/>
      <c r="S79" s="694">
        <f t="shared" si="2"/>
        <v>2062</v>
      </c>
      <c r="T79" s="695">
        <f>IF(Select2=1,Food!$W81,"")</f>
        <v>6.1910244571428739E-6</v>
      </c>
      <c r="U79" s="696">
        <f>IF(Select2=1,Paper!$W81,"")</f>
        <v>9.3844944435828206E-2</v>
      </c>
      <c r="V79" s="686">
        <f>IF(Select2=1,Nappies!$W81,"")</f>
        <v>0</v>
      </c>
      <c r="W79" s="696">
        <f>IF(Select2=1,Garden!$W81,"")</f>
        <v>0</v>
      </c>
      <c r="X79" s="686">
        <f>IF(Select2=1,Wood!$W81,"")</f>
        <v>0.15876784848610798</v>
      </c>
      <c r="Y79" s="696">
        <f>IF(Select2=1,Textiles!$W81,"")</f>
        <v>1.1785179068685401E-2</v>
      </c>
      <c r="Z79" s="688">
        <f>Sludge!W81</f>
        <v>0</v>
      </c>
      <c r="AA79" s="688" t="str">
        <f>IF(Select2=2,MSW!$W81,"")</f>
        <v/>
      </c>
      <c r="AB79" s="697">
        <f>Industry!$W81</f>
        <v>0</v>
      </c>
      <c r="AC79" s="698">
        <f t="shared" si="4"/>
        <v>0.26440416301507874</v>
      </c>
      <c r="AD79" s="699">
        <f>Recovery_OX!R74</f>
        <v>0</v>
      </c>
      <c r="AE79" s="649"/>
      <c r="AF79" s="701">
        <f>(AC79-AD79)*(1-Recovery_OX!U74)</f>
        <v>0.26440416301507874</v>
      </c>
    </row>
    <row r="80" spans="2:32">
      <c r="B80" s="694">
        <f t="shared" si="1"/>
        <v>2063</v>
      </c>
      <c r="C80" s="695">
        <f>IF(Select2=1,Food!$K82,"")</f>
        <v>6.2028185370843627E-6</v>
      </c>
      <c r="D80" s="696">
        <f>IF(Select2=1,Paper!$K82,"")</f>
        <v>4.2350215971149519E-2</v>
      </c>
      <c r="E80" s="686">
        <f>IF(Select2=1,Nappies!$K82,"")</f>
        <v>3.0427320136227811E-3</v>
      </c>
      <c r="F80" s="696">
        <f>IF(Select2=1,Garden!$K82,"")</f>
        <v>0</v>
      </c>
      <c r="G80" s="686">
        <f>IF(Select2=1,Wood!$K82,"")</f>
        <v>0</v>
      </c>
      <c r="H80" s="696">
        <f>IF(Select2=1,Textiles!$K82,"")</f>
        <v>1.0026940668741078E-2</v>
      </c>
      <c r="I80" s="697">
        <f>Sludge!K82</f>
        <v>0</v>
      </c>
      <c r="J80" s="697" t="str">
        <f>IF(Select2=2,MSW!$K82,"")</f>
        <v/>
      </c>
      <c r="K80" s="697">
        <f>Industry!$K82</f>
        <v>0</v>
      </c>
      <c r="L80" s="698">
        <f t="shared" si="3"/>
        <v>5.5426091472050465E-2</v>
      </c>
      <c r="M80" s="699">
        <f>Recovery_OX!C75</f>
        <v>0</v>
      </c>
      <c r="N80" s="649"/>
      <c r="O80" s="700">
        <f>(L80-M80)*(1-Recovery_OX!F75)</f>
        <v>5.5426091472050465E-2</v>
      </c>
      <c r="P80" s="640"/>
      <c r="Q80" s="651"/>
      <c r="S80" s="694">
        <f t="shared" si="2"/>
        <v>2063</v>
      </c>
      <c r="T80" s="695">
        <f>IF(Select2=1,Food!$W82,"")</f>
        <v>4.1499677991197796E-6</v>
      </c>
      <c r="U80" s="696">
        <f>IF(Select2=1,Paper!$W82,"")</f>
        <v>8.7500446221383324E-2</v>
      </c>
      <c r="V80" s="686">
        <f>IF(Select2=1,Nappies!$W82,"")</f>
        <v>0</v>
      </c>
      <c r="W80" s="696">
        <f>IF(Select2=1,Garden!$W82,"")</f>
        <v>0</v>
      </c>
      <c r="X80" s="686">
        <f>IF(Select2=1,Wood!$W82,"")</f>
        <v>0.15330709442574653</v>
      </c>
      <c r="Y80" s="696">
        <f>IF(Select2=1,Textiles!$W82,"")</f>
        <v>1.0988428130127209E-2</v>
      </c>
      <c r="Z80" s="688">
        <f>Sludge!W82</f>
        <v>0</v>
      </c>
      <c r="AA80" s="688" t="str">
        <f>IF(Select2=2,MSW!$W82,"")</f>
        <v/>
      </c>
      <c r="AB80" s="697">
        <f>Industry!$W82</f>
        <v>0</v>
      </c>
      <c r="AC80" s="698">
        <f t="shared" si="4"/>
        <v>0.25180011874505615</v>
      </c>
      <c r="AD80" s="699">
        <f>Recovery_OX!R75</f>
        <v>0</v>
      </c>
      <c r="AE80" s="649"/>
      <c r="AF80" s="701">
        <f>(AC80-AD80)*(1-Recovery_OX!U75)</f>
        <v>0.25180011874505615</v>
      </c>
    </row>
    <row r="81" spans="2:32">
      <c r="B81" s="694">
        <f t="shared" si="1"/>
        <v>2064</v>
      </c>
      <c r="C81" s="695">
        <f>IF(Select2=1,Food!$K83,"")</f>
        <v>4.1578736073291071E-6</v>
      </c>
      <c r="D81" s="696">
        <f>IF(Select2=1,Paper!$K83,"")</f>
        <v>3.9487079643182002E-2</v>
      </c>
      <c r="E81" s="686">
        <f>IF(Select2=1,Nappies!$K83,"")</f>
        <v>2.5670459462250089E-3</v>
      </c>
      <c r="F81" s="696">
        <f>IF(Select2=1,Garden!$K83,"")</f>
        <v>0</v>
      </c>
      <c r="G81" s="686">
        <f>IF(Select2=1,Wood!$K83,"")</f>
        <v>0</v>
      </c>
      <c r="H81" s="696">
        <f>IF(Select2=1,Textiles!$K83,"")</f>
        <v>9.3490575120977974E-3</v>
      </c>
      <c r="I81" s="697">
        <f>Sludge!K83</f>
        <v>0</v>
      </c>
      <c r="J81" s="697" t="str">
        <f>IF(Select2=2,MSW!$K83,"")</f>
        <v/>
      </c>
      <c r="K81" s="697">
        <f>Industry!$K83</f>
        <v>0</v>
      </c>
      <c r="L81" s="698">
        <f t="shared" si="3"/>
        <v>5.140734097511214E-2</v>
      </c>
      <c r="M81" s="699">
        <f>Recovery_OX!C76</f>
        <v>0</v>
      </c>
      <c r="N81" s="649"/>
      <c r="O81" s="700">
        <f>(L81-M81)*(1-Recovery_OX!F76)</f>
        <v>5.140734097511214E-2</v>
      </c>
      <c r="P81" s="640"/>
      <c r="Q81" s="651"/>
      <c r="S81" s="694">
        <f t="shared" si="2"/>
        <v>2064</v>
      </c>
      <c r="T81" s="695">
        <f>IF(Select2=1,Food!$W83,"")</f>
        <v>2.7818066061523912E-6</v>
      </c>
      <c r="U81" s="696">
        <f>IF(Select2=1,Paper!$W83,"")</f>
        <v>8.1584875295830597E-2</v>
      </c>
      <c r="V81" s="686">
        <f>IF(Select2=1,Nappies!$W83,"")</f>
        <v>0</v>
      </c>
      <c r="W81" s="696">
        <f>IF(Select2=1,Garden!$W83,"")</f>
        <v>0</v>
      </c>
      <c r="X81" s="686">
        <f>IF(Select2=1,Wood!$W83,"")</f>
        <v>0.14803416072821102</v>
      </c>
      <c r="Y81" s="696">
        <f>IF(Select2=1,Textiles!$W83,"")</f>
        <v>1.0245542479011284E-2</v>
      </c>
      <c r="Z81" s="688">
        <f>Sludge!W83</f>
        <v>0</v>
      </c>
      <c r="AA81" s="688" t="str">
        <f>IF(Select2=2,MSW!$W83,"")</f>
        <v/>
      </c>
      <c r="AB81" s="697">
        <f>Industry!$W83</f>
        <v>0</v>
      </c>
      <c r="AC81" s="698">
        <f t="shared" ref="AC81:AC97" si="5">SUM(T81:AA81)</f>
        <v>0.23986736030965905</v>
      </c>
      <c r="AD81" s="699">
        <f>Recovery_OX!R76</f>
        <v>0</v>
      </c>
      <c r="AE81" s="649"/>
      <c r="AF81" s="701">
        <f>(AC81-AD81)*(1-Recovery_OX!U76)</f>
        <v>0.23986736030965905</v>
      </c>
    </row>
    <row r="82" spans="2:32">
      <c r="B82" s="694">
        <f t="shared" ref="B82:B97" si="6">B81+1</f>
        <v>2065</v>
      </c>
      <c r="C82" s="695">
        <f>IF(Select2=1,Food!$K84,"")</f>
        <v>2.787106027875217E-6</v>
      </c>
      <c r="D82" s="696">
        <f>IF(Select2=1,Paper!$K84,"")</f>
        <v>3.6817509025436873E-2</v>
      </c>
      <c r="E82" s="686">
        <f>IF(Select2=1,Nappies!$K84,"")</f>
        <v>2.1657263474164122E-3</v>
      </c>
      <c r="F82" s="696">
        <f>IF(Select2=1,Garden!$K84,"")</f>
        <v>0</v>
      </c>
      <c r="G82" s="686">
        <f>IF(Select2=1,Wood!$K84,"")</f>
        <v>0</v>
      </c>
      <c r="H82" s="696">
        <f>IF(Select2=1,Textiles!$K84,"")</f>
        <v>8.717003446225266E-3</v>
      </c>
      <c r="I82" s="697">
        <f>Sludge!K84</f>
        <v>0</v>
      </c>
      <c r="J82" s="697" t="str">
        <f>IF(Select2=2,MSW!$K84,"")</f>
        <v/>
      </c>
      <c r="K82" s="697">
        <f>Industry!$K84</f>
        <v>0</v>
      </c>
      <c r="L82" s="698">
        <f t="shared" si="3"/>
        <v>4.7703025925106432E-2</v>
      </c>
      <c r="M82" s="699">
        <f>Recovery_OX!C77</f>
        <v>0</v>
      </c>
      <c r="N82" s="649"/>
      <c r="O82" s="700">
        <f>(L82-M82)*(1-Recovery_OX!F77)</f>
        <v>4.7703025925106432E-2</v>
      </c>
      <c r="P82" s="640"/>
      <c r="Q82" s="651"/>
      <c r="S82" s="694">
        <f t="shared" ref="S82:S97" si="7">S81+1</f>
        <v>2065</v>
      </c>
      <c r="T82" s="695">
        <f>IF(Select2=1,Food!$W84,"")</f>
        <v>1.8647007322983168E-6</v>
      </c>
      <c r="U82" s="696">
        <f>IF(Select2=1,Paper!$W84,"")</f>
        <v>7.6069233523629917E-2</v>
      </c>
      <c r="V82" s="686">
        <f>IF(Select2=1,Nappies!$W84,"")</f>
        <v>0</v>
      </c>
      <c r="W82" s="696">
        <f>IF(Select2=1,Garden!$W84,"")</f>
        <v>0</v>
      </c>
      <c r="X82" s="686">
        <f>IF(Select2=1,Wood!$W84,"")</f>
        <v>0.14294258739030372</v>
      </c>
      <c r="Y82" s="696">
        <f>IF(Select2=1,Textiles!$W84,"")</f>
        <v>9.5528804890139887E-3</v>
      </c>
      <c r="Z82" s="688">
        <f>Sludge!W84</f>
        <v>0</v>
      </c>
      <c r="AA82" s="688" t="str">
        <f>IF(Select2=2,MSW!$W84,"")</f>
        <v/>
      </c>
      <c r="AB82" s="697">
        <f>Industry!$W84</f>
        <v>0</v>
      </c>
      <c r="AC82" s="698">
        <f t="shared" si="5"/>
        <v>0.22856656610367992</v>
      </c>
      <c r="AD82" s="699">
        <f>Recovery_OX!R77</f>
        <v>0</v>
      </c>
      <c r="AE82" s="649"/>
      <c r="AF82" s="701">
        <f>(AC82-AD82)*(1-Recovery_OX!U77)</f>
        <v>0.22856656610367992</v>
      </c>
    </row>
    <row r="83" spans="2:32">
      <c r="B83" s="694">
        <f t="shared" si="6"/>
        <v>2066</v>
      </c>
      <c r="C83" s="695">
        <f>IF(Select2=1,Food!$K85,"")</f>
        <v>1.8682530409115234E-6</v>
      </c>
      <c r="D83" s="696">
        <f>IF(Select2=1,Paper!$K85,"")</f>
        <v>3.4328417879648812E-2</v>
      </c>
      <c r="E83" s="686">
        <f>IF(Select2=1,Nappies!$K85,"")</f>
        <v>1.8271471216910235E-3</v>
      </c>
      <c r="F83" s="696">
        <f>IF(Select2=1,Garden!$K85,"")</f>
        <v>0</v>
      </c>
      <c r="G83" s="686">
        <f>IF(Select2=1,Wood!$K85,"")</f>
        <v>0</v>
      </c>
      <c r="H83" s="696">
        <f>IF(Select2=1,Textiles!$K85,"")</f>
        <v>8.1276801413592923E-3</v>
      </c>
      <c r="I83" s="697">
        <f>Sludge!K85</f>
        <v>0</v>
      </c>
      <c r="J83" s="697" t="str">
        <f>IF(Select2=2,MSW!$K85,"")</f>
        <v/>
      </c>
      <c r="K83" s="697">
        <f>Industry!$K85</f>
        <v>0</v>
      </c>
      <c r="L83" s="698">
        <f t="shared" ref="L83:L97" si="8">SUM(C83:K83)</f>
        <v>4.4285113395740039E-2</v>
      </c>
      <c r="M83" s="699">
        <f>Recovery_OX!C78</f>
        <v>0</v>
      </c>
      <c r="N83" s="649"/>
      <c r="O83" s="700">
        <f>(L83-M83)*(1-Recovery_OX!F78)</f>
        <v>4.4285113395740039E-2</v>
      </c>
      <c r="P83" s="640"/>
      <c r="Q83" s="651"/>
      <c r="S83" s="694">
        <f t="shared" si="7"/>
        <v>2066</v>
      </c>
      <c r="T83" s="695">
        <f>IF(Select2=1,Food!$W85,"")</f>
        <v>1.2499462807168982E-6</v>
      </c>
      <c r="U83" s="696">
        <f>IF(Select2=1,Paper!$W85,"")</f>
        <v>7.0926483222414932E-2</v>
      </c>
      <c r="V83" s="686">
        <f>IF(Select2=1,Nappies!$W85,"")</f>
        <v>0</v>
      </c>
      <c r="W83" s="696">
        <f>IF(Select2=1,Garden!$W85,"")</f>
        <v>0</v>
      </c>
      <c r="X83" s="686">
        <f>IF(Select2=1,Wood!$W85,"")</f>
        <v>0.13802613659794777</v>
      </c>
      <c r="Y83" s="696">
        <f>IF(Select2=1,Textiles!$W85,"")</f>
        <v>8.9070467302567579E-3</v>
      </c>
      <c r="Z83" s="688">
        <f>Sludge!W85</f>
        <v>0</v>
      </c>
      <c r="AA83" s="688" t="str">
        <f>IF(Select2=2,MSW!$W85,"")</f>
        <v/>
      </c>
      <c r="AB83" s="697">
        <f>Industry!$W85</f>
        <v>0</v>
      </c>
      <c r="AC83" s="698">
        <f t="shared" si="5"/>
        <v>0.21786091649690018</v>
      </c>
      <c r="AD83" s="699">
        <f>Recovery_OX!R78</f>
        <v>0</v>
      </c>
      <c r="AE83" s="649"/>
      <c r="AF83" s="701">
        <f>(AC83-AD83)*(1-Recovery_OX!U78)</f>
        <v>0.21786091649690018</v>
      </c>
    </row>
    <row r="84" spans="2:32">
      <c r="B84" s="694">
        <f t="shared" si="6"/>
        <v>2067</v>
      </c>
      <c r="C84" s="695">
        <f>IF(Select2=1,Food!$K86,"")</f>
        <v>1.2523274643900355E-6</v>
      </c>
      <c r="D84" s="696">
        <f>IF(Select2=1,Paper!$K86,"")</f>
        <v>3.2007604678133406E-2</v>
      </c>
      <c r="E84" s="686">
        <f>IF(Select2=1,Nappies!$K86,"")</f>
        <v>1.5414997413160678E-3</v>
      </c>
      <c r="F84" s="696">
        <f>IF(Select2=1,Garden!$K86,"")</f>
        <v>0</v>
      </c>
      <c r="G84" s="686">
        <f>IF(Select2=1,Wood!$K86,"")</f>
        <v>0</v>
      </c>
      <c r="H84" s="696">
        <f>IF(Select2=1,Textiles!$K86,"")</f>
        <v>7.5781987339757087E-3</v>
      </c>
      <c r="I84" s="697">
        <f>Sludge!K86</f>
        <v>0</v>
      </c>
      <c r="J84" s="697" t="str">
        <f>IF(Select2=2,MSW!$K86,"")</f>
        <v/>
      </c>
      <c r="K84" s="697">
        <f>Industry!$K86</f>
        <v>0</v>
      </c>
      <c r="L84" s="698">
        <f t="shared" si="8"/>
        <v>4.1128555480889568E-2</v>
      </c>
      <c r="M84" s="699">
        <f>Recovery_OX!C79</f>
        <v>0</v>
      </c>
      <c r="N84" s="649"/>
      <c r="O84" s="700">
        <f>(L84-M84)*(1-Recovery_OX!F79)</f>
        <v>4.1128555480889568E-2</v>
      </c>
      <c r="P84" s="640"/>
      <c r="Q84" s="651"/>
      <c r="S84" s="694">
        <f t="shared" si="7"/>
        <v>2067</v>
      </c>
      <c r="T84" s="695">
        <f>IF(Select2=1,Food!$W86,"")</f>
        <v>8.3786404843222723E-7</v>
      </c>
      <c r="U84" s="696">
        <f>IF(Select2=1,Paper!$W86,"")</f>
        <v>6.6131414624242602E-2</v>
      </c>
      <c r="V84" s="686">
        <f>IF(Select2=1,Nappies!$W86,"")</f>
        <v>0</v>
      </c>
      <c r="W84" s="696">
        <f>IF(Select2=1,Garden!$W86,"")</f>
        <v>0</v>
      </c>
      <c r="X84" s="686">
        <f>IF(Select2=1,Wood!$W86,"")</f>
        <v>0.13327878508408508</v>
      </c>
      <c r="Y84" s="696">
        <f>IF(Select2=1,Textiles!$W86,"")</f>
        <v>8.304875324904884E-3</v>
      </c>
      <c r="Z84" s="688">
        <f>Sludge!W86</f>
        <v>0</v>
      </c>
      <c r="AA84" s="688" t="str">
        <f>IF(Select2=2,MSW!$W86,"")</f>
        <v/>
      </c>
      <c r="AB84" s="697">
        <f>Industry!$W86</f>
        <v>0</v>
      </c>
      <c r="AC84" s="698">
        <f t="shared" si="5"/>
        <v>0.20771591289728097</v>
      </c>
      <c r="AD84" s="699">
        <f>Recovery_OX!R79</f>
        <v>0</v>
      </c>
      <c r="AE84" s="649"/>
      <c r="AF84" s="701">
        <f>(AC84-AD84)*(1-Recovery_OX!U79)</f>
        <v>0.20771591289728097</v>
      </c>
    </row>
    <row r="85" spans="2:32">
      <c r="B85" s="694">
        <f t="shared" si="6"/>
        <v>2068</v>
      </c>
      <c r="C85" s="695">
        <f>IF(Select2=1,Food!$K87,"")</f>
        <v>8.3946020358162409E-7</v>
      </c>
      <c r="D85" s="696">
        <f>IF(Select2=1,Paper!$K87,"")</f>
        <v>2.9843692791884313E-2</v>
      </c>
      <c r="E85" s="686">
        <f>IF(Select2=1,Nappies!$K87,"")</f>
        <v>1.3005090965407932E-3</v>
      </c>
      <c r="F85" s="696">
        <f>IF(Select2=1,Garden!$K87,"")</f>
        <v>0</v>
      </c>
      <c r="G85" s="686">
        <f>IF(Select2=1,Wood!$K87,"")</f>
        <v>0</v>
      </c>
      <c r="H85" s="696">
        <f>IF(Select2=1,Textiles!$K87,"")</f>
        <v>7.0658656655780321E-3</v>
      </c>
      <c r="I85" s="697">
        <f>Sludge!K87</f>
        <v>0</v>
      </c>
      <c r="J85" s="697" t="str">
        <f>IF(Select2=2,MSW!$K87,"")</f>
        <v/>
      </c>
      <c r="K85" s="697">
        <f>Industry!$K87</f>
        <v>0</v>
      </c>
      <c r="L85" s="698">
        <f t="shared" si="8"/>
        <v>3.8210907014206721E-2</v>
      </c>
      <c r="M85" s="699">
        <f>Recovery_OX!C80</f>
        <v>0</v>
      </c>
      <c r="N85" s="649"/>
      <c r="O85" s="700">
        <f>(L85-M85)*(1-Recovery_OX!F80)</f>
        <v>3.8210907014206721E-2</v>
      </c>
      <c r="P85" s="640"/>
      <c r="Q85" s="651"/>
      <c r="S85" s="694">
        <f t="shared" si="7"/>
        <v>2068</v>
      </c>
      <c r="T85" s="695">
        <f>IF(Select2=1,Food!$W87,"")</f>
        <v>5.6163706751669766E-7</v>
      </c>
      <c r="U85" s="696">
        <f>IF(Select2=1,Paper!$W87,"")</f>
        <v>6.1660522297281653E-2</v>
      </c>
      <c r="V85" s="686">
        <f>IF(Select2=1,Nappies!$W87,"")</f>
        <v>0</v>
      </c>
      <c r="W85" s="696">
        <f>IF(Select2=1,Garden!$W87,"")</f>
        <v>0</v>
      </c>
      <c r="X85" s="686">
        <f>IF(Select2=1,Wood!$W87,"")</f>
        <v>0.12869471674942073</v>
      </c>
      <c r="Y85" s="696">
        <f>IF(Select2=1,Textiles!$W87,"")</f>
        <v>7.7434144280307191E-3</v>
      </c>
      <c r="Z85" s="688">
        <f>Sludge!W87</f>
        <v>0</v>
      </c>
      <c r="AA85" s="688" t="str">
        <f>IF(Select2=2,MSW!$W87,"")</f>
        <v/>
      </c>
      <c r="AB85" s="697">
        <f>Industry!$W87</f>
        <v>0</v>
      </c>
      <c r="AC85" s="698">
        <f t="shared" si="5"/>
        <v>0.19809921511180062</v>
      </c>
      <c r="AD85" s="699">
        <f>Recovery_OX!R80</f>
        <v>0</v>
      </c>
      <c r="AE85" s="649"/>
      <c r="AF85" s="701">
        <f>(AC85-AD85)*(1-Recovery_OX!U80)</f>
        <v>0.19809921511180062</v>
      </c>
    </row>
    <row r="86" spans="2:32">
      <c r="B86" s="694">
        <f t="shared" si="6"/>
        <v>2069</v>
      </c>
      <c r="C86" s="695">
        <f>IF(Select2=1,Food!$K88,"")</f>
        <v>5.6270700230992133E-7</v>
      </c>
      <c r="D86" s="696">
        <f>IF(Select2=1,Paper!$K88,"")</f>
        <v>2.782607472232463E-2</v>
      </c>
      <c r="E86" s="686">
        <f>IF(Select2=1,Nappies!$K88,"")</f>
        <v>1.0971937684150167E-3</v>
      </c>
      <c r="F86" s="696">
        <f>IF(Select2=1,Garden!$K88,"")</f>
        <v>0</v>
      </c>
      <c r="G86" s="686">
        <f>IF(Select2=1,Wood!$K88,"")</f>
        <v>0</v>
      </c>
      <c r="H86" s="696">
        <f>IF(Select2=1,Textiles!$K88,"")</f>
        <v>6.5881694788705878E-3</v>
      </c>
      <c r="I86" s="697">
        <f>Sludge!K88</f>
        <v>0</v>
      </c>
      <c r="J86" s="697" t="str">
        <f>IF(Select2=2,MSW!$K88,"")</f>
        <v/>
      </c>
      <c r="K86" s="697">
        <f>Industry!$K88</f>
        <v>0</v>
      </c>
      <c r="L86" s="698">
        <f t="shared" si="8"/>
        <v>3.5512000676612546E-2</v>
      </c>
      <c r="M86" s="699">
        <f>Recovery_OX!C81</f>
        <v>0</v>
      </c>
      <c r="N86" s="649"/>
      <c r="O86" s="700">
        <f>(L86-M86)*(1-Recovery_OX!F81)</f>
        <v>3.5512000676612546E-2</v>
      </c>
      <c r="P86" s="640"/>
      <c r="Q86" s="651"/>
      <c r="S86" s="694">
        <f t="shared" si="7"/>
        <v>2069</v>
      </c>
      <c r="T86" s="695">
        <f>IF(Select2=1,Food!$W88,"")</f>
        <v>3.7647658495311428E-7</v>
      </c>
      <c r="U86" s="696">
        <f>IF(Select2=1,Paper!$W88,"")</f>
        <v>5.749188992215834E-2</v>
      </c>
      <c r="V86" s="686">
        <f>IF(Select2=1,Nappies!$W88,"")</f>
        <v>0</v>
      </c>
      <c r="W86" s="696">
        <f>IF(Select2=1,Garden!$W88,"")</f>
        <v>0</v>
      </c>
      <c r="X86" s="686">
        <f>IF(Select2=1,Wood!$W88,"")</f>
        <v>0.12426831553697404</v>
      </c>
      <c r="Y86" s="696">
        <f>IF(Select2=1,Textiles!$W88,"")</f>
        <v>7.2199117576663948E-3</v>
      </c>
      <c r="Z86" s="688">
        <f>Sludge!W88</f>
        <v>0</v>
      </c>
      <c r="AA86" s="688" t="str">
        <f>IF(Select2=2,MSW!$W88,"")</f>
        <v/>
      </c>
      <c r="AB86" s="697">
        <f>Industry!$W88</f>
        <v>0</v>
      </c>
      <c r="AC86" s="698">
        <f t="shared" si="5"/>
        <v>0.18898049369338374</v>
      </c>
      <c r="AD86" s="699">
        <f>Recovery_OX!R81</f>
        <v>0</v>
      </c>
      <c r="AE86" s="649"/>
      <c r="AF86" s="701">
        <f>(AC86-AD86)*(1-Recovery_OX!U81)</f>
        <v>0.18898049369338374</v>
      </c>
    </row>
    <row r="87" spans="2:32">
      <c r="B87" s="694">
        <f t="shared" si="6"/>
        <v>2070</v>
      </c>
      <c r="C87" s="695">
        <f>IF(Select2=1,Food!$K89,"")</f>
        <v>3.7719378369296312E-7</v>
      </c>
      <c r="D87" s="696">
        <f>IF(Select2=1,Paper!$K89,"")</f>
        <v>2.594486010333661E-2</v>
      </c>
      <c r="E87" s="686">
        <f>IF(Select2=1,Nappies!$K89,"")</f>
        <v>9.2566377940055036E-4</v>
      </c>
      <c r="F87" s="696">
        <f>IF(Select2=1,Garden!$K89,"")</f>
        <v>0</v>
      </c>
      <c r="G87" s="686">
        <f>IF(Select2=1,Wood!$K89,"")</f>
        <v>0</v>
      </c>
      <c r="H87" s="696">
        <f>IF(Select2=1,Textiles!$K89,"")</f>
        <v>6.142768506591928E-3</v>
      </c>
      <c r="I87" s="697">
        <f>Sludge!K89</f>
        <v>0</v>
      </c>
      <c r="J87" s="697" t="str">
        <f>IF(Select2=2,MSW!$K89,"")</f>
        <v/>
      </c>
      <c r="K87" s="697">
        <f>Industry!$K89</f>
        <v>0</v>
      </c>
      <c r="L87" s="698">
        <f t="shared" si="8"/>
        <v>3.3013669583112783E-2</v>
      </c>
      <c r="M87" s="699">
        <f>Recovery_OX!C82</f>
        <v>0</v>
      </c>
      <c r="N87" s="649"/>
      <c r="O87" s="700">
        <f>(L87-M87)*(1-Recovery_OX!F82)</f>
        <v>3.3013669583112783E-2</v>
      </c>
      <c r="P87" s="640"/>
      <c r="Q87" s="651"/>
      <c r="S87" s="694">
        <f t="shared" si="7"/>
        <v>2070</v>
      </c>
      <c r="T87" s="695">
        <f>IF(Select2=1,Food!$W89,"")</f>
        <v>2.5235980175711181E-7</v>
      </c>
      <c r="U87" s="696">
        <f>IF(Select2=1,Paper!$W89,"")</f>
        <v>5.3605082858133507E-2</v>
      </c>
      <c r="V87" s="686">
        <f>IF(Select2=1,Nappies!$W89,"")</f>
        <v>0</v>
      </c>
      <c r="W87" s="696">
        <f>IF(Select2=1,Garden!$W89,"")</f>
        <v>0</v>
      </c>
      <c r="X87" s="686">
        <f>IF(Select2=1,Wood!$W89,"")</f>
        <v>0.11999415855170642</v>
      </c>
      <c r="Y87" s="696">
        <f>IF(Select2=1,Textiles!$W89,"")</f>
        <v>6.7318011031144397E-3</v>
      </c>
      <c r="Z87" s="688">
        <f>Sludge!W89</f>
        <v>0</v>
      </c>
      <c r="AA87" s="688" t="str">
        <f>IF(Select2=2,MSW!$W89,"")</f>
        <v/>
      </c>
      <c r="AB87" s="697">
        <f>Industry!$W89</f>
        <v>0</v>
      </c>
      <c r="AC87" s="698">
        <f t="shared" si="5"/>
        <v>0.18033129487275612</v>
      </c>
      <c r="AD87" s="699">
        <f>Recovery_OX!R82</f>
        <v>0</v>
      </c>
      <c r="AE87" s="649"/>
      <c r="AF87" s="701">
        <f>(AC87-AD87)*(1-Recovery_OX!U82)</f>
        <v>0.18033129487275612</v>
      </c>
    </row>
    <row r="88" spans="2:32">
      <c r="B88" s="694">
        <f t="shared" si="6"/>
        <v>2071</v>
      </c>
      <c r="C88" s="695">
        <f>IF(Select2=1,Food!$K90,"")</f>
        <v>2.5284055444942401E-7</v>
      </c>
      <c r="D88" s="696">
        <f>IF(Select2=1,Paper!$K90,"")</f>
        <v>2.4190827218675458E-2</v>
      </c>
      <c r="E88" s="686">
        <f>IF(Select2=1,Nappies!$K90,"")</f>
        <v>7.8094996267788063E-4</v>
      </c>
      <c r="F88" s="696">
        <f>IF(Select2=1,Garden!$K90,"")</f>
        <v>0</v>
      </c>
      <c r="G88" s="686">
        <f>IF(Select2=1,Wood!$K90,"")</f>
        <v>0</v>
      </c>
      <c r="H88" s="696">
        <f>IF(Select2=1,Textiles!$K90,"")</f>
        <v>5.7274793926592044E-3</v>
      </c>
      <c r="I88" s="697">
        <f>Sludge!K90</f>
        <v>0</v>
      </c>
      <c r="J88" s="697" t="str">
        <f>IF(Select2=2,MSW!$K90,"")</f>
        <v/>
      </c>
      <c r="K88" s="697">
        <f>Industry!$K90</f>
        <v>0</v>
      </c>
      <c r="L88" s="698">
        <f t="shared" si="8"/>
        <v>3.0699509414566992E-2</v>
      </c>
      <c r="M88" s="699">
        <f>Recovery_OX!C83</f>
        <v>0</v>
      </c>
      <c r="N88" s="649"/>
      <c r="O88" s="700">
        <f>(L88-M88)*(1-Recovery_OX!F83)</f>
        <v>3.0699509414566992E-2</v>
      </c>
      <c r="P88" s="640"/>
      <c r="Q88" s="651"/>
      <c r="S88" s="694">
        <f t="shared" si="7"/>
        <v>2071</v>
      </c>
      <c r="T88" s="695">
        <f>IF(Select2=1,Food!$W90,"")</f>
        <v>1.6916183393137201E-7</v>
      </c>
      <c r="U88" s="696">
        <f>IF(Select2=1,Paper!$W90,"")</f>
        <v>4.9981047972469966E-2</v>
      </c>
      <c r="V88" s="686">
        <f>IF(Select2=1,Nappies!$W90,"")</f>
        <v>0</v>
      </c>
      <c r="W88" s="696">
        <f>IF(Select2=1,Garden!$W90,"")</f>
        <v>0</v>
      </c>
      <c r="X88" s="686">
        <f>IF(Select2=1,Wood!$W90,"")</f>
        <v>0.11586700941679691</v>
      </c>
      <c r="Y88" s="696">
        <f>IF(Select2=1,Textiles!$W90,"")</f>
        <v>6.2766897453799481E-3</v>
      </c>
      <c r="Z88" s="688">
        <f>Sludge!W90</f>
        <v>0</v>
      </c>
      <c r="AA88" s="688" t="str">
        <f>IF(Select2=2,MSW!$W90,"")</f>
        <v/>
      </c>
      <c r="AB88" s="697">
        <f>Industry!$W90</f>
        <v>0</v>
      </c>
      <c r="AC88" s="698">
        <f t="shared" si="5"/>
        <v>0.17212491629648077</v>
      </c>
      <c r="AD88" s="699">
        <f>Recovery_OX!R83</f>
        <v>0</v>
      </c>
      <c r="AE88" s="649"/>
      <c r="AF88" s="701">
        <f>(AC88-AD88)*(1-Recovery_OX!U83)</f>
        <v>0.17212491629648077</v>
      </c>
    </row>
    <row r="89" spans="2:32">
      <c r="B89" s="694">
        <f t="shared" si="6"/>
        <v>2072</v>
      </c>
      <c r="C89" s="695">
        <f>IF(Select2=1,Food!$K91,"")</f>
        <v>1.6948409209821448E-7</v>
      </c>
      <c r="D89" s="696">
        <f>IF(Select2=1,Paper!$K91,"")</f>
        <v>2.2555377797105595E-2</v>
      </c>
      <c r="E89" s="686">
        <f>IF(Select2=1,Nappies!$K91,"")</f>
        <v>6.5886000703358687E-4</v>
      </c>
      <c r="F89" s="696">
        <f>IF(Select2=1,Garden!$K91,"")</f>
        <v>0</v>
      </c>
      <c r="G89" s="686">
        <f>IF(Select2=1,Wood!$K91,"")</f>
        <v>0</v>
      </c>
      <c r="H89" s="696">
        <f>IF(Select2=1,Textiles!$K91,"")</f>
        <v>5.3402663893541164E-3</v>
      </c>
      <c r="I89" s="697">
        <f>Sludge!K91</f>
        <v>0</v>
      </c>
      <c r="J89" s="697" t="str">
        <f>IF(Select2=2,MSW!$K91,"")</f>
        <v/>
      </c>
      <c r="K89" s="697">
        <f>Industry!$K91</f>
        <v>0</v>
      </c>
      <c r="L89" s="698">
        <f t="shared" si="8"/>
        <v>2.8554673677585393E-2</v>
      </c>
      <c r="M89" s="699">
        <f>Recovery_OX!C84</f>
        <v>0</v>
      </c>
      <c r="N89" s="649"/>
      <c r="O89" s="700">
        <f>(L89-M89)*(1-Recovery_OX!F84)</f>
        <v>2.8554673677585393E-2</v>
      </c>
      <c r="P89" s="640"/>
      <c r="Q89" s="651"/>
      <c r="S89" s="694">
        <f t="shared" si="7"/>
        <v>2072</v>
      </c>
      <c r="T89" s="695">
        <f>IF(Select2=1,Food!$W91,"")</f>
        <v>1.1339256830835047E-7</v>
      </c>
      <c r="U89" s="696">
        <f>IF(Select2=1,Paper!$W91,"")</f>
        <v>4.6602020241953715E-2</v>
      </c>
      <c r="V89" s="686">
        <f>IF(Select2=1,Nappies!$W91,"")</f>
        <v>0</v>
      </c>
      <c r="W89" s="696">
        <f>IF(Select2=1,Garden!$W91,"")</f>
        <v>0</v>
      </c>
      <c r="X89" s="686">
        <f>IF(Select2=1,Wood!$W91,"")</f>
        <v>0.11188181185842555</v>
      </c>
      <c r="Y89" s="696">
        <f>IF(Select2=1,Textiles!$W91,"")</f>
        <v>5.8523467280593034E-3</v>
      </c>
      <c r="Z89" s="688">
        <f>Sludge!W91</f>
        <v>0</v>
      </c>
      <c r="AA89" s="688" t="str">
        <f>IF(Select2=2,MSW!$W91,"")</f>
        <v/>
      </c>
      <c r="AB89" s="697">
        <f>Industry!$W91</f>
        <v>0</v>
      </c>
      <c r="AC89" s="698">
        <f t="shared" si="5"/>
        <v>0.1643362922210069</v>
      </c>
      <c r="AD89" s="699">
        <f>Recovery_OX!R84</f>
        <v>0</v>
      </c>
      <c r="AE89" s="649"/>
      <c r="AF89" s="701">
        <f>(AC89-AD89)*(1-Recovery_OX!U84)</f>
        <v>0.1643362922210069</v>
      </c>
    </row>
    <row r="90" spans="2:32">
      <c r="B90" s="694">
        <f t="shared" si="6"/>
        <v>2073</v>
      </c>
      <c r="C90" s="695">
        <f>IF(Select2=1,Food!$K92,"")</f>
        <v>1.1360858441758366E-7</v>
      </c>
      <c r="D90" s="696">
        <f>IF(Select2=1,Paper!$K92,"")</f>
        <v>2.1030494863665102E-2</v>
      </c>
      <c r="E90" s="686">
        <f>IF(Select2=1,Nappies!$K92,"")</f>
        <v>5.5585700699668317E-4</v>
      </c>
      <c r="F90" s="696">
        <f>IF(Select2=1,Garden!$K92,"")</f>
        <v>0</v>
      </c>
      <c r="G90" s="686">
        <f>IF(Select2=1,Wood!$K92,"")</f>
        <v>0</v>
      </c>
      <c r="H90" s="696">
        <f>IF(Select2=1,Textiles!$K92,"")</f>
        <v>4.9792313780852304E-3</v>
      </c>
      <c r="I90" s="697">
        <f>Sludge!K92</f>
        <v>0</v>
      </c>
      <c r="J90" s="697" t="str">
        <f>IF(Select2=2,MSW!$K92,"")</f>
        <v/>
      </c>
      <c r="K90" s="697">
        <f>Industry!$K92</f>
        <v>0</v>
      </c>
      <c r="L90" s="698">
        <f t="shared" si="8"/>
        <v>2.6565696857331435E-2</v>
      </c>
      <c r="M90" s="699">
        <f>Recovery_OX!C85</f>
        <v>0</v>
      </c>
      <c r="N90" s="649"/>
      <c r="O90" s="700">
        <f>(L90-M90)*(1-Recovery_OX!F85)</f>
        <v>2.6565696857331435E-2</v>
      </c>
      <c r="P90" s="640"/>
      <c r="Q90" s="651"/>
      <c r="S90" s="694">
        <f t="shared" si="7"/>
        <v>2073</v>
      </c>
      <c r="T90" s="695">
        <f>IF(Select2=1,Food!$W92,"")</f>
        <v>7.6009311608552865E-8</v>
      </c>
      <c r="U90" s="696">
        <f>IF(Select2=1,Paper!$W92,"")</f>
        <v>4.3451435668729554E-2</v>
      </c>
      <c r="V90" s="686">
        <f>IF(Select2=1,Nappies!$W92,"")</f>
        <v>0</v>
      </c>
      <c r="W90" s="696">
        <f>IF(Select2=1,Garden!$W92,"")</f>
        <v>0</v>
      </c>
      <c r="X90" s="686">
        <f>IF(Select2=1,Wood!$W92,"")</f>
        <v>0.10803368351120574</v>
      </c>
      <c r="Y90" s="696">
        <f>IF(Select2=1,Textiles!$W92,"")</f>
        <v>5.456691921189292E-3</v>
      </c>
      <c r="Z90" s="688">
        <f>Sludge!W92</f>
        <v>0</v>
      </c>
      <c r="AA90" s="688" t="str">
        <f>IF(Select2=2,MSW!$W92,"")</f>
        <v/>
      </c>
      <c r="AB90" s="697">
        <f>Industry!$W92</f>
        <v>0</v>
      </c>
      <c r="AC90" s="698">
        <f t="shared" si="5"/>
        <v>0.15694188711043622</v>
      </c>
      <c r="AD90" s="699">
        <f>Recovery_OX!R85</f>
        <v>0</v>
      </c>
      <c r="AE90" s="649"/>
      <c r="AF90" s="701">
        <f>(AC90-AD90)*(1-Recovery_OX!U85)</f>
        <v>0.15694188711043622</v>
      </c>
    </row>
    <row r="91" spans="2:32">
      <c r="B91" s="694">
        <f t="shared" si="6"/>
        <v>2074</v>
      </c>
      <c r="C91" s="695">
        <f>IF(Select2=1,Food!$K93,"")</f>
        <v>7.6154111536838484E-8</v>
      </c>
      <c r="D91" s="696">
        <f>IF(Select2=1,Paper!$K93,"")</f>
        <v>1.9608703440445126E-2</v>
      </c>
      <c r="E91" s="686">
        <f>IF(Select2=1,Nappies!$K93,"")</f>
        <v>4.6895699986167151E-4</v>
      </c>
      <c r="F91" s="696">
        <f>IF(Select2=1,Garden!$K93,"")</f>
        <v>0</v>
      </c>
      <c r="G91" s="686">
        <f>IF(Select2=1,Wood!$K93,"")</f>
        <v>0</v>
      </c>
      <c r="H91" s="696">
        <f>IF(Select2=1,Textiles!$K93,"")</f>
        <v>4.6426045648084472E-3</v>
      </c>
      <c r="I91" s="697">
        <f>Sludge!K93</f>
        <v>0</v>
      </c>
      <c r="J91" s="697" t="str">
        <f>IF(Select2=2,MSW!$K93,"")</f>
        <v/>
      </c>
      <c r="K91" s="697">
        <f>Industry!$K93</f>
        <v>0</v>
      </c>
      <c r="L91" s="698">
        <f t="shared" si="8"/>
        <v>2.4720341159226784E-2</v>
      </c>
      <c r="M91" s="699">
        <f>Recovery_OX!C86</f>
        <v>0</v>
      </c>
      <c r="N91" s="649"/>
      <c r="O91" s="700">
        <f>(L91-M91)*(1-Recovery_OX!F86)</f>
        <v>2.4720341159226784E-2</v>
      </c>
      <c r="P91" s="640"/>
      <c r="Q91" s="651"/>
      <c r="S91" s="694">
        <f t="shared" si="7"/>
        <v>2074</v>
      </c>
      <c r="T91" s="695">
        <f>IF(Select2=1,Food!$W93,"")</f>
        <v>5.0950565256582414E-8</v>
      </c>
      <c r="U91" s="696">
        <f>IF(Select2=1,Paper!$W93,"")</f>
        <v>4.0513850083564319E-2</v>
      </c>
      <c r="V91" s="686">
        <f>IF(Select2=1,Nappies!$W93,"")</f>
        <v>0</v>
      </c>
      <c r="W91" s="696">
        <f>IF(Select2=1,Garden!$W93,"")</f>
        <v>0</v>
      </c>
      <c r="X91" s="686">
        <f>IF(Select2=1,Wood!$W93,"")</f>
        <v>0.10431790993667601</v>
      </c>
      <c r="Y91" s="696">
        <f>IF(Select2=1,Textiles!$W93,"")</f>
        <v>5.0877858244476109E-3</v>
      </c>
      <c r="Z91" s="688">
        <f>Sludge!W93</f>
        <v>0</v>
      </c>
      <c r="AA91" s="688" t="str">
        <f>IF(Select2=2,MSW!$W93,"")</f>
        <v/>
      </c>
      <c r="AB91" s="697">
        <f>Industry!$W93</f>
        <v>0</v>
      </c>
      <c r="AC91" s="698">
        <f t="shared" si="5"/>
        <v>0.14991959679525321</v>
      </c>
      <c r="AD91" s="699">
        <f>Recovery_OX!R86</f>
        <v>0</v>
      </c>
      <c r="AE91" s="649"/>
      <c r="AF91" s="701">
        <f>(AC91-AD91)*(1-Recovery_OX!U86)</f>
        <v>0.14991959679525321</v>
      </c>
    </row>
    <row r="92" spans="2:32">
      <c r="B92" s="694">
        <f t="shared" si="6"/>
        <v>2075</v>
      </c>
      <c r="C92" s="695">
        <f>IF(Select2=1,Food!$K94,"")</f>
        <v>5.1047627551176785E-8</v>
      </c>
      <c r="D92" s="696">
        <f>IF(Select2=1,Paper!$K94,"")</f>
        <v>1.8283033904239542E-2</v>
      </c>
      <c r="E92" s="686">
        <f>IF(Select2=1,Nappies!$K94,"")</f>
        <v>3.956425212798874E-4</v>
      </c>
      <c r="F92" s="696">
        <f>IF(Select2=1,Garden!$K94,"")</f>
        <v>0</v>
      </c>
      <c r="G92" s="686">
        <f>IF(Select2=1,Wood!$K94,"")</f>
        <v>0</v>
      </c>
      <c r="H92" s="696">
        <f>IF(Select2=1,Textiles!$K94,"")</f>
        <v>4.3287358044945407E-3</v>
      </c>
      <c r="I92" s="697">
        <f>Sludge!K94</f>
        <v>0</v>
      </c>
      <c r="J92" s="697" t="str">
        <f>IF(Select2=2,MSW!$K94,"")</f>
        <v/>
      </c>
      <c r="K92" s="697">
        <f>Industry!$K94</f>
        <v>0</v>
      </c>
      <c r="L92" s="698">
        <f t="shared" si="8"/>
        <v>2.3007463277641523E-2</v>
      </c>
      <c r="M92" s="699">
        <f>Recovery_OX!C87</f>
        <v>0</v>
      </c>
      <c r="N92" s="649"/>
      <c r="O92" s="700">
        <f>(L92-M92)*(1-Recovery_OX!F87)</f>
        <v>2.3007463277641523E-2</v>
      </c>
      <c r="P92" s="640"/>
      <c r="Q92" s="651"/>
      <c r="S92" s="694">
        <f t="shared" si="7"/>
        <v>2075</v>
      </c>
      <c r="T92" s="695">
        <f>IF(Select2=1,Food!$W94,"")</f>
        <v>3.4153185248334169E-8</v>
      </c>
      <c r="U92" s="696">
        <f>IF(Select2=1,Paper!$W94,"")</f>
        <v>3.7774863438511455E-2</v>
      </c>
      <c r="V92" s="686">
        <f>IF(Select2=1,Nappies!$W94,"")</f>
        <v>0</v>
      </c>
      <c r="W92" s="696">
        <f>IF(Select2=1,Garden!$W94,"")</f>
        <v>0</v>
      </c>
      <c r="X92" s="686">
        <f>IF(Select2=1,Wood!$W94,"")</f>
        <v>0.10072993884752336</v>
      </c>
      <c r="Y92" s="696">
        <f>IF(Select2=1,Textiles!$W94,"")</f>
        <v>4.7438200597200424E-3</v>
      </c>
      <c r="Z92" s="688">
        <f>Sludge!W94</f>
        <v>0</v>
      </c>
      <c r="AA92" s="688" t="str">
        <f>IF(Select2=2,MSW!$W94,"")</f>
        <v/>
      </c>
      <c r="AB92" s="697">
        <f>Industry!$W94</f>
        <v>0</v>
      </c>
      <c r="AC92" s="698">
        <f t="shared" si="5"/>
        <v>0.14324865649894011</v>
      </c>
      <c r="AD92" s="699">
        <f>Recovery_OX!R87</f>
        <v>0</v>
      </c>
      <c r="AE92" s="649"/>
      <c r="AF92" s="701">
        <f>(AC92-AD92)*(1-Recovery_OX!U87)</f>
        <v>0.14324865649894011</v>
      </c>
    </row>
    <row r="93" spans="2:32">
      <c r="B93" s="694">
        <f t="shared" si="6"/>
        <v>2076</v>
      </c>
      <c r="C93" s="695">
        <f>IF(Select2=1,Food!$K95,"")</f>
        <v>3.4218248050114991E-8</v>
      </c>
      <c r="D93" s="696">
        <f>IF(Select2=1,Paper!$K95,"")</f>
        <v>1.7046987821443871E-2</v>
      </c>
      <c r="E93" s="686">
        <f>IF(Select2=1,Nappies!$K95,"")</f>
        <v>3.3378967515332704E-4</v>
      </c>
      <c r="F93" s="696">
        <f>IF(Select2=1,Garden!$K95,"")</f>
        <v>0</v>
      </c>
      <c r="G93" s="686">
        <f>IF(Select2=1,Wood!$K95,"")</f>
        <v>0</v>
      </c>
      <c r="H93" s="696">
        <f>IF(Select2=1,Textiles!$K95,"")</f>
        <v>4.0360865121163124E-3</v>
      </c>
      <c r="I93" s="697">
        <f>Sludge!K95</f>
        <v>0</v>
      </c>
      <c r="J93" s="697" t="str">
        <f>IF(Select2=2,MSW!$K95,"")</f>
        <v/>
      </c>
      <c r="K93" s="697">
        <f>Industry!$K95</f>
        <v>0</v>
      </c>
      <c r="L93" s="698">
        <f t="shared" si="8"/>
        <v>2.1416898226961561E-2</v>
      </c>
      <c r="M93" s="699">
        <f>Recovery_OX!C88</f>
        <v>0</v>
      </c>
      <c r="N93" s="649"/>
      <c r="O93" s="700">
        <f>(L93-M93)*(1-Recovery_OX!F88)</f>
        <v>2.1416898226961561E-2</v>
      </c>
      <c r="P93" s="640"/>
      <c r="Q93" s="651"/>
      <c r="S93" s="694">
        <f t="shared" si="7"/>
        <v>2076</v>
      </c>
      <c r="T93" s="695">
        <f>IF(Select2=1,Food!$W95,"")</f>
        <v>2.2893564707927082E-8</v>
      </c>
      <c r="U93" s="696">
        <f>IF(Select2=1,Paper!$W95,"")</f>
        <v>3.5221049217859242E-2</v>
      </c>
      <c r="V93" s="686">
        <f>IF(Select2=1,Nappies!$W95,"")</f>
        <v>0</v>
      </c>
      <c r="W93" s="696">
        <f>IF(Select2=1,Garden!$W95,"")</f>
        <v>0</v>
      </c>
      <c r="X93" s="686">
        <f>IF(Select2=1,Wood!$W95,"")</f>
        <v>9.7265374530461995E-2</v>
      </c>
      <c r="Y93" s="696">
        <f>IF(Select2=1,Textiles!$W95,"")</f>
        <v>4.423108506428834E-3</v>
      </c>
      <c r="Z93" s="688">
        <f>Sludge!W95</f>
        <v>0</v>
      </c>
      <c r="AA93" s="688" t="str">
        <f>IF(Select2=2,MSW!$W95,"")</f>
        <v/>
      </c>
      <c r="AB93" s="697">
        <f>Industry!$W95</f>
        <v>0</v>
      </c>
      <c r="AC93" s="698">
        <f t="shared" si="5"/>
        <v>0.13690955514831477</v>
      </c>
      <c r="AD93" s="699">
        <f>Recovery_OX!R88</f>
        <v>0</v>
      </c>
      <c r="AE93" s="649"/>
      <c r="AF93" s="701">
        <f>(AC93-AD93)*(1-Recovery_OX!U88)</f>
        <v>0.13690955514831477</v>
      </c>
    </row>
    <row r="94" spans="2:32">
      <c r="B94" s="694">
        <f t="shared" si="6"/>
        <v>2077</v>
      </c>
      <c r="C94" s="695">
        <f>IF(Select2=1,Food!$K96,"")</f>
        <v>2.2937177608212007E-8</v>
      </c>
      <c r="D94" s="696">
        <f>IF(Select2=1,Paper!$K96,"")</f>
        <v>1.5894506092726232E-2</v>
      </c>
      <c r="E94" s="686">
        <f>IF(Select2=1,Nappies!$K96,"")</f>
        <v>2.8160660506999812E-4</v>
      </c>
      <c r="F94" s="696">
        <f>IF(Select2=1,Garden!$K96,"")</f>
        <v>0</v>
      </c>
      <c r="G94" s="686">
        <f>IF(Select2=1,Wood!$K96,"")</f>
        <v>0</v>
      </c>
      <c r="H94" s="696">
        <f>IF(Select2=1,Textiles!$K96,"")</f>
        <v>3.7632221205030039E-3</v>
      </c>
      <c r="I94" s="697">
        <f>Sludge!K96</f>
        <v>0</v>
      </c>
      <c r="J94" s="697" t="str">
        <f>IF(Select2=2,MSW!$K96,"")</f>
        <v/>
      </c>
      <c r="K94" s="697">
        <f>Industry!$K96</f>
        <v>0</v>
      </c>
      <c r="L94" s="698">
        <f t="shared" si="8"/>
        <v>1.9939357755476842E-2</v>
      </c>
      <c r="M94" s="699">
        <f>Recovery_OX!C89</f>
        <v>0</v>
      </c>
      <c r="N94" s="649"/>
      <c r="O94" s="700">
        <f>(L94-M94)*(1-Recovery_OX!F89)</f>
        <v>1.9939357755476842E-2</v>
      </c>
      <c r="P94" s="640"/>
      <c r="Q94" s="651"/>
      <c r="S94" s="694">
        <f t="shared" si="7"/>
        <v>2077</v>
      </c>
      <c r="T94" s="695">
        <f>IF(Select2=1,Food!$W96,"")</f>
        <v>1.5346015348937567E-8</v>
      </c>
      <c r="U94" s="696">
        <f>IF(Select2=1,Paper!$W96,"")</f>
        <v>3.2839888621335189E-2</v>
      </c>
      <c r="V94" s="686">
        <f>IF(Select2=1,Nappies!$W96,"")</f>
        <v>0</v>
      </c>
      <c r="W94" s="696">
        <f>IF(Select2=1,Garden!$W96,"")</f>
        <v>0</v>
      </c>
      <c r="X94" s="686">
        <f>IF(Select2=1,Wood!$W96,"")</f>
        <v>9.3919972460934878E-2</v>
      </c>
      <c r="Y94" s="696">
        <f>IF(Select2=1,Textiles!$W96,"")</f>
        <v>4.124079036167674E-3</v>
      </c>
      <c r="Z94" s="688">
        <f>Sludge!W96</f>
        <v>0</v>
      </c>
      <c r="AA94" s="688" t="str">
        <f>IF(Select2=2,MSW!$W96,"")</f>
        <v/>
      </c>
      <c r="AB94" s="697">
        <f>Industry!$W96</f>
        <v>0</v>
      </c>
      <c r="AC94" s="698">
        <f t="shared" si="5"/>
        <v>0.13088395546445308</v>
      </c>
      <c r="AD94" s="699">
        <f>Recovery_OX!R89</f>
        <v>0</v>
      </c>
      <c r="AE94" s="649"/>
      <c r="AF94" s="701">
        <f>(AC94-AD94)*(1-Recovery_OX!U89)</f>
        <v>0.13088395546445308</v>
      </c>
    </row>
    <row r="95" spans="2:32">
      <c r="B95" s="694">
        <f t="shared" si="6"/>
        <v>2078</v>
      </c>
      <c r="C95" s="695">
        <f>IF(Select2=1,Food!$K97,"")</f>
        <v>1.5375249950264307E-8</v>
      </c>
      <c r="D95" s="696">
        <f>IF(Select2=1,Paper!$K97,"")</f>
        <v>1.4819939251315377E-2</v>
      </c>
      <c r="E95" s="686">
        <f>IF(Select2=1,Nappies!$K97,"")</f>
        <v>2.3758158481871025E-4</v>
      </c>
      <c r="F95" s="696">
        <f>IF(Select2=1,Garden!$K97,"")</f>
        <v>0</v>
      </c>
      <c r="G95" s="686">
        <f>IF(Select2=1,Wood!$K97,"")</f>
        <v>0</v>
      </c>
      <c r="H95" s="696">
        <f>IF(Select2=1,Textiles!$K97,"")</f>
        <v>3.5088050480903588E-3</v>
      </c>
      <c r="I95" s="697">
        <f>Sludge!K97</f>
        <v>0</v>
      </c>
      <c r="J95" s="697" t="str">
        <f>IF(Select2=2,MSW!$K97,"")</f>
        <v/>
      </c>
      <c r="K95" s="697">
        <f>Industry!$K97</f>
        <v>0</v>
      </c>
      <c r="L95" s="698">
        <f t="shared" si="8"/>
        <v>1.8566341259474397E-2</v>
      </c>
      <c r="M95" s="699">
        <f>Recovery_OX!C90</f>
        <v>0</v>
      </c>
      <c r="N95" s="649"/>
      <c r="O95" s="700">
        <f>(L95-M95)*(1-Recovery_OX!F90)</f>
        <v>1.8566341259474397E-2</v>
      </c>
      <c r="P95" s="640"/>
      <c r="Q95" s="651"/>
      <c r="S95" s="694">
        <f t="shared" si="7"/>
        <v>2078</v>
      </c>
      <c r="T95" s="695">
        <f>IF(Select2=1,Food!$W97,"")</f>
        <v>1.0286741715163458E-8</v>
      </c>
      <c r="U95" s="696">
        <f>IF(Select2=1,Paper!$W97,"")</f>
        <v>3.0619709196932608E-2</v>
      </c>
      <c r="V95" s="686">
        <f>IF(Select2=1,Nappies!$W97,"")</f>
        <v>0</v>
      </c>
      <c r="W95" s="696">
        <f>IF(Select2=1,Garden!$W97,"")</f>
        <v>0</v>
      </c>
      <c r="X95" s="686">
        <f>IF(Select2=1,Wood!$W97,"")</f>
        <v>9.0689634103040206E-2</v>
      </c>
      <c r="Y95" s="696">
        <f>IF(Select2=1,Textiles!$W97,"")</f>
        <v>3.8452658061264187E-3</v>
      </c>
      <c r="Z95" s="688">
        <f>Sludge!W97</f>
        <v>0</v>
      </c>
      <c r="AA95" s="688" t="str">
        <f>IF(Select2=2,MSW!$W97,"")</f>
        <v/>
      </c>
      <c r="AB95" s="697">
        <f>Industry!$W97</f>
        <v>0</v>
      </c>
      <c r="AC95" s="698">
        <f t="shared" si="5"/>
        <v>0.12515461939284095</v>
      </c>
      <c r="AD95" s="699">
        <f>Recovery_OX!R90</f>
        <v>0</v>
      </c>
      <c r="AE95" s="649"/>
      <c r="AF95" s="701">
        <f>(AC95-AD95)*(1-Recovery_OX!U90)</f>
        <v>0.12515461939284095</v>
      </c>
    </row>
    <row r="96" spans="2:32">
      <c r="B96" s="694">
        <f t="shared" si="6"/>
        <v>2079</v>
      </c>
      <c r="C96" s="695">
        <f>IF(Select2=1,Food!$K98,"")</f>
        <v>1.0306338254470633E-8</v>
      </c>
      <c r="D96" s="696">
        <f>IF(Select2=1,Paper!$K98,"")</f>
        <v>1.3818019769308043E-2</v>
      </c>
      <c r="E96" s="686">
        <f>IF(Select2=1,Nappies!$K98,"")</f>
        <v>2.0043922418275538E-4</v>
      </c>
      <c r="F96" s="696">
        <f>IF(Select2=1,Garden!$K98,"")</f>
        <v>0</v>
      </c>
      <c r="G96" s="686">
        <f>IF(Select2=1,Wood!$K98,"")</f>
        <v>0</v>
      </c>
      <c r="H96" s="696">
        <f>IF(Select2=1,Textiles!$K98,"")</f>
        <v>3.2715881420942437E-3</v>
      </c>
      <c r="I96" s="697">
        <f>Sludge!K98</f>
        <v>0</v>
      </c>
      <c r="J96" s="697" t="str">
        <f>IF(Select2=2,MSW!$K98,"")</f>
        <v/>
      </c>
      <c r="K96" s="697">
        <f>Industry!$K98</f>
        <v>0</v>
      </c>
      <c r="L96" s="698">
        <f t="shared" si="8"/>
        <v>1.7290057441923298E-2</v>
      </c>
      <c r="M96" s="699">
        <f>Recovery_OX!C91</f>
        <v>0</v>
      </c>
      <c r="N96" s="649"/>
      <c r="O96" s="700">
        <f>(L96-M96)*(1-Recovery_OX!F91)</f>
        <v>1.7290057441923298E-2</v>
      </c>
      <c r="P96" s="638"/>
      <c r="S96" s="694">
        <f t="shared" si="7"/>
        <v>2079</v>
      </c>
      <c r="T96" s="695">
        <f>IF(Select2=1,Food!$W98,"")</f>
        <v>6.8954091800651015E-9</v>
      </c>
      <c r="U96" s="696">
        <f>IF(Select2=1,Paper!$W98,"")</f>
        <v>2.8549627622537287E-2</v>
      </c>
      <c r="V96" s="686">
        <f>IF(Select2=1,Nappies!$W98,"")</f>
        <v>0</v>
      </c>
      <c r="W96" s="696">
        <f>IF(Select2=1,Garden!$W98,"")</f>
        <v>0</v>
      </c>
      <c r="X96" s="686">
        <f>IF(Select2=1,Wood!$W98,"")</f>
        <v>8.7570401888312527E-2</v>
      </c>
      <c r="Y96" s="696">
        <f>IF(Select2=1,Textiles!$W98,"")</f>
        <v>3.5853020735279375E-3</v>
      </c>
      <c r="Z96" s="688">
        <f>Sludge!W98</f>
        <v>0</v>
      </c>
      <c r="AA96" s="688" t="str">
        <f>IF(Select2=2,MSW!$W98,"")</f>
        <v/>
      </c>
      <c r="AB96" s="697">
        <f>Industry!$W98</f>
        <v>0</v>
      </c>
      <c r="AC96" s="698">
        <f t="shared" si="5"/>
        <v>0.11970533847978693</v>
      </c>
      <c r="AD96" s="699">
        <f>Recovery_OX!R91</f>
        <v>0</v>
      </c>
      <c r="AE96" s="649"/>
      <c r="AF96" s="701">
        <f>(AC96-AD96)*(1-Recovery_OX!U91)</f>
        <v>0.11970533847978693</v>
      </c>
    </row>
    <row r="97" spans="2:32" ht="13.5" thickBot="1">
      <c r="B97" s="702">
        <f t="shared" si="6"/>
        <v>2080</v>
      </c>
      <c r="C97" s="703">
        <f>IF(Select2=1,Food!$K99,"")</f>
        <v>6.9085451331956263E-9</v>
      </c>
      <c r="D97" s="704">
        <f>IF(Select2=1,Paper!$K99,"")</f>
        <v>1.2883836236241038E-2</v>
      </c>
      <c r="E97" s="704">
        <f>IF(Select2=1,Nappies!$K99,"")</f>
        <v>1.6910352130886574E-4</v>
      </c>
      <c r="F97" s="704">
        <f>IF(Select2=1,Garden!$K99,"")</f>
        <v>0</v>
      </c>
      <c r="G97" s="704">
        <f>IF(Select2=1,Wood!$K99,"")</f>
        <v>0</v>
      </c>
      <c r="H97" s="704">
        <f>IF(Select2=1,Textiles!$K99,"")</f>
        <v>3.0504085649662562E-3</v>
      </c>
      <c r="I97" s="705">
        <f>Sludge!K99</f>
        <v>0</v>
      </c>
      <c r="J97" s="705" t="str">
        <f>IF(Select2=2,MSW!$K99,"")</f>
        <v/>
      </c>
      <c r="K97" s="697">
        <f>Industry!$K99</f>
        <v>0</v>
      </c>
      <c r="L97" s="698">
        <f t="shared" si="8"/>
        <v>1.6103355231061295E-2</v>
      </c>
      <c r="M97" s="706">
        <f>Recovery_OX!C92</f>
        <v>0</v>
      </c>
      <c r="N97" s="649"/>
      <c r="O97" s="707">
        <f>(L97-M97)*(1-Recovery_OX!F92)</f>
        <v>1.6103355231061295E-2</v>
      </c>
      <c r="S97" s="702">
        <f t="shared" si="7"/>
        <v>2080</v>
      </c>
      <c r="T97" s="703">
        <f>IF(Select2=1,Food!$W99,"")</f>
        <v>4.6221309990158093E-9</v>
      </c>
      <c r="U97" s="704">
        <f>IF(Select2=1,Paper!$W99,"")</f>
        <v>2.6619496355869916E-2</v>
      </c>
      <c r="V97" s="704">
        <f>IF(Select2=1,Nappies!$W99,"")</f>
        <v>0</v>
      </c>
      <c r="W97" s="704">
        <f>IF(Select2=1,Garden!$W99,"")</f>
        <v>0</v>
      </c>
      <c r="X97" s="704">
        <f>IF(Select2=1,Wood!$W99,"")</f>
        <v>8.4558454367206395E-2</v>
      </c>
      <c r="Y97" s="704">
        <f>IF(Select2=1,Textiles!$W99,"")</f>
        <v>3.3429134958534307E-3</v>
      </c>
      <c r="Z97" s="705">
        <f>Sludge!W99</f>
        <v>0</v>
      </c>
      <c r="AA97" s="705" t="str">
        <f>IF(Select2=2,MSW!$W99,"")</f>
        <v/>
      </c>
      <c r="AB97" s="697">
        <f>Industry!$W99</f>
        <v>0</v>
      </c>
      <c r="AC97" s="708">
        <f t="shared" si="5"/>
        <v>0.11452086884106073</v>
      </c>
      <c r="AD97" s="706">
        <f>Recovery_OX!R92</f>
        <v>0</v>
      </c>
      <c r="AE97" s="649"/>
      <c r="AF97" s="709">
        <f>(AC97-AD97)*(1-Recovery_OX!U92)</f>
        <v>0.11452086884106073</v>
      </c>
    </row>
  </sheetData>
  <mergeCells count="2">
    <mergeCell ref="C12:M12"/>
    <mergeCell ref="T12:AD12"/>
  </mergeCells>
  <phoneticPr fontId="16" type="noConversion"/>
  <dataValidations count="1">
    <dataValidation type="whole" allowBlank="1" showInputMessage="1" showErrorMessage="1" error="Please enter a year between 1900 and 2000" sqref="S17 B17">
      <formula1>1900</formula1>
      <formula2>2000</formula2>
    </dataValidation>
  </dataValidations>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O92"/>
  <sheetViews>
    <sheetView showGridLines="0" workbookViewId="0">
      <selection activeCell="P26" sqref="P26"/>
    </sheetView>
  </sheetViews>
  <sheetFormatPr defaultColWidth="11.42578125" defaultRowHeight="12.75"/>
  <cols>
    <col min="1" max="1" width="2.85546875" style="6" customWidth="1"/>
    <col min="2" max="2" width="7.28515625" style="6" customWidth="1"/>
    <col min="3" max="3" width="9.42578125" style="6" customWidth="1"/>
    <col min="4" max="4" width="9.140625" style="6" customWidth="1"/>
    <col min="5" max="5" width="8.85546875" style="6" customWidth="1"/>
    <col min="6" max="6" width="9.7109375" style="6" customWidth="1"/>
    <col min="7" max="7" width="9.42578125" style="6" customWidth="1"/>
    <col min="8" max="8" width="10.28515625" style="6" customWidth="1"/>
    <col min="9" max="9" width="2.42578125" style="6" customWidth="1"/>
    <col min="10" max="10" width="9.140625" style="6" customWidth="1"/>
    <col min="11" max="11" width="9.28515625" style="6" customWidth="1"/>
    <col min="12" max="12" width="8.85546875" style="6" customWidth="1"/>
    <col min="13" max="13" width="8.28515625" style="432" customWidth="1"/>
    <col min="14" max="14" width="9.85546875" style="432" customWidth="1"/>
    <col min="15" max="15" width="8.7109375" style="432" customWidth="1"/>
    <col min="16" max="16384" width="11.42578125" style="6"/>
  </cols>
  <sheetData>
    <row r="2" spans="2:15" s="430" customFormat="1">
      <c r="B2" s="430" t="s">
        <v>282</v>
      </c>
      <c r="M2" s="431"/>
      <c r="N2" s="431"/>
      <c r="O2" s="431"/>
    </row>
    <row r="4" spans="2:15">
      <c r="B4" s="6" t="s">
        <v>283</v>
      </c>
    </row>
    <row r="7" spans="2:15" ht="13.5" thickBot="1"/>
    <row r="8" spans="2:15" ht="13.5" thickBot="1">
      <c r="B8" s="433"/>
      <c r="C8" s="946" t="s">
        <v>284</v>
      </c>
      <c r="D8" s="947"/>
      <c r="E8" s="948"/>
      <c r="F8" s="946" t="s">
        <v>285</v>
      </c>
      <c r="G8" s="947"/>
      <c r="H8" s="949"/>
      <c r="I8" s="434"/>
      <c r="J8" s="946" t="s">
        <v>286</v>
      </c>
      <c r="K8" s="947"/>
      <c r="L8" s="949"/>
      <c r="M8" s="950" t="s">
        <v>287</v>
      </c>
      <c r="N8" s="951"/>
      <c r="O8" s="952"/>
    </row>
    <row r="9" spans="2:15" ht="26.25" thickBot="1">
      <c r="B9" s="147" t="s">
        <v>1</v>
      </c>
      <c r="C9" s="435" t="s">
        <v>288</v>
      </c>
      <c r="D9" s="436" t="s">
        <v>289</v>
      </c>
      <c r="E9" s="437" t="s">
        <v>290</v>
      </c>
      <c r="F9" s="438" t="s">
        <v>288</v>
      </c>
      <c r="G9" s="439" t="s">
        <v>289</v>
      </c>
      <c r="H9" s="440" t="s">
        <v>290</v>
      </c>
      <c r="I9" s="434"/>
      <c r="J9" s="438" t="s">
        <v>261</v>
      </c>
      <c r="K9" s="439" t="s">
        <v>262</v>
      </c>
      <c r="L9" s="440" t="s">
        <v>2</v>
      </c>
      <c r="M9" s="441" t="s">
        <v>261</v>
      </c>
      <c r="N9" s="442" t="s">
        <v>262</v>
      </c>
      <c r="O9" s="443" t="s">
        <v>2</v>
      </c>
    </row>
    <row r="10" spans="2:15" ht="13.5" thickBot="1">
      <c r="B10" s="123"/>
      <c r="C10" s="444" t="s">
        <v>15</v>
      </c>
      <c r="D10" s="445" t="s">
        <v>15</v>
      </c>
      <c r="E10" s="446" t="s">
        <v>15</v>
      </c>
      <c r="F10" s="447" t="s">
        <v>15</v>
      </c>
      <c r="G10" s="445" t="s">
        <v>15</v>
      </c>
      <c r="H10" s="446" t="s">
        <v>15</v>
      </c>
      <c r="I10" s="448"/>
      <c r="J10" s="447" t="s">
        <v>15</v>
      </c>
      <c r="K10" s="445" t="s">
        <v>15</v>
      </c>
      <c r="L10" s="446" t="s">
        <v>15</v>
      </c>
      <c r="M10" s="447" t="s">
        <v>15</v>
      </c>
      <c r="N10" s="445" t="s">
        <v>15</v>
      </c>
      <c r="O10" s="446" t="s">
        <v>15</v>
      </c>
    </row>
    <row r="11" spans="2:15" ht="13.5" thickBot="1">
      <c r="B11" s="449"/>
      <c r="C11" s="450"/>
      <c r="D11" s="451"/>
      <c r="E11" s="452"/>
      <c r="F11" s="453"/>
      <c r="G11" s="454"/>
      <c r="H11" s="28"/>
      <c r="I11" s="455"/>
      <c r="J11" s="456"/>
      <c r="K11" s="457"/>
      <c r="L11" s="458"/>
      <c r="M11" s="459"/>
      <c r="N11" s="451"/>
      <c r="O11" s="452"/>
    </row>
    <row r="12" spans="2:15">
      <c r="B12" s="460">
        <v>1950</v>
      </c>
      <c r="C12" s="461">
        <f>Stored_C!E18</f>
        <v>0</v>
      </c>
      <c r="D12" s="462">
        <f>Stored_C!F18+Stored_C!L18</f>
        <v>0.57299748078295798</v>
      </c>
      <c r="E12" s="463">
        <f>Stored_C!G18+Stored_C!M18</f>
        <v>0.47272292164594037</v>
      </c>
      <c r="F12" s="464">
        <f>F11+HWP!C12</f>
        <v>0</v>
      </c>
      <c r="G12" s="462">
        <f>G11+HWP!D12</f>
        <v>0.57299748078295798</v>
      </c>
      <c r="H12" s="463">
        <f>H11+HWP!E12</f>
        <v>0.47272292164594037</v>
      </c>
      <c r="I12" s="455"/>
      <c r="J12" s="465">
        <f>Garden!J19</f>
        <v>0</v>
      </c>
      <c r="K12" s="466">
        <f>Paper!J19</f>
        <v>0</v>
      </c>
      <c r="L12" s="467">
        <f>Wood!J19</f>
        <v>0</v>
      </c>
      <c r="M12" s="468">
        <f>J12*(1-Recovery_OX!E12)*(1-Recovery_OX!F12)</f>
        <v>0</v>
      </c>
      <c r="N12" s="466">
        <f>K12*(1-Recovery_OX!E12)*(1-Recovery_OX!F12)</f>
        <v>0</v>
      </c>
      <c r="O12" s="467">
        <f>L12*(1-Recovery_OX!E12)*(1-Recovery_OX!F12)</f>
        <v>0</v>
      </c>
    </row>
    <row r="13" spans="2:15">
      <c r="B13" s="469">
        <f>B12+1</f>
        <v>1951</v>
      </c>
      <c r="C13" s="470">
        <f>Stored_C!E19</f>
        <v>0</v>
      </c>
      <c r="D13" s="471">
        <f>Stored_C!F19+Stored_C!L19</f>
        <v>0.58033823944766993</v>
      </c>
      <c r="E13" s="472">
        <f>Stored_C!G19+Stored_C!M19</f>
        <v>0.47877904754432771</v>
      </c>
      <c r="F13" s="473">
        <f>F12+HWP!C13</f>
        <v>0</v>
      </c>
      <c r="G13" s="471">
        <f>G12+HWP!D13</f>
        <v>1.1533357202306278</v>
      </c>
      <c r="H13" s="472">
        <f>H12+HWP!E13</f>
        <v>0.95150196919026808</v>
      </c>
      <c r="I13" s="455"/>
      <c r="J13" s="474">
        <f>Garden!J20</f>
        <v>0</v>
      </c>
      <c r="K13" s="475">
        <f>Paper!J20</f>
        <v>2.3884426376506104E-2</v>
      </c>
      <c r="L13" s="476">
        <f>Wood!J20</f>
        <v>0</v>
      </c>
      <c r="M13" s="477">
        <f>J13*(1-Recovery_OX!E13)*(1-Recovery_OX!F13)</f>
        <v>0</v>
      </c>
      <c r="N13" s="475">
        <f>K13*(1-Recovery_OX!E13)*(1-Recovery_OX!F13)</f>
        <v>2.3884426376506104E-2</v>
      </c>
      <c r="O13" s="476">
        <f>L13*(1-Recovery_OX!E13)*(1-Recovery_OX!F13)</f>
        <v>0</v>
      </c>
    </row>
    <row r="14" spans="2:15">
      <c r="B14" s="469">
        <f t="shared" ref="B14:B77" si="0">B13+1</f>
        <v>1952</v>
      </c>
      <c r="C14" s="470">
        <f>Stored_C!E20</f>
        <v>0</v>
      </c>
      <c r="D14" s="471">
        <f>Stored_C!F20+Stored_C!L20</f>
        <v>0.59341555030758009</v>
      </c>
      <c r="E14" s="472">
        <f>Stored_C!G20+Stored_C!M20</f>
        <v>0.48956782900375351</v>
      </c>
      <c r="F14" s="473">
        <f>F13+HWP!C14</f>
        <v>0</v>
      </c>
      <c r="G14" s="471">
        <f>G13+HWP!D14</f>
        <v>1.746751270538208</v>
      </c>
      <c r="H14" s="472">
        <f>H13+HWP!E14</f>
        <v>1.4410697981940217</v>
      </c>
      <c r="I14" s="455"/>
      <c r="J14" s="474">
        <f>Garden!J21</f>
        <v>0</v>
      </c>
      <c r="K14" s="475">
        <f>Paper!J21</f>
        <v>4.6460104973831275E-2</v>
      </c>
      <c r="L14" s="476">
        <f>Wood!J21</f>
        <v>0</v>
      </c>
      <c r="M14" s="477">
        <f>J14*(1-Recovery_OX!E14)*(1-Recovery_OX!F14)</f>
        <v>0</v>
      </c>
      <c r="N14" s="475">
        <f>K14*(1-Recovery_OX!E14)*(1-Recovery_OX!F14)</f>
        <v>4.6460104973831275E-2</v>
      </c>
      <c r="O14" s="476">
        <f>L14*(1-Recovery_OX!E14)*(1-Recovery_OX!F14)</f>
        <v>0</v>
      </c>
    </row>
    <row r="15" spans="2:15">
      <c r="B15" s="469">
        <f t="shared" si="0"/>
        <v>1953</v>
      </c>
      <c r="C15" s="470">
        <f>Stored_C!E21</f>
        <v>0</v>
      </c>
      <c r="D15" s="471">
        <f>Stored_C!F21+Stored_C!L21</f>
        <v>0.60396331347719401</v>
      </c>
      <c r="E15" s="472">
        <f>Stored_C!G21+Stored_C!M21</f>
        <v>0.4982697336186851</v>
      </c>
      <c r="F15" s="473">
        <f>F14+HWP!C15</f>
        <v>0</v>
      </c>
      <c r="G15" s="471">
        <f>G14+HWP!D15</f>
        <v>2.3507145840154022</v>
      </c>
      <c r="H15" s="472">
        <f>H14+HWP!E15</f>
        <v>1.9393395318127067</v>
      </c>
      <c r="I15" s="455"/>
      <c r="J15" s="474">
        <f>Garden!J22</f>
        <v>0</v>
      </c>
      <c r="K15" s="475">
        <f>Paper!J22</f>
        <v>6.8054633661014066E-2</v>
      </c>
      <c r="L15" s="476">
        <f>Wood!J22</f>
        <v>0</v>
      </c>
      <c r="M15" s="477">
        <f>J15*(1-Recovery_OX!E15)*(1-Recovery_OX!F15)</f>
        <v>0</v>
      </c>
      <c r="N15" s="475">
        <f>K15*(1-Recovery_OX!E15)*(1-Recovery_OX!F15)</f>
        <v>6.8054633661014066E-2</v>
      </c>
      <c r="O15" s="476">
        <f>L15*(1-Recovery_OX!E15)*(1-Recovery_OX!F15)</f>
        <v>0</v>
      </c>
    </row>
    <row r="16" spans="2:15">
      <c r="B16" s="469">
        <f t="shared" si="0"/>
        <v>1954</v>
      </c>
      <c r="C16" s="470">
        <f>Stored_C!E22</f>
        <v>0</v>
      </c>
      <c r="D16" s="471">
        <f>Stored_C!F22+Stored_C!L22</f>
        <v>0.60719426136223797</v>
      </c>
      <c r="E16" s="472">
        <f>Stored_C!G22+Stored_C!M22</f>
        <v>0.50093526562384638</v>
      </c>
      <c r="F16" s="473">
        <f>F15+HWP!C16</f>
        <v>0</v>
      </c>
      <c r="G16" s="471">
        <f>G15+HWP!D16</f>
        <v>2.9579088453776401</v>
      </c>
      <c r="H16" s="472">
        <f>H15+HWP!E16</f>
        <v>2.4402747974365528</v>
      </c>
      <c r="I16" s="455"/>
      <c r="J16" s="474">
        <f>Garden!J23</f>
        <v>0</v>
      </c>
      <c r="K16" s="475">
        <f>Paper!J23</f>
        <v>8.8628904338195341E-2</v>
      </c>
      <c r="L16" s="476">
        <f>Wood!J23</f>
        <v>0</v>
      </c>
      <c r="M16" s="477">
        <f>J16*(1-Recovery_OX!E16)*(1-Recovery_OX!F16)</f>
        <v>0</v>
      </c>
      <c r="N16" s="475">
        <f>K16*(1-Recovery_OX!E16)*(1-Recovery_OX!F16)</f>
        <v>8.8628904338195341E-2</v>
      </c>
      <c r="O16" s="476">
        <f>L16*(1-Recovery_OX!E16)*(1-Recovery_OX!F16)</f>
        <v>0</v>
      </c>
    </row>
    <row r="17" spans="2:15">
      <c r="B17" s="469">
        <f t="shared" si="0"/>
        <v>1955</v>
      </c>
      <c r="C17" s="470">
        <f>Stored_C!E23</f>
        <v>0</v>
      </c>
      <c r="D17" s="471">
        <f>Stored_C!F23+Stored_C!L23</f>
        <v>0.67256954818878012</v>
      </c>
      <c r="E17" s="472">
        <f>Stored_C!G23+Stored_C!M23</f>
        <v>0.55486987725574355</v>
      </c>
      <c r="F17" s="473">
        <f>F16+HWP!C17</f>
        <v>0</v>
      </c>
      <c r="G17" s="471">
        <f>G16+HWP!D17</f>
        <v>3.6304783935664204</v>
      </c>
      <c r="H17" s="472">
        <f>H16+HWP!E17</f>
        <v>2.9951446746922965</v>
      </c>
      <c r="I17" s="455"/>
      <c r="J17" s="474">
        <f>Garden!J24</f>
        <v>0</v>
      </c>
      <c r="K17" s="475">
        <f>Paper!J24</f>
        <v>0.10794690373938719</v>
      </c>
      <c r="L17" s="476">
        <f>Wood!J24</f>
        <v>0</v>
      </c>
      <c r="M17" s="477">
        <f>J17*(1-Recovery_OX!E17)*(1-Recovery_OX!F17)</f>
        <v>0</v>
      </c>
      <c r="N17" s="475">
        <f>K17*(1-Recovery_OX!E17)*(1-Recovery_OX!F17)</f>
        <v>0.10794690373938719</v>
      </c>
      <c r="O17" s="476">
        <f>L17*(1-Recovery_OX!E17)*(1-Recovery_OX!F17)</f>
        <v>0</v>
      </c>
    </row>
    <row r="18" spans="2:15">
      <c r="B18" s="469">
        <f t="shared" si="0"/>
        <v>1956</v>
      </c>
      <c r="C18" s="470">
        <f>Stored_C!E24</f>
        <v>0</v>
      </c>
      <c r="D18" s="471">
        <f>Stored_C!F24+Stored_C!L24</f>
        <v>0.68640459660847819</v>
      </c>
      <c r="E18" s="472">
        <f>Stored_C!G24+Stored_C!M24</f>
        <v>0.56628379220199443</v>
      </c>
      <c r="F18" s="473">
        <f>F17+HWP!C18</f>
        <v>0</v>
      </c>
      <c r="G18" s="471">
        <f>G17+HWP!D18</f>
        <v>4.3168829901748982</v>
      </c>
      <c r="H18" s="472">
        <f>H17+HWP!E18</f>
        <v>3.561428466894291</v>
      </c>
      <c r="I18" s="455"/>
      <c r="J18" s="474">
        <f>Garden!J25</f>
        <v>0</v>
      </c>
      <c r="K18" s="475">
        <f>Paper!J25</f>
        <v>0.12868394474280706</v>
      </c>
      <c r="L18" s="476">
        <f>Wood!J25</f>
        <v>0</v>
      </c>
      <c r="M18" s="477">
        <f>J18*(1-Recovery_OX!E18)*(1-Recovery_OX!F18)</f>
        <v>0</v>
      </c>
      <c r="N18" s="475">
        <f>K18*(1-Recovery_OX!E18)*(1-Recovery_OX!F18)</f>
        <v>0.12868394474280706</v>
      </c>
      <c r="O18" s="476">
        <f>L18*(1-Recovery_OX!E18)*(1-Recovery_OX!F18)</f>
        <v>0</v>
      </c>
    </row>
    <row r="19" spans="2:15">
      <c r="B19" s="469">
        <f t="shared" si="0"/>
        <v>1957</v>
      </c>
      <c r="C19" s="470">
        <f>Stored_C!E25</f>
        <v>0</v>
      </c>
      <c r="D19" s="471">
        <f>Stored_C!F25+Stored_C!L25</f>
        <v>0.70022837755516809</v>
      </c>
      <c r="E19" s="472">
        <f>Stored_C!G25+Stored_C!M25</f>
        <v>0.57768841148301364</v>
      </c>
      <c r="F19" s="473">
        <f>F18+HWP!C19</f>
        <v>0</v>
      </c>
      <c r="G19" s="471">
        <f>G18+HWP!D19</f>
        <v>5.0171113677300667</v>
      </c>
      <c r="H19" s="472">
        <f>H18+HWP!E19</f>
        <v>4.1391168783773047</v>
      </c>
      <c r="I19" s="455"/>
      <c r="J19" s="474">
        <f>Garden!J26</f>
        <v>0</v>
      </c>
      <c r="K19" s="475">
        <f>Paper!J26</f>
        <v>0.14859572410305411</v>
      </c>
      <c r="L19" s="476">
        <f>Wood!J26</f>
        <v>0</v>
      </c>
      <c r="M19" s="477">
        <f>J19*(1-Recovery_OX!E19)*(1-Recovery_OX!F19)</f>
        <v>0</v>
      </c>
      <c r="N19" s="475">
        <f>K19*(1-Recovery_OX!E19)*(1-Recovery_OX!F19)</f>
        <v>0.14859572410305411</v>
      </c>
      <c r="O19" s="476">
        <f>L19*(1-Recovery_OX!E19)*(1-Recovery_OX!F19)</f>
        <v>0</v>
      </c>
    </row>
    <row r="20" spans="2:15">
      <c r="B20" s="469">
        <f t="shared" si="0"/>
        <v>1958</v>
      </c>
      <c r="C20" s="470">
        <f>Stored_C!E26</f>
        <v>0</v>
      </c>
      <c r="D20" s="471">
        <f>Stored_C!F26+Stored_C!L26</f>
        <v>0.7139563849812901</v>
      </c>
      <c r="E20" s="472">
        <f>Stored_C!G26+Stored_C!M26</f>
        <v>0.58901401760956429</v>
      </c>
      <c r="F20" s="473">
        <f>F19+HWP!C20</f>
        <v>0</v>
      </c>
      <c r="G20" s="471">
        <f>G19+HWP!D20</f>
        <v>5.7310677527113567</v>
      </c>
      <c r="H20" s="472">
        <f>H19+HWP!E20</f>
        <v>4.7281308959868689</v>
      </c>
      <c r="I20" s="455"/>
      <c r="J20" s="474">
        <f>Garden!J27</f>
        <v>0</v>
      </c>
      <c r="K20" s="475">
        <f>Paper!J27</f>
        <v>0.1677375649419342</v>
      </c>
      <c r="L20" s="476">
        <f>Wood!J27</f>
        <v>0</v>
      </c>
      <c r="M20" s="477">
        <f>J20*(1-Recovery_OX!E20)*(1-Recovery_OX!F20)</f>
        <v>0</v>
      </c>
      <c r="N20" s="475">
        <f>K20*(1-Recovery_OX!E20)*(1-Recovery_OX!F20)</f>
        <v>0.1677375649419342</v>
      </c>
      <c r="O20" s="476">
        <f>L20*(1-Recovery_OX!E20)*(1-Recovery_OX!F20)</f>
        <v>0</v>
      </c>
    </row>
    <row r="21" spans="2:15">
      <c r="B21" s="469">
        <f t="shared" si="0"/>
        <v>1959</v>
      </c>
      <c r="C21" s="470">
        <f>Stored_C!E27</f>
        <v>0</v>
      </c>
      <c r="D21" s="471">
        <f>Stored_C!F27+Stored_C!L27</f>
        <v>0.72748721162977215</v>
      </c>
      <c r="E21" s="472">
        <f>Stored_C!G27+Stored_C!M27</f>
        <v>0.60017694959456191</v>
      </c>
      <c r="F21" s="473">
        <f>F20+HWP!C21</f>
        <v>0</v>
      </c>
      <c r="G21" s="471">
        <f>G20+HWP!D21</f>
        <v>6.4585549643411291</v>
      </c>
      <c r="H21" s="472">
        <f>H20+HWP!E21</f>
        <v>5.3283078455814312</v>
      </c>
      <c r="I21" s="455"/>
      <c r="J21" s="474">
        <f>Garden!J28</f>
        <v>0</v>
      </c>
      <c r="K21" s="475">
        <f>Paper!J28</f>
        <v>0.18615752770531313</v>
      </c>
      <c r="L21" s="476">
        <f>Wood!J28</f>
        <v>0</v>
      </c>
      <c r="M21" s="477">
        <f>J21*(1-Recovery_OX!E21)*(1-Recovery_OX!F21)</f>
        <v>0</v>
      </c>
      <c r="N21" s="475">
        <f>K21*(1-Recovery_OX!E21)*(1-Recovery_OX!F21)</f>
        <v>0.18615752770531313</v>
      </c>
      <c r="O21" s="476">
        <f>L21*(1-Recovery_OX!E21)*(1-Recovery_OX!F21)</f>
        <v>0</v>
      </c>
    </row>
    <row r="22" spans="2:15">
      <c r="B22" s="469">
        <f t="shared" si="0"/>
        <v>1960</v>
      </c>
      <c r="C22" s="470">
        <f>Stored_C!E28</f>
        <v>0</v>
      </c>
      <c r="D22" s="471">
        <f>Stored_C!F28+Stored_C!L28</f>
        <v>0.78531329154095419</v>
      </c>
      <c r="E22" s="472">
        <f>Stored_C!G28+Stored_C!M28</f>
        <v>0.64788346552128717</v>
      </c>
      <c r="F22" s="473">
        <f>F21+HWP!C22</f>
        <v>0</v>
      </c>
      <c r="G22" s="471">
        <f>G21+HWP!D22</f>
        <v>7.2438682558820835</v>
      </c>
      <c r="H22" s="472">
        <f>H21+HWP!E22</f>
        <v>5.9761913111027187</v>
      </c>
      <c r="I22" s="455"/>
      <c r="J22" s="474">
        <f>Garden!J29</f>
        <v>0</v>
      </c>
      <c r="K22" s="475">
        <f>Paper!J29</f>
        <v>0.20389619666669342</v>
      </c>
      <c r="L22" s="476">
        <f>Wood!J29</f>
        <v>0</v>
      </c>
      <c r="M22" s="477">
        <f>J22*(1-Recovery_OX!E22)*(1-Recovery_OX!F22)</f>
        <v>0</v>
      </c>
      <c r="N22" s="475">
        <f>K22*(1-Recovery_OX!E22)*(1-Recovery_OX!F22)</f>
        <v>0.20389619666669342</v>
      </c>
      <c r="O22" s="476">
        <f>L22*(1-Recovery_OX!E22)*(1-Recovery_OX!F22)</f>
        <v>0</v>
      </c>
    </row>
    <row r="23" spans="2:15">
      <c r="B23" s="469">
        <f t="shared" si="0"/>
        <v>1961</v>
      </c>
      <c r="C23" s="470">
        <f>Stored_C!E29</f>
        <v>0</v>
      </c>
      <c r="D23" s="471">
        <f>Stored_C!F29+Stored_C!L29</f>
        <v>0.80588347195118415</v>
      </c>
      <c r="E23" s="472">
        <f>Stored_C!G29+Stored_C!M29</f>
        <v>0.66485386435972671</v>
      </c>
      <c r="F23" s="473">
        <f>F22+HWP!C23</f>
        <v>0</v>
      </c>
      <c r="G23" s="471">
        <f>G22+HWP!D23</f>
        <v>8.049751727833268</v>
      </c>
      <c r="H23" s="472">
        <f>H22+HWP!E23</f>
        <v>6.6410451754624455</v>
      </c>
      <c r="I23" s="455"/>
      <c r="J23" s="474">
        <f>Garden!J30</f>
        <v>0</v>
      </c>
      <c r="K23" s="475">
        <f>Paper!J30</f>
        <v>0.22284600386542847</v>
      </c>
      <c r="L23" s="476">
        <f>Wood!J30</f>
        <v>0</v>
      </c>
      <c r="M23" s="477">
        <f>J23*(1-Recovery_OX!E23)*(1-Recovery_OX!F23)</f>
        <v>0</v>
      </c>
      <c r="N23" s="475">
        <f>K23*(1-Recovery_OX!E23)*(1-Recovery_OX!F23)</f>
        <v>0.22284600386542847</v>
      </c>
      <c r="O23" s="476">
        <f>L23*(1-Recovery_OX!E23)*(1-Recovery_OX!F23)</f>
        <v>0</v>
      </c>
    </row>
    <row r="24" spans="2:15">
      <c r="B24" s="469">
        <f t="shared" si="0"/>
        <v>1962</v>
      </c>
      <c r="C24" s="470">
        <f>Stored_C!E30</f>
        <v>0</v>
      </c>
      <c r="D24" s="471">
        <f>Stored_C!F30+Stored_C!L30</f>
        <v>0.82150018954027204</v>
      </c>
      <c r="E24" s="472">
        <f>Stored_C!G30+Stored_C!M30</f>
        <v>0.67773765637072447</v>
      </c>
      <c r="F24" s="473">
        <f>F23+HWP!C24</f>
        <v>0</v>
      </c>
      <c r="G24" s="471">
        <f>G23+HWP!D24</f>
        <v>8.8712519173735398</v>
      </c>
      <c r="H24" s="472">
        <f>H23+HWP!E24</f>
        <v>7.31878283183317</v>
      </c>
      <c r="I24" s="455"/>
      <c r="J24" s="474">
        <f>Garden!J31</f>
        <v>0</v>
      </c>
      <c r="K24" s="475">
        <f>Paper!J31</f>
        <v>0.24137212000447134</v>
      </c>
      <c r="L24" s="476">
        <f>Wood!J31</f>
        <v>0</v>
      </c>
      <c r="M24" s="477">
        <f>J24*(1-Recovery_OX!E24)*(1-Recovery_OX!F24)</f>
        <v>0</v>
      </c>
      <c r="N24" s="475">
        <f>K24*(1-Recovery_OX!E24)*(1-Recovery_OX!F24)</f>
        <v>0.24137212000447134</v>
      </c>
      <c r="O24" s="476">
        <f>L24*(1-Recovery_OX!E24)*(1-Recovery_OX!F24)</f>
        <v>0</v>
      </c>
    </row>
    <row r="25" spans="2:15">
      <c r="B25" s="469">
        <f t="shared" si="0"/>
        <v>1963</v>
      </c>
      <c r="C25" s="470">
        <f>Stored_C!E31</f>
        <v>0</v>
      </c>
      <c r="D25" s="471">
        <f>Stored_C!F31+Stored_C!L31</f>
        <v>0.83706338663257196</v>
      </c>
      <c r="E25" s="472">
        <f>Stored_C!G31+Stored_C!M31</f>
        <v>0.69057729397187184</v>
      </c>
      <c r="F25" s="473">
        <f>F24+HWP!C25</f>
        <v>0</v>
      </c>
      <c r="G25" s="471">
        <f>G24+HWP!D25</f>
        <v>9.7083153040061116</v>
      </c>
      <c r="H25" s="472">
        <f>H24+HWP!E25</f>
        <v>8.009360125805042</v>
      </c>
      <c r="I25" s="455"/>
      <c r="J25" s="474">
        <f>Garden!J32</f>
        <v>0</v>
      </c>
      <c r="K25" s="475">
        <f>Paper!J32</f>
        <v>0.25929671253689579</v>
      </c>
      <c r="L25" s="476">
        <f>Wood!J32</f>
        <v>0</v>
      </c>
      <c r="M25" s="477">
        <f>J25*(1-Recovery_OX!E25)*(1-Recovery_OX!F25)</f>
        <v>0</v>
      </c>
      <c r="N25" s="475">
        <f>K25*(1-Recovery_OX!E25)*(1-Recovery_OX!F25)</f>
        <v>0.25929671253689579</v>
      </c>
      <c r="O25" s="476">
        <f>L25*(1-Recovery_OX!E25)*(1-Recovery_OX!F25)</f>
        <v>0</v>
      </c>
    </row>
    <row r="26" spans="2:15">
      <c r="B26" s="469">
        <f t="shared" si="0"/>
        <v>1964</v>
      </c>
      <c r="C26" s="470">
        <f>Stored_C!E32</f>
        <v>0</v>
      </c>
      <c r="D26" s="471">
        <f>Stored_C!F32+Stored_C!L32</f>
        <v>0.85223785590609602</v>
      </c>
      <c r="E26" s="472">
        <f>Stored_C!G32+Stored_C!M32</f>
        <v>0.70309623112252917</v>
      </c>
      <c r="F26" s="473">
        <f>F25+HWP!C26</f>
        <v>0</v>
      </c>
      <c r="G26" s="471">
        <f>G25+HWP!D26</f>
        <v>10.560553159912208</v>
      </c>
      <c r="H26" s="472">
        <f>H25+HWP!E26</f>
        <v>8.7124563569275715</v>
      </c>
      <c r="I26" s="455"/>
      <c r="J26" s="474">
        <f>Garden!J33</f>
        <v>0</v>
      </c>
      <c r="K26" s="475">
        <f>Paper!J33</f>
        <v>0.27665821726501261</v>
      </c>
      <c r="L26" s="476">
        <f>Wood!J33</f>
        <v>0</v>
      </c>
      <c r="M26" s="477">
        <f>J26*(1-Recovery_OX!E26)*(1-Recovery_OX!F26)</f>
        <v>0</v>
      </c>
      <c r="N26" s="475">
        <f>K26*(1-Recovery_OX!E26)*(1-Recovery_OX!F26)</f>
        <v>0.27665821726501261</v>
      </c>
      <c r="O26" s="476">
        <f>L26*(1-Recovery_OX!E26)*(1-Recovery_OX!F26)</f>
        <v>0</v>
      </c>
    </row>
    <row r="27" spans="2:15">
      <c r="B27" s="469">
        <f t="shared" si="0"/>
        <v>1965</v>
      </c>
      <c r="C27" s="470">
        <f>Stored_C!E33</f>
        <v>0</v>
      </c>
      <c r="D27" s="471">
        <f>Stored_C!F33+Stored_C!L33</f>
        <v>0.86699542867832402</v>
      </c>
      <c r="E27" s="472">
        <f>Stored_C!G33+Stored_C!M33</f>
        <v>0.71527122865961723</v>
      </c>
      <c r="F27" s="473">
        <f>F26+HWP!C27</f>
        <v>0</v>
      </c>
      <c r="G27" s="471">
        <f>G26+HWP!D27</f>
        <v>11.427548588590533</v>
      </c>
      <c r="H27" s="472">
        <f>H26+HWP!E27</f>
        <v>9.4277275855871885</v>
      </c>
      <c r="I27" s="455"/>
      <c r="J27" s="474">
        <f>Garden!J34</f>
        <v>0</v>
      </c>
      <c r="K27" s="475">
        <f>Paper!J34</f>
        <v>0.2934784989457106</v>
      </c>
      <c r="L27" s="476">
        <f>Wood!J34</f>
        <v>0</v>
      </c>
      <c r="M27" s="477">
        <f>J27*(1-Recovery_OX!E27)*(1-Recovery_OX!F27)</f>
        <v>0</v>
      </c>
      <c r="N27" s="475">
        <f>K27*(1-Recovery_OX!E27)*(1-Recovery_OX!F27)</f>
        <v>0.2934784989457106</v>
      </c>
      <c r="O27" s="476">
        <f>L27*(1-Recovery_OX!E27)*(1-Recovery_OX!F27)</f>
        <v>0</v>
      </c>
    </row>
    <row r="28" spans="2:15">
      <c r="B28" s="469">
        <f t="shared" si="0"/>
        <v>1966</v>
      </c>
      <c r="C28" s="470">
        <f>Stored_C!E34</f>
        <v>0</v>
      </c>
      <c r="D28" s="471">
        <f>Stored_C!F34+Stored_C!L34</f>
        <v>0.88163469298396802</v>
      </c>
      <c r="E28" s="472">
        <f>Stored_C!G34+Stored_C!M34</f>
        <v>0.72734862171177361</v>
      </c>
      <c r="F28" s="473">
        <f>F27+HWP!C28</f>
        <v>0</v>
      </c>
      <c r="G28" s="471">
        <f>G27+HWP!D28</f>
        <v>12.309183281574501</v>
      </c>
      <c r="H28" s="472">
        <f>H27+HWP!E28</f>
        <v>10.155076207298961</v>
      </c>
      <c r="I28" s="455"/>
      <c r="J28" s="474">
        <f>Garden!J35</f>
        <v>0</v>
      </c>
      <c r="K28" s="475">
        <f>Paper!J35</f>
        <v>0.30977676997951864</v>
      </c>
      <c r="L28" s="476">
        <f>Wood!J35</f>
        <v>0</v>
      </c>
      <c r="M28" s="477">
        <f>J28*(1-Recovery_OX!E28)*(1-Recovery_OX!F28)</f>
        <v>0</v>
      </c>
      <c r="N28" s="475">
        <f>K28*(1-Recovery_OX!E28)*(1-Recovery_OX!F28)</f>
        <v>0.30977676997951864</v>
      </c>
      <c r="O28" s="476">
        <f>L28*(1-Recovery_OX!E28)*(1-Recovery_OX!F28)</f>
        <v>0</v>
      </c>
    </row>
    <row r="29" spans="2:15">
      <c r="B29" s="469">
        <f t="shared" si="0"/>
        <v>1967</v>
      </c>
      <c r="C29" s="470">
        <f>Stored_C!E35</f>
        <v>0</v>
      </c>
      <c r="D29" s="471">
        <f>Stored_C!F35+Stored_C!L35</f>
        <v>0.93881108969729166</v>
      </c>
      <c r="E29" s="472">
        <f>Stored_C!G35+Stored_C!M35</f>
        <v>0.77451914900026564</v>
      </c>
      <c r="F29" s="473">
        <f>F28+HWP!C29</f>
        <v>0</v>
      </c>
      <c r="G29" s="471">
        <f>G28+HWP!D29</f>
        <v>13.247994371271794</v>
      </c>
      <c r="H29" s="472">
        <f>H28+HWP!E29</f>
        <v>10.929595356299227</v>
      </c>
      <c r="I29" s="455"/>
      <c r="J29" s="474">
        <f>Garden!J36</f>
        <v>0</v>
      </c>
      <c r="K29" s="475">
        <f>Paper!J36</f>
        <v>0.32558339002483599</v>
      </c>
      <c r="L29" s="476">
        <f>Wood!J36</f>
        <v>0</v>
      </c>
      <c r="M29" s="477">
        <f>J29*(1-Recovery_OX!E29)*(1-Recovery_OX!F29)</f>
        <v>0</v>
      </c>
      <c r="N29" s="475">
        <f>K29*(1-Recovery_OX!E29)*(1-Recovery_OX!F29)</f>
        <v>0.2910816504363134</v>
      </c>
      <c r="O29" s="476">
        <f>L29*(1-Recovery_OX!E29)*(1-Recovery_OX!F29)</f>
        <v>0</v>
      </c>
    </row>
    <row r="30" spans="2:15">
      <c r="B30" s="469">
        <f t="shared" si="0"/>
        <v>1968</v>
      </c>
      <c r="C30" s="470">
        <f>Stored_C!E36</f>
        <v>0</v>
      </c>
      <c r="D30" s="471">
        <f>Stored_C!F36+Stored_C!L36</f>
        <v>0.98511511082529024</v>
      </c>
      <c r="E30" s="472">
        <f>Stored_C!G36+Stored_C!M36</f>
        <v>0.81271996643086442</v>
      </c>
      <c r="F30" s="473">
        <f>F29+HWP!C30</f>
        <v>0</v>
      </c>
      <c r="G30" s="471">
        <f>G29+HWP!D30</f>
        <v>14.233109482097085</v>
      </c>
      <c r="H30" s="472">
        <f>H29+HWP!E30</f>
        <v>11.742315322730091</v>
      </c>
      <c r="I30" s="455"/>
      <c r="J30" s="474">
        <f>Garden!J37</f>
        <v>0</v>
      </c>
      <c r="K30" s="475">
        <f>Paper!J37</f>
        <v>0.34029028066281997</v>
      </c>
      <c r="L30" s="476">
        <f>Wood!J37</f>
        <v>0</v>
      </c>
      <c r="M30" s="477">
        <f>J30*(1-Recovery_OX!E30)*(1-Recovery_OX!F30)</f>
        <v>0</v>
      </c>
      <c r="N30" s="475">
        <f>K30*(1-Recovery_OX!E30)*(1-Recovery_OX!F30)</f>
        <v>0.30330266502112468</v>
      </c>
      <c r="O30" s="476">
        <f>L30*(1-Recovery_OX!E30)*(1-Recovery_OX!F30)</f>
        <v>0</v>
      </c>
    </row>
    <row r="31" spans="2:15">
      <c r="B31" s="469">
        <f t="shared" si="0"/>
        <v>1969</v>
      </c>
      <c r="C31" s="470">
        <f>Stored_C!E37</f>
        <v>0</v>
      </c>
      <c r="D31" s="471">
        <f>Stored_C!F37+Stored_C!L37</f>
        <v>1.0331701751197409</v>
      </c>
      <c r="E31" s="472">
        <f>Stored_C!G37+Stored_C!M37</f>
        <v>0.85236539447378601</v>
      </c>
      <c r="F31" s="473">
        <f>F30+HWP!C31</f>
        <v>0</v>
      </c>
      <c r="G31" s="471">
        <f>G30+HWP!D31</f>
        <v>15.266279657216826</v>
      </c>
      <c r="H31" s="472">
        <f>H30+HWP!E31</f>
        <v>12.594680717203877</v>
      </c>
      <c r="I31" s="455"/>
      <c r="J31" s="474">
        <f>Garden!J38</f>
        <v>0</v>
      </c>
      <c r="K31" s="475">
        <f>Paper!J38</f>
        <v>0.35569656748939504</v>
      </c>
      <c r="L31" s="476">
        <f>Wood!J38</f>
        <v>0</v>
      </c>
      <c r="M31" s="477">
        <f>J31*(1-Recovery_OX!E31)*(1-Recovery_OX!F31)</f>
        <v>0</v>
      </c>
      <c r="N31" s="475">
        <f>K31*(1-Recovery_OX!E31)*(1-Recovery_OX!F31)</f>
        <v>0.31638439921663858</v>
      </c>
      <c r="O31" s="476">
        <f>L31*(1-Recovery_OX!E31)*(1-Recovery_OX!F31)</f>
        <v>0</v>
      </c>
    </row>
    <row r="32" spans="2:15">
      <c r="B32" s="469">
        <f t="shared" si="0"/>
        <v>1970</v>
      </c>
      <c r="C32" s="470">
        <f>Stored_C!E38</f>
        <v>0</v>
      </c>
      <c r="D32" s="471">
        <f>Stored_C!F38+Stored_C!L38</f>
        <v>1.0830354765923946</v>
      </c>
      <c r="E32" s="472">
        <f>Stored_C!G38+Stored_C!M38</f>
        <v>0.89350426818872553</v>
      </c>
      <c r="F32" s="473">
        <f>F31+HWP!C32</f>
        <v>0</v>
      </c>
      <c r="G32" s="471">
        <f>G31+HWP!D32</f>
        <v>16.34931513380922</v>
      </c>
      <c r="H32" s="472">
        <f>H31+HWP!E32</f>
        <v>13.488184985392603</v>
      </c>
      <c r="I32" s="455"/>
      <c r="J32" s="474">
        <f>Garden!J39</f>
        <v>0</v>
      </c>
      <c r="K32" s="475">
        <f>Paper!J39</f>
        <v>0.37180630361664668</v>
      </c>
      <c r="L32" s="476">
        <f>Wood!J39</f>
        <v>0</v>
      </c>
      <c r="M32" s="477">
        <f>J32*(1-Recovery_OX!E32)*(1-Recovery_OX!F32)</f>
        <v>0</v>
      </c>
      <c r="N32" s="475">
        <f>K32*(1-Recovery_OX!E32)*(1-Recovery_OX!F32)</f>
        <v>0.33027030458746465</v>
      </c>
      <c r="O32" s="476">
        <f>L32*(1-Recovery_OX!E32)*(1-Recovery_OX!F32)</f>
        <v>0</v>
      </c>
    </row>
    <row r="33" spans="2:15">
      <c r="B33" s="469">
        <f t="shared" si="0"/>
        <v>1971</v>
      </c>
      <c r="C33" s="470">
        <f>Stored_C!E39</f>
        <v>0</v>
      </c>
      <c r="D33" s="471">
        <f>Stored_C!F39+Stored_C!L39</f>
        <v>1.1347720895337818</v>
      </c>
      <c r="E33" s="472">
        <f>Stored_C!G39+Stored_C!M39</f>
        <v>0.93618697386536998</v>
      </c>
      <c r="F33" s="473">
        <f>F32+HWP!C33</f>
        <v>0</v>
      </c>
      <c r="G33" s="471">
        <f>G32+HWP!D33</f>
        <v>17.484087223343003</v>
      </c>
      <c r="H33" s="472">
        <f>H32+HWP!E33</f>
        <v>14.424371959257973</v>
      </c>
      <c r="I33" s="455"/>
      <c r="J33" s="474">
        <f>Garden!J40</f>
        <v>0</v>
      </c>
      <c r="K33" s="475">
        <f>Paper!J40</f>
        <v>0.38862383420102353</v>
      </c>
      <c r="L33" s="476">
        <f>Wood!J40</f>
        <v>0</v>
      </c>
      <c r="M33" s="477">
        <f>J33*(1-Recovery_OX!E33)*(1-Recovery_OX!F33)</f>
        <v>0</v>
      </c>
      <c r="N33" s="475">
        <f>K33*(1-Recovery_OX!E33)*(1-Recovery_OX!F33)</f>
        <v>0.34491697738164906</v>
      </c>
      <c r="O33" s="476">
        <f>L33*(1-Recovery_OX!E33)*(1-Recovery_OX!F33)</f>
        <v>0</v>
      </c>
    </row>
    <row r="34" spans="2:15">
      <c r="B34" s="469">
        <f t="shared" si="0"/>
        <v>1972</v>
      </c>
      <c r="C34" s="470">
        <f>Stored_C!E40</f>
        <v>0</v>
      </c>
      <c r="D34" s="471">
        <f>Stored_C!F40+Stored_C!L40</f>
        <v>1.1884430259165253</v>
      </c>
      <c r="E34" s="472">
        <f>Stored_C!G40+Stored_C!M40</f>
        <v>0.98046549638113356</v>
      </c>
      <c r="F34" s="473">
        <f>F33+HWP!C34</f>
        <v>0</v>
      </c>
      <c r="G34" s="471">
        <f>G33+HWP!D34</f>
        <v>18.67253024925953</v>
      </c>
      <c r="H34" s="472">
        <f>H33+HWP!E34</f>
        <v>15.404837455639107</v>
      </c>
      <c r="I34" s="455"/>
      <c r="J34" s="474">
        <f>Garden!J41</f>
        <v>0</v>
      </c>
      <c r="K34" s="475">
        <f>Paper!J41</f>
        <v>0.40615369286655706</v>
      </c>
      <c r="L34" s="476">
        <f>Wood!J41</f>
        <v>0</v>
      </c>
      <c r="M34" s="477">
        <f>J34*(1-Recovery_OX!E34)*(1-Recovery_OX!F34)</f>
        <v>0</v>
      </c>
      <c r="N34" s="475">
        <f>K34*(1-Recovery_OX!E34)*(1-Recovery_OX!F34)</f>
        <v>0.36029327072956863</v>
      </c>
      <c r="O34" s="476">
        <f>L34*(1-Recovery_OX!E34)*(1-Recovery_OX!F34)</f>
        <v>0</v>
      </c>
    </row>
    <row r="35" spans="2:15">
      <c r="B35" s="469">
        <f t="shared" si="0"/>
        <v>1973</v>
      </c>
      <c r="C35" s="470">
        <f>Stored_C!E41</f>
        <v>0</v>
      </c>
      <c r="D35" s="471">
        <f>Stored_C!F41+Stored_C!L41</f>
        <v>1.24411329450357</v>
      </c>
      <c r="E35" s="472">
        <f>Stored_C!G41+Stored_C!M41</f>
        <v>1.0263934679654452</v>
      </c>
      <c r="F35" s="473">
        <f>F34+HWP!C35</f>
        <v>0</v>
      </c>
      <c r="G35" s="471">
        <f>G34+HWP!D35</f>
        <v>19.916643543763101</v>
      </c>
      <c r="H35" s="472">
        <f>H34+HWP!E35</f>
        <v>16.431230923604552</v>
      </c>
      <c r="I35" s="455"/>
      <c r="J35" s="474">
        <f>Garden!J42</f>
        <v>0</v>
      </c>
      <c r="K35" s="475">
        <f>Paper!J42</f>
        <v>0.42440049397300822</v>
      </c>
      <c r="L35" s="476">
        <f>Wood!J42</f>
        <v>0</v>
      </c>
      <c r="M35" s="477">
        <f>J35*(1-Recovery_OX!E35)*(1-Recovery_OX!F35)</f>
        <v>0</v>
      </c>
      <c r="N35" s="475">
        <f>K35*(1-Recovery_OX!E35)*(1-Recovery_OX!F35)</f>
        <v>0.37637796369881998</v>
      </c>
      <c r="O35" s="476">
        <f>L35*(1-Recovery_OX!E35)*(1-Recovery_OX!F35)</f>
        <v>0</v>
      </c>
    </row>
    <row r="36" spans="2:15">
      <c r="B36" s="469">
        <f t="shared" si="0"/>
        <v>1974</v>
      </c>
      <c r="C36" s="470">
        <f>Stored_C!E42</f>
        <v>0</v>
      </c>
      <c r="D36" s="471">
        <f>Stored_C!F42+Stored_C!L42</f>
        <v>1.3018499617109514</v>
      </c>
      <c r="E36" s="472">
        <f>Stored_C!G42+Stored_C!M42</f>
        <v>1.0740262184115348</v>
      </c>
      <c r="F36" s="473">
        <f>F35+HWP!C36</f>
        <v>0</v>
      </c>
      <c r="G36" s="471">
        <f>G35+HWP!D36</f>
        <v>21.218493505474051</v>
      </c>
      <c r="H36" s="472">
        <f>H35+HWP!E36</f>
        <v>17.505257142016088</v>
      </c>
      <c r="I36" s="455"/>
      <c r="J36" s="474">
        <f>Garden!J43</f>
        <v>0</v>
      </c>
      <c r="K36" s="475">
        <f>Paper!J43</f>
        <v>0.44336881996699012</v>
      </c>
      <c r="L36" s="476">
        <f>Wood!J43</f>
        <v>0</v>
      </c>
      <c r="M36" s="477">
        <f>J36*(1-Recovery_OX!E36)*(1-Recovery_OX!F36)</f>
        <v>0</v>
      </c>
      <c r="N36" s="475">
        <f>K36*(1-Recovery_OX!E36)*(1-Recovery_OX!F36)</f>
        <v>0.39315728664593463</v>
      </c>
      <c r="O36" s="476">
        <f>L36*(1-Recovery_OX!E36)*(1-Recovery_OX!F36)</f>
        <v>0</v>
      </c>
    </row>
    <row r="37" spans="2:15">
      <c r="B37" s="469">
        <f t="shared" si="0"/>
        <v>1975</v>
      </c>
      <c r="C37" s="470">
        <f>Stored_C!E43</f>
        <v>0</v>
      </c>
      <c r="D37" s="471">
        <f>Stored_C!F43+Stored_C!L43</f>
        <v>1.361722214276158</v>
      </c>
      <c r="E37" s="472">
        <f>Stored_C!G43+Stored_C!M43</f>
        <v>1.1234208267778303</v>
      </c>
      <c r="F37" s="473">
        <f>F36+HWP!C37</f>
        <v>0</v>
      </c>
      <c r="G37" s="471">
        <f>G36+HWP!D37</f>
        <v>22.580215719750207</v>
      </c>
      <c r="H37" s="472">
        <f>H36+HWP!E37</f>
        <v>18.628677968793919</v>
      </c>
      <c r="I37" s="455"/>
      <c r="J37" s="474">
        <f>Garden!J44</f>
        <v>0</v>
      </c>
      <c r="K37" s="475">
        <f>Paper!J44</f>
        <v>0.4630631030172721</v>
      </c>
      <c r="L37" s="476">
        <f>Wood!J44</f>
        <v>0</v>
      </c>
      <c r="M37" s="477">
        <f>J37*(1-Recovery_OX!E37)*(1-Recovery_OX!F37)</f>
        <v>0</v>
      </c>
      <c r="N37" s="475">
        <f>K37*(1-Recovery_OX!E37)*(1-Recovery_OX!F37)</f>
        <v>0.41062279441714872</v>
      </c>
      <c r="O37" s="476">
        <f>L37*(1-Recovery_OX!E37)*(1-Recovery_OX!F37)</f>
        <v>0</v>
      </c>
    </row>
    <row r="38" spans="2:15">
      <c r="B38" s="469">
        <f t="shared" si="0"/>
        <v>1976</v>
      </c>
      <c r="C38" s="470">
        <f>Stored_C!E44</f>
        <v>0</v>
      </c>
      <c r="D38" s="471">
        <f>Stored_C!F44+Stored_C!L44</f>
        <v>1.4238014237845877</v>
      </c>
      <c r="E38" s="472">
        <f>Stored_C!G44+Stored_C!M44</f>
        <v>1.1746361746222849</v>
      </c>
      <c r="F38" s="473">
        <f>F37+HWP!C38</f>
        <v>0</v>
      </c>
      <c r="G38" s="471">
        <f>G37+HWP!D38</f>
        <v>24.004017143534796</v>
      </c>
      <c r="H38" s="472">
        <f>H37+HWP!E38</f>
        <v>19.803314143416205</v>
      </c>
      <c r="I38" s="455"/>
      <c r="J38" s="474">
        <f>Garden!J45</f>
        <v>0</v>
      </c>
      <c r="K38" s="475">
        <f>Paper!J45</f>
        <v>0.48348750009391273</v>
      </c>
      <c r="L38" s="476">
        <f>Wood!J45</f>
        <v>0</v>
      </c>
      <c r="M38" s="477">
        <f>J38*(1-Recovery_OX!E38)*(1-Recovery_OX!F38)</f>
        <v>0</v>
      </c>
      <c r="N38" s="475">
        <f>K38*(1-Recovery_OX!E38)*(1-Recovery_OX!F38)</f>
        <v>0.42876969427152933</v>
      </c>
      <c r="O38" s="476">
        <f>L38*(1-Recovery_OX!E38)*(1-Recovery_OX!F38)</f>
        <v>0</v>
      </c>
    </row>
    <row r="39" spans="2:15">
      <c r="B39" s="469">
        <f t="shared" si="0"/>
        <v>1977</v>
      </c>
      <c r="C39" s="470">
        <f>Stored_C!E45</f>
        <v>0</v>
      </c>
      <c r="D39" s="471">
        <f>Stored_C!F45+Stored_C!L45</f>
        <v>1.488161213108115</v>
      </c>
      <c r="E39" s="472">
        <f>Stored_C!G45+Stored_C!M45</f>
        <v>1.2277330008141947</v>
      </c>
      <c r="F39" s="473">
        <f>F38+HWP!C39</f>
        <v>0</v>
      </c>
      <c r="G39" s="471">
        <f>G38+HWP!D39</f>
        <v>25.49217835664291</v>
      </c>
      <c r="H39" s="472">
        <f>H38+HWP!E39</f>
        <v>21.031047144230399</v>
      </c>
      <c r="I39" s="455"/>
      <c r="J39" s="474">
        <f>Garden!J46</f>
        <v>0</v>
      </c>
      <c r="K39" s="475">
        <f>Paper!J46</f>
        <v>0.50464576060433608</v>
      </c>
      <c r="L39" s="476">
        <f>Wood!J46</f>
        <v>0</v>
      </c>
      <c r="M39" s="477">
        <f>J39*(1-Recovery_OX!E39)*(1-Recovery_OX!F39)</f>
        <v>0</v>
      </c>
      <c r="N39" s="475">
        <f>K39*(1-Recovery_OX!E39)*(1-Recovery_OX!F39)</f>
        <v>0.44759558380445008</v>
      </c>
      <c r="O39" s="476">
        <f>L39*(1-Recovery_OX!E39)*(1-Recovery_OX!F39)</f>
        <v>0</v>
      </c>
    </row>
    <row r="40" spans="2:15">
      <c r="B40" s="469">
        <f t="shared" si="0"/>
        <v>1978</v>
      </c>
      <c r="C40" s="470">
        <f>Stored_C!E46</f>
        <v>0</v>
      </c>
      <c r="D40" s="471">
        <f>Stored_C!F46+Stored_C!L46</f>
        <v>1.5548775248113256</v>
      </c>
      <c r="E40" s="472">
        <f>Stored_C!G46+Stored_C!M46</f>
        <v>1.2827739579693438</v>
      </c>
      <c r="F40" s="473">
        <f>F39+HWP!C40</f>
        <v>0</v>
      </c>
      <c r="G40" s="471">
        <f>G39+HWP!D40</f>
        <v>27.047055881454234</v>
      </c>
      <c r="H40" s="472">
        <f>H39+HWP!E40</f>
        <v>22.313821102199743</v>
      </c>
      <c r="I40" s="455"/>
      <c r="J40" s="474">
        <f>Garden!J47</f>
        <v>0</v>
      </c>
      <c r="K40" s="475">
        <f>Paper!J47</f>
        <v>0.52654108564767332</v>
      </c>
      <c r="L40" s="476">
        <f>Wood!J47</f>
        <v>0</v>
      </c>
      <c r="M40" s="477">
        <f>J40*(1-Recovery_OX!E40)*(1-Recovery_OX!F40)</f>
        <v>0</v>
      </c>
      <c r="N40" s="475">
        <f>K40*(1-Recovery_OX!E40)*(1-Recovery_OX!F40)</f>
        <v>0.46709951166357355</v>
      </c>
      <c r="O40" s="476">
        <f>L40*(1-Recovery_OX!E40)*(1-Recovery_OX!F40)</f>
        <v>0</v>
      </c>
    </row>
    <row r="41" spans="2:15">
      <c r="B41" s="469">
        <f t="shared" si="0"/>
        <v>1979</v>
      </c>
      <c r="C41" s="470">
        <f>Stored_C!E47</f>
        <v>0</v>
      </c>
      <c r="D41" s="471">
        <f>Stored_C!F47+Stored_C!L47</f>
        <v>1.6240286915825766</v>
      </c>
      <c r="E41" s="472">
        <f>Stored_C!G47+Stored_C!M47</f>
        <v>1.3398236705556255</v>
      </c>
      <c r="F41" s="473">
        <f>F40+HWP!C41</f>
        <v>0</v>
      </c>
      <c r="G41" s="471">
        <f>G40+HWP!D41</f>
        <v>28.671084573036811</v>
      </c>
      <c r="H41" s="472">
        <f>H40+HWP!E41</f>
        <v>23.653644772755367</v>
      </c>
      <c r="I41" s="455"/>
      <c r="J41" s="474">
        <f>Garden!J48</f>
        <v>0</v>
      </c>
      <c r="K41" s="475">
        <f>Paper!J48</f>
        <v>0.54917597789131833</v>
      </c>
      <c r="L41" s="476">
        <f>Wood!J48</f>
        <v>0</v>
      </c>
      <c r="M41" s="477">
        <f>J41*(1-Recovery_OX!E41)*(1-Recovery_OX!F41)</f>
        <v>0</v>
      </c>
      <c r="N41" s="475">
        <f>K41*(1-Recovery_OX!E41)*(1-Recovery_OX!F41)</f>
        <v>0.48728127531347543</v>
      </c>
      <c r="O41" s="476">
        <f>L41*(1-Recovery_OX!E41)*(1-Recovery_OX!F41)</f>
        <v>0</v>
      </c>
    </row>
    <row r="42" spans="2:15">
      <c r="B42" s="469">
        <f t="shared" si="0"/>
        <v>1980</v>
      </c>
      <c r="C42" s="470">
        <f>Stored_C!E48</f>
        <v>0</v>
      </c>
      <c r="D42" s="471">
        <f>Stored_C!F48+Stored_C!L48</f>
        <v>1.6968231549720005</v>
      </c>
      <c r="E42" s="472">
        <f>Stored_C!G48+Stored_C!M48</f>
        <v>1.3998791028519002</v>
      </c>
      <c r="F42" s="473">
        <f>F41+HWP!C42</f>
        <v>0</v>
      </c>
      <c r="G42" s="471">
        <f>G41+HWP!D42</f>
        <v>30.367907728008813</v>
      </c>
      <c r="H42" s="472">
        <f>H41+HWP!E42</f>
        <v>25.053523875607269</v>
      </c>
      <c r="I42" s="455"/>
      <c r="J42" s="474">
        <f>Garden!J49</f>
        <v>0</v>
      </c>
      <c r="K42" s="475">
        <f>Paper!J49</f>
        <v>0.57255208101035093</v>
      </c>
      <c r="L42" s="476">
        <f>Wood!J49</f>
        <v>0</v>
      </c>
      <c r="M42" s="477">
        <f>J42*(1-Recovery_OX!E42)*(1-Recovery_OX!F42)</f>
        <v>0</v>
      </c>
      <c r="N42" s="475">
        <f>K42*(1-Recovery_OX!E42)*(1-Recovery_OX!F42)</f>
        <v>0.50809535955217511</v>
      </c>
      <c r="O42" s="476">
        <f>L42*(1-Recovery_OX!E42)*(1-Recovery_OX!F42)</f>
        <v>0</v>
      </c>
    </row>
    <row r="43" spans="2:15">
      <c r="B43" s="469">
        <f t="shared" si="0"/>
        <v>1981</v>
      </c>
      <c r="C43" s="470">
        <f>Stored_C!E49</f>
        <v>0</v>
      </c>
      <c r="D43" s="471">
        <f>Stored_C!F49+Stored_C!L49</f>
        <v>0</v>
      </c>
      <c r="E43" s="472">
        <f>Stored_C!G49+Stored_C!M49</f>
        <v>0</v>
      </c>
      <c r="F43" s="473">
        <f>F42+HWP!C43</f>
        <v>0</v>
      </c>
      <c r="G43" s="471">
        <f>G42+HWP!D43</f>
        <v>30.367907728008813</v>
      </c>
      <c r="H43" s="472">
        <f>H42+HWP!E43</f>
        <v>25.053523875607269</v>
      </c>
      <c r="I43" s="455"/>
      <c r="J43" s="474">
        <f>Garden!J50</f>
        <v>0</v>
      </c>
      <c r="K43" s="475">
        <f>Paper!J50</f>
        <v>0.59671441306763595</v>
      </c>
      <c r="L43" s="476">
        <f>Wood!J50</f>
        <v>0</v>
      </c>
      <c r="M43" s="477">
        <f>J43*(1-Recovery_OX!E43)*(1-Recovery_OX!F43)</f>
        <v>0</v>
      </c>
      <c r="N43" s="475">
        <f>K43*(1-Recovery_OX!E43)*(1-Recovery_OX!F43)</f>
        <v>0.59671441306763595</v>
      </c>
      <c r="O43" s="476">
        <f>L43*(1-Recovery_OX!E43)*(1-Recovery_OX!F43)</f>
        <v>0</v>
      </c>
    </row>
    <row r="44" spans="2:15">
      <c r="B44" s="469">
        <f t="shared" si="0"/>
        <v>1982</v>
      </c>
      <c r="C44" s="470">
        <f>Stored_C!E50</f>
        <v>0</v>
      </c>
      <c r="D44" s="471">
        <f>Stored_C!F50+Stored_C!L50</f>
        <v>0</v>
      </c>
      <c r="E44" s="472">
        <f>Stored_C!G50+Stored_C!M50</f>
        <v>0</v>
      </c>
      <c r="F44" s="473">
        <f>F43+HWP!C44</f>
        <v>0</v>
      </c>
      <c r="G44" s="471">
        <f>G43+HWP!D44</f>
        <v>30.367907728008813</v>
      </c>
      <c r="H44" s="472">
        <f>H43+HWP!E44</f>
        <v>25.053523875607269</v>
      </c>
      <c r="I44" s="455"/>
      <c r="J44" s="474">
        <f>Garden!J51</f>
        <v>0</v>
      </c>
      <c r="K44" s="475">
        <f>Paper!J51</f>
        <v>0.556372830993069</v>
      </c>
      <c r="L44" s="476">
        <f>Wood!J51</f>
        <v>0</v>
      </c>
      <c r="M44" s="477">
        <f>J44*(1-Recovery_OX!E44)*(1-Recovery_OX!F44)</f>
        <v>0</v>
      </c>
      <c r="N44" s="475">
        <f>K44*(1-Recovery_OX!E44)*(1-Recovery_OX!F44)</f>
        <v>0.556372830993069</v>
      </c>
      <c r="O44" s="476">
        <f>L44*(1-Recovery_OX!E44)*(1-Recovery_OX!F44)</f>
        <v>0</v>
      </c>
    </row>
    <row r="45" spans="2:15">
      <c r="B45" s="469">
        <f t="shared" si="0"/>
        <v>1983</v>
      </c>
      <c r="C45" s="470">
        <f>Stored_C!E51</f>
        <v>0</v>
      </c>
      <c r="D45" s="471">
        <f>Stored_C!F51+Stored_C!L51</f>
        <v>0</v>
      </c>
      <c r="E45" s="472">
        <f>Stored_C!G51+Stored_C!M51</f>
        <v>0</v>
      </c>
      <c r="F45" s="473">
        <f>F44+HWP!C45</f>
        <v>0</v>
      </c>
      <c r="G45" s="471">
        <f>G44+HWP!D45</f>
        <v>30.367907728008813</v>
      </c>
      <c r="H45" s="472">
        <f>H44+HWP!E45</f>
        <v>25.053523875607269</v>
      </c>
      <c r="I45" s="455"/>
      <c r="J45" s="474">
        <f>Garden!J52</f>
        <v>0</v>
      </c>
      <c r="K45" s="475">
        <f>Paper!J52</f>
        <v>0.51875858918151418</v>
      </c>
      <c r="L45" s="476">
        <f>Wood!J52</f>
        <v>0</v>
      </c>
      <c r="M45" s="477">
        <f>J45*(1-Recovery_OX!E45)*(1-Recovery_OX!F45)</f>
        <v>0</v>
      </c>
      <c r="N45" s="475">
        <f>K45*(1-Recovery_OX!E45)*(1-Recovery_OX!F45)</f>
        <v>0.51875858918151418</v>
      </c>
      <c r="O45" s="476">
        <f>L45*(1-Recovery_OX!E45)*(1-Recovery_OX!F45)</f>
        <v>0</v>
      </c>
    </row>
    <row r="46" spans="2:15">
      <c r="B46" s="469">
        <f t="shared" si="0"/>
        <v>1984</v>
      </c>
      <c r="C46" s="470">
        <f>Stored_C!E52</f>
        <v>0</v>
      </c>
      <c r="D46" s="471">
        <f>Stored_C!F52+Stored_C!L52</f>
        <v>0</v>
      </c>
      <c r="E46" s="472">
        <f>Stored_C!G52+Stored_C!M52</f>
        <v>0</v>
      </c>
      <c r="F46" s="473">
        <f>F45+HWP!C46</f>
        <v>0</v>
      </c>
      <c r="G46" s="471">
        <f>G45+HWP!D46</f>
        <v>30.367907728008813</v>
      </c>
      <c r="H46" s="472">
        <f>H45+HWP!E46</f>
        <v>25.053523875607269</v>
      </c>
      <c r="I46" s="455"/>
      <c r="J46" s="474">
        <f>Garden!J53</f>
        <v>0</v>
      </c>
      <c r="K46" s="475">
        <f>Paper!J53</f>
        <v>0.48368730257597253</v>
      </c>
      <c r="L46" s="476">
        <f>Wood!J53</f>
        <v>0</v>
      </c>
      <c r="M46" s="477">
        <f>J46*(1-Recovery_OX!E46)*(1-Recovery_OX!F46)</f>
        <v>0</v>
      </c>
      <c r="N46" s="475">
        <f>K46*(1-Recovery_OX!E46)*(1-Recovery_OX!F46)</f>
        <v>0.48368730257597253</v>
      </c>
      <c r="O46" s="476">
        <f>L46*(1-Recovery_OX!E46)*(1-Recovery_OX!F46)</f>
        <v>0</v>
      </c>
    </row>
    <row r="47" spans="2:15">
      <c r="B47" s="469">
        <f t="shared" si="0"/>
        <v>1985</v>
      </c>
      <c r="C47" s="470">
        <f>Stored_C!E53</f>
        <v>0</v>
      </c>
      <c r="D47" s="471">
        <f>Stored_C!F53+Stored_C!L53</f>
        <v>0</v>
      </c>
      <c r="E47" s="472">
        <f>Stored_C!G53+Stored_C!M53</f>
        <v>0</v>
      </c>
      <c r="F47" s="473">
        <f>F46+HWP!C47</f>
        <v>0</v>
      </c>
      <c r="G47" s="471">
        <f>G46+HWP!D47</f>
        <v>30.367907728008813</v>
      </c>
      <c r="H47" s="472">
        <f>H46+HWP!E47</f>
        <v>25.053523875607269</v>
      </c>
      <c r="I47" s="455"/>
      <c r="J47" s="474">
        <f>Garden!J54</f>
        <v>0</v>
      </c>
      <c r="K47" s="475">
        <f>Paper!J54</f>
        <v>0.4509870516888152</v>
      </c>
      <c r="L47" s="476">
        <f>Wood!J54</f>
        <v>0</v>
      </c>
      <c r="M47" s="477">
        <f>J47*(1-Recovery_OX!E47)*(1-Recovery_OX!F47)</f>
        <v>0</v>
      </c>
      <c r="N47" s="475">
        <f>K47*(1-Recovery_OX!E47)*(1-Recovery_OX!F47)</f>
        <v>0.4509870516888152</v>
      </c>
      <c r="O47" s="476">
        <f>L47*(1-Recovery_OX!E47)*(1-Recovery_OX!F47)</f>
        <v>0</v>
      </c>
    </row>
    <row r="48" spans="2:15">
      <c r="B48" s="469">
        <f t="shared" si="0"/>
        <v>1986</v>
      </c>
      <c r="C48" s="470">
        <f>Stored_C!E54</f>
        <v>0</v>
      </c>
      <c r="D48" s="471">
        <f>Stored_C!F54+Stored_C!L54</f>
        <v>0</v>
      </c>
      <c r="E48" s="472">
        <f>Stored_C!G54+Stored_C!M54</f>
        <v>0</v>
      </c>
      <c r="F48" s="473">
        <f>F47+HWP!C48</f>
        <v>0</v>
      </c>
      <c r="G48" s="471">
        <f>G47+HWP!D48</f>
        <v>30.367907728008813</v>
      </c>
      <c r="H48" s="472">
        <f>H47+HWP!E48</f>
        <v>25.053523875607269</v>
      </c>
      <c r="I48" s="455"/>
      <c r="J48" s="474">
        <f>Garden!J55</f>
        <v>0</v>
      </c>
      <c r="K48" s="475">
        <f>Paper!J55</f>
        <v>0.42049753985225574</v>
      </c>
      <c r="L48" s="476">
        <f>Wood!J55</f>
        <v>0</v>
      </c>
      <c r="M48" s="477">
        <f>J48*(1-Recovery_OX!E48)*(1-Recovery_OX!F48)</f>
        <v>0</v>
      </c>
      <c r="N48" s="475">
        <f>K48*(1-Recovery_OX!E48)*(1-Recovery_OX!F48)</f>
        <v>0.42049753985225574</v>
      </c>
      <c r="O48" s="476">
        <f>L48*(1-Recovery_OX!E48)*(1-Recovery_OX!F48)</f>
        <v>0</v>
      </c>
    </row>
    <row r="49" spans="2:15">
      <c r="B49" s="469">
        <f t="shared" si="0"/>
        <v>1987</v>
      </c>
      <c r="C49" s="470">
        <f>Stored_C!E55</f>
        <v>0</v>
      </c>
      <c r="D49" s="471">
        <f>Stored_C!F55+Stored_C!L55</f>
        <v>0</v>
      </c>
      <c r="E49" s="472">
        <f>Stored_C!G55+Stored_C!M55</f>
        <v>0</v>
      </c>
      <c r="F49" s="473">
        <f>F48+HWP!C49</f>
        <v>0</v>
      </c>
      <c r="G49" s="471">
        <f>G48+HWP!D49</f>
        <v>30.367907728008813</v>
      </c>
      <c r="H49" s="472">
        <f>H48+HWP!E49</f>
        <v>25.053523875607269</v>
      </c>
      <c r="I49" s="455"/>
      <c r="J49" s="474">
        <f>Garden!J56</f>
        <v>0</v>
      </c>
      <c r="K49" s="475">
        <f>Paper!J56</f>
        <v>0.39206930744389845</v>
      </c>
      <c r="L49" s="476">
        <f>Wood!J56</f>
        <v>0</v>
      </c>
      <c r="M49" s="477">
        <f>J49*(1-Recovery_OX!E49)*(1-Recovery_OX!F49)</f>
        <v>0</v>
      </c>
      <c r="N49" s="475">
        <f>K49*(1-Recovery_OX!E49)*(1-Recovery_OX!F49)</f>
        <v>0.39206930744389845</v>
      </c>
      <c r="O49" s="476">
        <f>L49*(1-Recovery_OX!E49)*(1-Recovery_OX!F49)</f>
        <v>0</v>
      </c>
    </row>
    <row r="50" spans="2:15">
      <c r="B50" s="469">
        <f t="shared" si="0"/>
        <v>1988</v>
      </c>
      <c r="C50" s="470">
        <f>Stored_C!E56</f>
        <v>0</v>
      </c>
      <c r="D50" s="471">
        <f>Stored_C!F56+Stored_C!L56</f>
        <v>0</v>
      </c>
      <c r="E50" s="472">
        <f>Stored_C!G56+Stored_C!M56</f>
        <v>0</v>
      </c>
      <c r="F50" s="473">
        <f>F49+HWP!C50</f>
        <v>0</v>
      </c>
      <c r="G50" s="471">
        <f>G49+HWP!D50</f>
        <v>30.367907728008813</v>
      </c>
      <c r="H50" s="472">
        <f>H49+HWP!E50</f>
        <v>25.053523875607269</v>
      </c>
      <c r="I50" s="455"/>
      <c r="J50" s="474">
        <f>Garden!J57</f>
        <v>0</v>
      </c>
      <c r="K50" s="475">
        <f>Paper!J57</f>
        <v>0.36556299923549618</v>
      </c>
      <c r="L50" s="476">
        <f>Wood!J57</f>
        <v>0</v>
      </c>
      <c r="M50" s="477">
        <f>J50*(1-Recovery_OX!E50)*(1-Recovery_OX!F50)</f>
        <v>0</v>
      </c>
      <c r="N50" s="475">
        <f>K50*(1-Recovery_OX!E50)*(1-Recovery_OX!F50)</f>
        <v>0.36556299923549618</v>
      </c>
      <c r="O50" s="476">
        <f>L50*(1-Recovery_OX!E50)*(1-Recovery_OX!F50)</f>
        <v>0</v>
      </c>
    </row>
    <row r="51" spans="2:15">
      <c r="B51" s="469">
        <f t="shared" si="0"/>
        <v>1989</v>
      </c>
      <c r="C51" s="470">
        <f>Stored_C!E57</f>
        <v>0</v>
      </c>
      <c r="D51" s="471">
        <f>Stored_C!F57+Stored_C!L57</f>
        <v>0</v>
      </c>
      <c r="E51" s="472">
        <f>Stored_C!G57+Stored_C!M57</f>
        <v>0</v>
      </c>
      <c r="F51" s="473">
        <f>F50+HWP!C51</f>
        <v>0</v>
      </c>
      <c r="G51" s="471">
        <f>G50+HWP!D51</f>
        <v>30.367907728008813</v>
      </c>
      <c r="H51" s="472">
        <f>H50+HWP!E51</f>
        <v>25.053523875607269</v>
      </c>
      <c r="I51" s="455"/>
      <c r="J51" s="474">
        <f>Garden!J58</f>
        <v>0</v>
      </c>
      <c r="K51" s="475">
        <f>Paper!J58</f>
        <v>0.34084868127345952</v>
      </c>
      <c r="L51" s="476">
        <f>Wood!J58</f>
        <v>0</v>
      </c>
      <c r="M51" s="477">
        <f>J51*(1-Recovery_OX!E51)*(1-Recovery_OX!F51)</f>
        <v>0</v>
      </c>
      <c r="N51" s="475">
        <f>K51*(1-Recovery_OX!E51)*(1-Recovery_OX!F51)</f>
        <v>0.34084868127345952</v>
      </c>
      <c r="O51" s="476">
        <f>L51*(1-Recovery_OX!E51)*(1-Recovery_OX!F51)</f>
        <v>0</v>
      </c>
    </row>
    <row r="52" spans="2:15">
      <c r="B52" s="469">
        <f t="shared" si="0"/>
        <v>1990</v>
      </c>
      <c r="C52" s="470">
        <f>Stored_C!E58</f>
        <v>0</v>
      </c>
      <c r="D52" s="471">
        <f>Stored_C!F58+Stored_C!L58</f>
        <v>0</v>
      </c>
      <c r="E52" s="472">
        <f>Stored_C!G58+Stored_C!M58</f>
        <v>0</v>
      </c>
      <c r="F52" s="473">
        <f>F51+HWP!C52</f>
        <v>0</v>
      </c>
      <c r="G52" s="471">
        <f>G51+HWP!D52</f>
        <v>30.367907728008813</v>
      </c>
      <c r="H52" s="472">
        <f>H51+HWP!E52</f>
        <v>25.053523875607269</v>
      </c>
      <c r="I52" s="455"/>
      <c r="J52" s="474">
        <f>Garden!J59</f>
        <v>0</v>
      </c>
      <c r="K52" s="475">
        <f>Paper!J59</f>
        <v>0.31780520394246603</v>
      </c>
      <c r="L52" s="476">
        <f>Wood!J59</f>
        <v>0</v>
      </c>
      <c r="M52" s="477">
        <f>J52*(1-Recovery_OX!E52)*(1-Recovery_OX!F52)</f>
        <v>0</v>
      </c>
      <c r="N52" s="475">
        <f>K52*(1-Recovery_OX!E52)*(1-Recovery_OX!F52)</f>
        <v>0.31780520394246603</v>
      </c>
      <c r="O52" s="476">
        <f>L52*(1-Recovery_OX!E52)*(1-Recovery_OX!F52)</f>
        <v>0</v>
      </c>
    </row>
    <row r="53" spans="2:15">
      <c r="B53" s="469">
        <f t="shared" si="0"/>
        <v>1991</v>
      </c>
      <c r="C53" s="470">
        <f>Stored_C!E59</f>
        <v>0</v>
      </c>
      <c r="D53" s="471">
        <f>Stored_C!F59+Stored_C!L59</f>
        <v>0</v>
      </c>
      <c r="E53" s="472">
        <f>Stored_C!G59+Stored_C!M59</f>
        <v>0</v>
      </c>
      <c r="F53" s="473">
        <f>F52+HWP!C53</f>
        <v>0</v>
      </c>
      <c r="G53" s="471">
        <f>G52+HWP!D53</f>
        <v>30.367907728008813</v>
      </c>
      <c r="H53" s="472">
        <f>H52+HWP!E53</f>
        <v>25.053523875607269</v>
      </c>
      <c r="I53" s="455"/>
      <c r="J53" s="474">
        <f>Garden!J60</f>
        <v>0</v>
      </c>
      <c r="K53" s="475">
        <f>Paper!J60</f>
        <v>0.29631960808990482</v>
      </c>
      <c r="L53" s="476">
        <f>Wood!J60</f>
        <v>0</v>
      </c>
      <c r="M53" s="477">
        <f>J53*(1-Recovery_OX!E53)*(1-Recovery_OX!F53)</f>
        <v>0</v>
      </c>
      <c r="N53" s="475">
        <f>K53*(1-Recovery_OX!E53)*(1-Recovery_OX!F53)</f>
        <v>0.29631960808990482</v>
      </c>
      <c r="O53" s="476">
        <f>L53*(1-Recovery_OX!E53)*(1-Recovery_OX!F53)</f>
        <v>0</v>
      </c>
    </row>
    <row r="54" spans="2:15">
      <c r="B54" s="469">
        <f t="shared" si="0"/>
        <v>1992</v>
      </c>
      <c r="C54" s="470">
        <f>Stored_C!E60</f>
        <v>0</v>
      </c>
      <c r="D54" s="471">
        <f>Stored_C!F60+Stored_C!L60</f>
        <v>0</v>
      </c>
      <c r="E54" s="472">
        <f>Stored_C!G60+Stored_C!M60</f>
        <v>0</v>
      </c>
      <c r="F54" s="473">
        <f>F53+HWP!C54</f>
        <v>0</v>
      </c>
      <c r="G54" s="471">
        <f>G53+HWP!D54</f>
        <v>30.367907728008813</v>
      </c>
      <c r="H54" s="472">
        <f>H53+HWP!E54</f>
        <v>25.053523875607269</v>
      </c>
      <c r="I54" s="455"/>
      <c r="J54" s="474">
        <f>Garden!J61</f>
        <v>0</v>
      </c>
      <c r="K54" s="475">
        <f>Paper!J61</f>
        <v>0.27628657129997986</v>
      </c>
      <c r="L54" s="476">
        <f>Wood!J61</f>
        <v>0</v>
      </c>
      <c r="M54" s="477">
        <f>J54*(1-Recovery_OX!E54)*(1-Recovery_OX!F54)</f>
        <v>0</v>
      </c>
      <c r="N54" s="475">
        <f>K54*(1-Recovery_OX!E54)*(1-Recovery_OX!F54)</f>
        <v>0.27628657129997986</v>
      </c>
      <c r="O54" s="476">
        <f>L54*(1-Recovery_OX!E54)*(1-Recovery_OX!F54)</f>
        <v>0</v>
      </c>
    </row>
    <row r="55" spans="2:15">
      <c r="B55" s="469">
        <f t="shared" si="0"/>
        <v>1993</v>
      </c>
      <c r="C55" s="470">
        <f>Stored_C!E61</f>
        <v>0</v>
      </c>
      <c r="D55" s="471">
        <f>Stored_C!F61+Stored_C!L61</f>
        <v>0</v>
      </c>
      <c r="E55" s="472">
        <f>Stored_C!G61+Stored_C!M61</f>
        <v>0</v>
      </c>
      <c r="F55" s="473">
        <f>F54+HWP!C55</f>
        <v>0</v>
      </c>
      <c r="G55" s="471">
        <f>G54+HWP!D55</f>
        <v>30.367907728008813</v>
      </c>
      <c r="H55" s="472">
        <f>H54+HWP!E55</f>
        <v>25.053523875607269</v>
      </c>
      <c r="I55" s="455"/>
      <c r="J55" s="474">
        <f>Garden!J62</f>
        <v>0</v>
      </c>
      <c r="K55" s="475">
        <f>Paper!J62</f>
        <v>0.25760789160310532</v>
      </c>
      <c r="L55" s="476">
        <f>Wood!J62</f>
        <v>0</v>
      </c>
      <c r="M55" s="477">
        <f>J55*(1-Recovery_OX!E55)*(1-Recovery_OX!F55)</f>
        <v>0</v>
      </c>
      <c r="N55" s="475">
        <f>K55*(1-Recovery_OX!E55)*(1-Recovery_OX!F55)</f>
        <v>0.25760789160310532</v>
      </c>
      <c r="O55" s="476">
        <f>L55*(1-Recovery_OX!E55)*(1-Recovery_OX!F55)</f>
        <v>0</v>
      </c>
    </row>
    <row r="56" spans="2:15">
      <c r="B56" s="469">
        <f t="shared" si="0"/>
        <v>1994</v>
      </c>
      <c r="C56" s="470">
        <f>Stored_C!E62</f>
        <v>0</v>
      </c>
      <c r="D56" s="471">
        <f>Stored_C!F62+Stored_C!L62</f>
        <v>0</v>
      </c>
      <c r="E56" s="472">
        <f>Stored_C!G62+Stored_C!M62</f>
        <v>0</v>
      </c>
      <c r="F56" s="473">
        <f>F55+HWP!C56</f>
        <v>0</v>
      </c>
      <c r="G56" s="471">
        <f>G55+HWP!D56</f>
        <v>30.367907728008813</v>
      </c>
      <c r="H56" s="472">
        <f>H55+HWP!E56</f>
        <v>25.053523875607269</v>
      </c>
      <c r="I56" s="455"/>
      <c r="J56" s="474">
        <f>Garden!J63</f>
        <v>0</v>
      </c>
      <c r="K56" s="475">
        <f>Paper!J63</f>
        <v>0.24019200608973684</v>
      </c>
      <c r="L56" s="476">
        <f>Wood!J63</f>
        <v>0</v>
      </c>
      <c r="M56" s="477">
        <f>J56*(1-Recovery_OX!E56)*(1-Recovery_OX!F56)</f>
        <v>0</v>
      </c>
      <c r="N56" s="475">
        <f>K56*(1-Recovery_OX!E56)*(1-Recovery_OX!F56)</f>
        <v>0.24019200608973684</v>
      </c>
      <c r="O56" s="476">
        <f>L56*(1-Recovery_OX!E56)*(1-Recovery_OX!F56)</f>
        <v>0</v>
      </c>
    </row>
    <row r="57" spans="2:15">
      <c r="B57" s="469">
        <f t="shared" si="0"/>
        <v>1995</v>
      </c>
      <c r="C57" s="470">
        <f>Stored_C!E63</f>
        <v>0</v>
      </c>
      <c r="D57" s="471">
        <f>Stored_C!F63+Stored_C!L63</f>
        <v>0</v>
      </c>
      <c r="E57" s="472">
        <f>Stored_C!G63+Stored_C!M63</f>
        <v>0</v>
      </c>
      <c r="F57" s="473">
        <f>F56+HWP!C57</f>
        <v>0</v>
      </c>
      <c r="G57" s="471">
        <f>G56+HWP!D57</f>
        <v>30.367907728008813</v>
      </c>
      <c r="H57" s="472">
        <f>H56+HWP!E57</f>
        <v>25.053523875607269</v>
      </c>
      <c r="I57" s="455"/>
      <c r="J57" s="474">
        <f>Garden!J64</f>
        <v>0</v>
      </c>
      <c r="K57" s="475">
        <f>Paper!J64</f>
        <v>0.22395354206888254</v>
      </c>
      <c r="L57" s="476">
        <f>Wood!J64</f>
        <v>0</v>
      </c>
      <c r="M57" s="477">
        <f>J57*(1-Recovery_OX!E57)*(1-Recovery_OX!F57)</f>
        <v>0</v>
      </c>
      <c r="N57" s="475">
        <f>K57*(1-Recovery_OX!E57)*(1-Recovery_OX!F57)</f>
        <v>0.22395354206888254</v>
      </c>
      <c r="O57" s="476">
        <f>L57*(1-Recovery_OX!E57)*(1-Recovery_OX!F57)</f>
        <v>0</v>
      </c>
    </row>
    <row r="58" spans="2:15">
      <c r="B58" s="469">
        <f t="shared" si="0"/>
        <v>1996</v>
      </c>
      <c r="C58" s="470">
        <f>Stored_C!E64</f>
        <v>0</v>
      </c>
      <c r="D58" s="471">
        <f>Stored_C!F64+Stored_C!L64</f>
        <v>0</v>
      </c>
      <c r="E58" s="472">
        <f>Stored_C!G64+Stored_C!M64</f>
        <v>0</v>
      </c>
      <c r="F58" s="473">
        <f>F57+HWP!C58</f>
        <v>0</v>
      </c>
      <c r="G58" s="471">
        <f>G57+HWP!D58</f>
        <v>30.367907728008813</v>
      </c>
      <c r="H58" s="472">
        <f>H57+HWP!E58</f>
        <v>25.053523875607269</v>
      </c>
      <c r="I58" s="455"/>
      <c r="J58" s="474">
        <f>Garden!J65</f>
        <v>0</v>
      </c>
      <c r="K58" s="475">
        <f>Paper!J65</f>
        <v>0.20881289857107288</v>
      </c>
      <c r="L58" s="476">
        <f>Wood!J65</f>
        <v>0</v>
      </c>
      <c r="M58" s="477">
        <f>J58*(1-Recovery_OX!E58)*(1-Recovery_OX!F58)</f>
        <v>0</v>
      </c>
      <c r="N58" s="475">
        <f>K58*(1-Recovery_OX!E58)*(1-Recovery_OX!F58)</f>
        <v>0.20881289857107288</v>
      </c>
      <c r="O58" s="476">
        <f>L58*(1-Recovery_OX!E58)*(1-Recovery_OX!F58)</f>
        <v>0</v>
      </c>
    </row>
    <row r="59" spans="2:15">
      <c r="B59" s="469">
        <f t="shared" si="0"/>
        <v>1997</v>
      </c>
      <c r="C59" s="470">
        <f>Stored_C!E65</f>
        <v>0</v>
      </c>
      <c r="D59" s="471">
        <f>Stored_C!F65+Stored_C!L65</f>
        <v>0</v>
      </c>
      <c r="E59" s="472">
        <f>Stored_C!G65+Stored_C!M65</f>
        <v>0</v>
      </c>
      <c r="F59" s="473">
        <f>F58+HWP!C59</f>
        <v>0</v>
      </c>
      <c r="G59" s="471">
        <f>G58+HWP!D59</f>
        <v>30.367907728008813</v>
      </c>
      <c r="H59" s="472">
        <f>H58+HWP!E59</f>
        <v>25.053523875607269</v>
      </c>
      <c r="I59" s="455"/>
      <c r="J59" s="474">
        <f>Garden!J66</f>
        <v>0</v>
      </c>
      <c r="K59" s="475">
        <f>Paper!J66</f>
        <v>0.19469585614431598</v>
      </c>
      <c r="L59" s="476">
        <f>Wood!J66</f>
        <v>0</v>
      </c>
      <c r="M59" s="477">
        <f>J59*(1-Recovery_OX!E59)*(1-Recovery_OX!F59)</f>
        <v>0</v>
      </c>
      <c r="N59" s="475">
        <f>K59*(1-Recovery_OX!E59)*(1-Recovery_OX!F59)</f>
        <v>0.19469585614431598</v>
      </c>
      <c r="O59" s="476">
        <f>L59*(1-Recovery_OX!E59)*(1-Recovery_OX!F59)</f>
        <v>0</v>
      </c>
    </row>
    <row r="60" spans="2:15">
      <c r="B60" s="469">
        <f t="shared" si="0"/>
        <v>1998</v>
      </c>
      <c r="C60" s="470">
        <f>Stored_C!E66</f>
        <v>0</v>
      </c>
      <c r="D60" s="471">
        <f>Stored_C!F66+Stored_C!L66</f>
        <v>0</v>
      </c>
      <c r="E60" s="472">
        <f>Stored_C!G66+Stored_C!M66</f>
        <v>0</v>
      </c>
      <c r="F60" s="473">
        <f>F59+HWP!C60</f>
        <v>0</v>
      </c>
      <c r="G60" s="471">
        <f>G59+HWP!D60</f>
        <v>30.367907728008813</v>
      </c>
      <c r="H60" s="472">
        <f>H59+HWP!E60</f>
        <v>25.053523875607269</v>
      </c>
      <c r="I60" s="455"/>
      <c r="J60" s="474">
        <f>Garden!J67</f>
        <v>0</v>
      </c>
      <c r="K60" s="475">
        <f>Paper!J67</f>
        <v>0.18153321303025774</v>
      </c>
      <c r="L60" s="476">
        <f>Wood!J67</f>
        <v>0</v>
      </c>
      <c r="M60" s="477">
        <f>J60*(1-Recovery_OX!E60)*(1-Recovery_OX!F60)</f>
        <v>0</v>
      </c>
      <c r="N60" s="475">
        <f>K60*(1-Recovery_OX!E60)*(1-Recovery_OX!F60)</f>
        <v>0.18153321303025774</v>
      </c>
      <c r="O60" s="476">
        <f>L60*(1-Recovery_OX!E60)*(1-Recovery_OX!F60)</f>
        <v>0</v>
      </c>
    </row>
    <row r="61" spans="2:15">
      <c r="B61" s="469">
        <f t="shared" si="0"/>
        <v>1999</v>
      </c>
      <c r="C61" s="470">
        <f>Stored_C!E67</f>
        <v>0</v>
      </c>
      <c r="D61" s="471">
        <f>Stored_C!F67+Stored_C!L67</f>
        <v>0</v>
      </c>
      <c r="E61" s="472">
        <f>Stored_C!G67+Stored_C!M67</f>
        <v>0</v>
      </c>
      <c r="F61" s="473">
        <f>F60+HWP!C61</f>
        <v>0</v>
      </c>
      <c r="G61" s="471">
        <f>G60+HWP!D61</f>
        <v>30.367907728008813</v>
      </c>
      <c r="H61" s="472">
        <f>H60+HWP!E61</f>
        <v>25.053523875607269</v>
      </c>
      <c r="I61" s="455"/>
      <c r="J61" s="474">
        <f>Garden!J68</f>
        <v>0</v>
      </c>
      <c r="K61" s="475">
        <f>Paper!J68</f>
        <v>0.16926044593708228</v>
      </c>
      <c r="L61" s="476">
        <f>Wood!J68</f>
        <v>0</v>
      </c>
      <c r="M61" s="477">
        <f>J61*(1-Recovery_OX!E61)*(1-Recovery_OX!F61)</f>
        <v>0</v>
      </c>
      <c r="N61" s="475">
        <f>K61*(1-Recovery_OX!E61)*(1-Recovery_OX!F61)</f>
        <v>0.16926044593708228</v>
      </c>
      <c r="O61" s="476">
        <f>L61*(1-Recovery_OX!E61)*(1-Recovery_OX!F61)</f>
        <v>0</v>
      </c>
    </row>
    <row r="62" spans="2:15">
      <c r="B62" s="469">
        <f t="shared" si="0"/>
        <v>2000</v>
      </c>
      <c r="C62" s="470">
        <f>Stored_C!E68</f>
        <v>0</v>
      </c>
      <c r="D62" s="471">
        <f>Stored_C!F68+Stored_C!L68</f>
        <v>0</v>
      </c>
      <c r="E62" s="472">
        <f>Stored_C!G68+Stored_C!M68</f>
        <v>0</v>
      </c>
      <c r="F62" s="473">
        <f>F61+HWP!C62</f>
        <v>0</v>
      </c>
      <c r="G62" s="471">
        <f>G61+HWP!D62</f>
        <v>30.367907728008813</v>
      </c>
      <c r="H62" s="472">
        <f>H61+HWP!E62</f>
        <v>25.053523875607269</v>
      </c>
      <c r="I62" s="455"/>
      <c r="J62" s="474">
        <f>Garden!J69</f>
        <v>0</v>
      </c>
      <c r="K62" s="475">
        <f>Paper!J69</f>
        <v>0.15781739374626039</v>
      </c>
      <c r="L62" s="476">
        <f>Wood!J69</f>
        <v>0</v>
      </c>
      <c r="M62" s="477">
        <f>J62*(1-Recovery_OX!E62)*(1-Recovery_OX!F62)</f>
        <v>0</v>
      </c>
      <c r="N62" s="475">
        <f>K62*(1-Recovery_OX!E62)*(1-Recovery_OX!F62)</f>
        <v>0.15781739374626039</v>
      </c>
      <c r="O62" s="476">
        <f>L62*(1-Recovery_OX!E62)*(1-Recovery_OX!F62)</f>
        <v>0</v>
      </c>
    </row>
    <row r="63" spans="2:15">
      <c r="B63" s="469">
        <f t="shared" si="0"/>
        <v>2001</v>
      </c>
      <c r="C63" s="470">
        <f>Stored_C!E69</f>
        <v>0</v>
      </c>
      <c r="D63" s="471">
        <f>Stored_C!F69+Stored_C!L69</f>
        <v>0</v>
      </c>
      <c r="E63" s="472">
        <f>Stored_C!G69+Stored_C!M69</f>
        <v>0</v>
      </c>
      <c r="F63" s="473">
        <f>F62+HWP!C63</f>
        <v>0</v>
      </c>
      <c r="G63" s="471">
        <f>G62+HWP!D63</f>
        <v>30.367907728008813</v>
      </c>
      <c r="H63" s="472">
        <f>H62+HWP!E63</f>
        <v>25.053523875607269</v>
      </c>
      <c r="I63" s="455"/>
      <c r="J63" s="474">
        <f>Garden!J70</f>
        <v>0</v>
      </c>
      <c r="K63" s="475">
        <f>Paper!J70</f>
        <v>0.14714796260267682</v>
      </c>
      <c r="L63" s="476">
        <f>Wood!J70</f>
        <v>0</v>
      </c>
      <c r="M63" s="477">
        <f>J63*(1-Recovery_OX!E63)*(1-Recovery_OX!F63)</f>
        <v>0</v>
      </c>
      <c r="N63" s="475">
        <f>K63*(1-Recovery_OX!E63)*(1-Recovery_OX!F63)</f>
        <v>0.14714796260267682</v>
      </c>
      <c r="O63" s="476">
        <f>L63*(1-Recovery_OX!E63)*(1-Recovery_OX!F63)</f>
        <v>0</v>
      </c>
    </row>
    <row r="64" spans="2:15">
      <c r="B64" s="469">
        <f t="shared" si="0"/>
        <v>2002</v>
      </c>
      <c r="C64" s="470">
        <f>Stored_C!E70</f>
        <v>0</v>
      </c>
      <c r="D64" s="471">
        <f>Stored_C!F70+Stored_C!L70</f>
        <v>0</v>
      </c>
      <c r="E64" s="472">
        <f>Stored_C!G70+Stored_C!M70</f>
        <v>0</v>
      </c>
      <c r="F64" s="473">
        <f>F63+HWP!C64</f>
        <v>0</v>
      </c>
      <c r="G64" s="471">
        <f>G63+HWP!D64</f>
        <v>30.367907728008813</v>
      </c>
      <c r="H64" s="472">
        <f>H63+HWP!E64</f>
        <v>25.053523875607269</v>
      </c>
      <c r="I64" s="455"/>
      <c r="J64" s="474">
        <f>Garden!J71</f>
        <v>0</v>
      </c>
      <c r="K64" s="475">
        <f>Paper!J71</f>
        <v>0.13719985094248746</v>
      </c>
      <c r="L64" s="476">
        <f>Wood!J71</f>
        <v>0</v>
      </c>
      <c r="M64" s="477">
        <f>J64*(1-Recovery_OX!E64)*(1-Recovery_OX!F64)</f>
        <v>0</v>
      </c>
      <c r="N64" s="475">
        <f>K64*(1-Recovery_OX!E64)*(1-Recovery_OX!F64)</f>
        <v>0.13719985094248746</v>
      </c>
      <c r="O64" s="476">
        <f>L64*(1-Recovery_OX!E64)*(1-Recovery_OX!F64)</f>
        <v>0</v>
      </c>
    </row>
    <row r="65" spans="2:15">
      <c r="B65" s="469">
        <f t="shared" si="0"/>
        <v>2003</v>
      </c>
      <c r="C65" s="470">
        <f>Stored_C!E71</f>
        <v>0</v>
      </c>
      <c r="D65" s="471">
        <f>Stored_C!F71+Stored_C!L71</f>
        <v>0</v>
      </c>
      <c r="E65" s="472">
        <f>Stored_C!G71+Stored_C!M71</f>
        <v>0</v>
      </c>
      <c r="F65" s="473">
        <f>F64+HWP!C65</f>
        <v>0</v>
      </c>
      <c r="G65" s="471">
        <f>G64+HWP!D65</f>
        <v>30.367907728008813</v>
      </c>
      <c r="H65" s="472">
        <f>H64+HWP!E65</f>
        <v>25.053523875607269</v>
      </c>
      <c r="I65" s="455"/>
      <c r="J65" s="474">
        <f>Garden!J72</f>
        <v>0</v>
      </c>
      <c r="K65" s="475">
        <f>Paper!J72</f>
        <v>0.12792429311079259</v>
      </c>
      <c r="L65" s="476">
        <f>Wood!J72</f>
        <v>0</v>
      </c>
      <c r="M65" s="477">
        <f>J65*(1-Recovery_OX!E65)*(1-Recovery_OX!F65)</f>
        <v>0</v>
      </c>
      <c r="N65" s="475">
        <f>K65*(1-Recovery_OX!E65)*(1-Recovery_OX!F65)</f>
        <v>0.12792429311079259</v>
      </c>
      <c r="O65" s="476">
        <f>L65*(1-Recovery_OX!E65)*(1-Recovery_OX!F65)</f>
        <v>0</v>
      </c>
    </row>
    <row r="66" spans="2:15">
      <c r="B66" s="469">
        <f t="shared" si="0"/>
        <v>2004</v>
      </c>
      <c r="C66" s="470">
        <f>Stored_C!E72</f>
        <v>0</v>
      </c>
      <c r="D66" s="471">
        <f>Stored_C!F72+Stored_C!L72</f>
        <v>0</v>
      </c>
      <c r="E66" s="472">
        <f>Stored_C!G72+Stored_C!M72</f>
        <v>0</v>
      </c>
      <c r="F66" s="473">
        <f>F65+HWP!C66</f>
        <v>0</v>
      </c>
      <c r="G66" s="471">
        <f>G65+HWP!D66</f>
        <v>30.367907728008813</v>
      </c>
      <c r="H66" s="472">
        <f>H65+HWP!E66</f>
        <v>25.053523875607269</v>
      </c>
      <c r="I66" s="455"/>
      <c r="J66" s="474">
        <f>Garden!J73</f>
        <v>0</v>
      </c>
      <c r="K66" s="475">
        <f>Paper!J73</f>
        <v>0.11927582031234008</v>
      </c>
      <c r="L66" s="476">
        <f>Wood!J73</f>
        <v>0</v>
      </c>
      <c r="M66" s="477">
        <f>J66*(1-Recovery_OX!E66)*(1-Recovery_OX!F66)</f>
        <v>0</v>
      </c>
      <c r="N66" s="475">
        <f>K66*(1-Recovery_OX!E66)*(1-Recovery_OX!F66)</f>
        <v>0.11927582031234008</v>
      </c>
      <c r="O66" s="476">
        <f>L66*(1-Recovery_OX!E66)*(1-Recovery_OX!F66)</f>
        <v>0</v>
      </c>
    </row>
    <row r="67" spans="2:15">
      <c r="B67" s="469">
        <f t="shared" si="0"/>
        <v>2005</v>
      </c>
      <c r="C67" s="470">
        <f>Stored_C!E73</f>
        <v>0</v>
      </c>
      <c r="D67" s="471">
        <f>Stored_C!F73+Stored_C!L73</f>
        <v>0</v>
      </c>
      <c r="E67" s="472">
        <f>Stored_C!G73+Stored_C!M73</f>
        <v>0</v>
      </c>
      <c r="F67" s="473">
        <f>F66+HWP!C67</f>
        <v>0</v>
      </c>
      <c r="G67" s="471">
        <f>G66+HWP!D67</f>
        <v>30.367907728008813</v>
      </c>
      <c r="H67" s="472">
        <f>H66+HWP!E67</f>
        <v>25.053523875607269</v>
      </c>
      <c r="I67" s="455"/>
      <c r="J67" s="474">
        <f>Garden!J74</f>
        <v>0</v>
      </c>
      <c r="K67" s="475">
        <f>Paper!J74</f>
        <v>0.11121203772343827</v>
      </c>
      <c r="L67" s="476">
        <f>Wood!J74</f>
        <v>0</v>
      </c>
      <c r="M67" s="477">
        <f>J67*(1-Recovery_OX!E67)*(1-Recovery_OX!F67)</f>
        <v>0</v>
      </c>
      <c r="N67" s="475">
        <f>K67*(1-Recovery_OX!E67)*(1-Recovery_OX!F67)</f>
        <v>0.11121203772343827</v>
      </c>
      <c r="O67" s="476">
        <f>L67*(1-Recovery_OX!E67)*(1-Recovery_OX!F67)</f>
        <v>0</v>
      </c>
    </row>
    <row r="68" spans="2:15">
      <c r="B68" s="469">
        <f t="shared" si="0"/>
        <v>2006</v>
      </c>
      <c r="C68" s="470">
        <f>Stored_C!E74</f>
        <v>0</v>
      </c>
      <c r="D68" s="471">
        <f>Stored_C!F74+Stored_C!L74</f>
        <v>0</v>
      </c>
      <c r="E68" s="472">
        <f>Stored_C!G74+Stored_C!M74</f>
        <v>0</v>
      </c>
      <c r="F68" s="473">
        <f>F67+HWP!C68</f>
        <v>0</v>
      </c>
      <c r="G68" s="471">
        <f>G67+HWP!D68</f>
        <v>30.367907728008813</v>
      </c>
      <c r="H68" s="472">
        <f>H67+HWP!E68</f>
        <v>25.053523875607269</v>
      </c>
      <c r="I68" s="455"/>
      <c r="J68" s="474">
        <f>Garden!J75</f>
        <v>0</v>
      </c>
      <c r="K68" s="475">
        <f>Paper!J75</f>
        <v>0.10369341667248103</v>
      </c>
      <c r="L68" s="476">
        <f>Wood!J75</f>
        <v>0</v>
      </c>
      <c r="M68" s="477">
        <f>J68*(1-Recovery_OX!E68)*(1-Recovery_OX!F68)</f>
        <v>0</v>
      </c>
      <c r="N68" s="475">
        <f>K68*(1-Recovery_OX!E68)*(1-Recovery_OX!F68)</f>
        <v>0.10369341667248103</v>
      </c>
      <c r="O68" s="476">
        <f>L68*(1-Recovery_OX!E68)*(1-Recovery_OX!F68)</f>
        <v>0</v>
      </c>
    </row>
    <row r="69" spans="2:15">
      <c r="B69" s="469">
        <f t="shared" si="0"/>
        <v>2007</v>
      </c>
      <c r="C69" s="470">
        <f>Stored_C!E75</f>
        <v>0</v>
      </c>
      <c r="D69" s="471">
        <f>Stored_C!F75+Stored_C!L75</f>
        <v>0</v>
      </c>
      <c r="E69" s="472">
        <f>Stored_C!G75+Stored_C!M75</f>
        <v>0</v>
      </c>
      <c r="F69" s="473">
        <f>F68+HWP!C69</f>
        <v>0</v>
      </c>
      <c r="G69" s="471">
        <f>G68+HWP!D69</f>
        <v>30.367907728008813</v>
      </c>
      <c r="H69" s="472">
        <f>H68+HWP!E69</f>
        <v>25.053523875607269</v>
      </c>
      <c r="I69" s="455"/>
      <c r="J69" s="474">
        <f>Garden!J76</f>
        <v>0</v>
      </c>
      <c r="K69" s="475">
        <f>Paper!J76</f>
        <v>9.6683100870353728E-2</v>
      </c>
      <c r="L69" s="476">
        <f>Wood!J76</f>
        <v>0</v>
      </c>
      <c r="M69" s="477">
        <f>J69*(1-Recovery_OX!E69)*(1-Recovery_OX!F69)</f>
        <v>0</v>
      </c>
      <c r="N69" s="475">
        <f>K69*(1-Recovery_OX!E69)*(1-Recovery_OX!F69)</f>
        <v>9.6683100870353728E-2</v>
      </c>
      <c r="O69" s="476">
        <f>L69*(1-Recovery_OX!E69)*(1-Recovery_OX!F69)</f>
        <v>0</v>
      </c>
    </row>
    <row r="70" spans="2:15">
      <c r="B70" s="469">
        <f t="shared" si="0"/>
        <v>2008</v>
      </c>
      <c r="C70" s="470">
        <f>Stored_C!E76</f>
        <v>0</v>
      </c>
      <c r="D70" s="471">
        <f>Stored_C!F76+Stored_C!L76</f>
        <v>0</v>
      </c>
      <c r="E70" s="472">
        <f>Stored_C!G76+Stored_C!M76</f>
        <v>0</v>
      </c>
      <c r="F70" s="473">
        <f>F69+HWP!C70</f>
        <v>0</v>
      </c>
      <c r="G70" s="471">
        <f>G69+HWP!D70</f>
        <v>30.367907728008813</v>
      </c>
      <c r="H70" s="472">
        <f>H69+HWP!E70</f>
        <v>25.053523875607269</v>
      </c>
      <c r="I70" s="455"/>
      <c r="J70" s="474">
        <f>Garden!J77</f>
        <v>0</v>
      </c>
      <c r="K70" s="475">
        <f>Paper!J77</f>
        <v>9.014672574086123E-2</v>
      </c>
      <c r="L70" s="476">
        <f>Wood!J77</f>
        <v>0</v>
      </c>
      <c r="M70" s="477">
        <f>J70*(1-Recovery_OX!E70)*(1-Recovery_OX!F70)</f>
        <v>0</v>
      </c>
      <c r="N70" s="475">
        <f>K70*(1-Recovery_OX!E70)*(1-Recovery_OX!F70)</f>
        <v>9.014672574086123E-2</v>
      </c>
      <c r="O70" s="476">
        <f>L70*(1-Recovery_OX!E70)*(1-Recovery_OX!F70)</f>
        <v>0</v>
      </c>
    </row>
    <row r="71" spans="2:15">
      <c r="B71" s="469">
        <f t="shared" si="0"/>
        <v>2009</v>
      </c>
      <c r="C71" s="470">
        <f>Stored_C!E77</f>
        <v>0</v>
      </c>
      <c r="D71" s="471">
        <f>Stored_C!F77+Stored_C!L77</f>
        <v>0</v>
      </c>
      <c r="E71" s="472">
        <f>Stored_C!G77+Stored_C!M77</f>
        <v>0</v>
      </c>
      <c r="F71" s="473">
        <f>F70+HWP!C71</f>
        <v>0</v>
      </c>
      <c r="G71" s="471">
        <f>G70+HWP!D71</f>
        <v>30.367907728008813</v>
      </c>
      <c r="H71" s="472">
        <f>H70+HWP!E71</f>
        <v>25.053523875607269</v>
      </c>
      <c r="I71" s="455"/>
      <c r="J71" s="474">
        <f>Garden!J78</f>
        <v>0</v>
      </c>
      <c r="K71" s="475">
        <f>Paper!J78</f>
        <v>8.4052249965535467E-2</v>
      </c>
      <c r="L71" s="476">
        <f>Wood!J78</f>
        <v>0</v>
      </c>
      <c r="M71" s="477">
        <f>J71*(1-Recovery_OX!E71)*(1-Recovery_OX!F71)</f>
        <v>0</v>
      </c>
      <c r="N71" s="475">
        <f>K71*(1-Recovery_OX!E71)*(1-Recovery_OX!F71)</f>
        <v>8.4052249965535467E-2</v>
      </c>
      <c r="O71" s="476">
        <f>L71*(1-Recovery_OX!E71)*(1-Recovery_OX!F71)</f>
        <v>0</v>
      </c>
    </row>
    <row r="72" spans="2:15">
      <c r="B72" s="469">
        <f t="shared" si="0"/>
        <v>2010</v>
      </c>
      <c r="C72" s="470">
        <f>Stored_C!E78</f>
        <v>0</v>
      </c>
      <c r="D72" s="471">
        <f>Stored_C!F78+Stored_C!L78</f>
        <v>0</v>
      </c>
      <c r="E72" s="472">
        <f>Stored_C!G78+Stored_C!M78</f>
        <v>0</v>
      </c>
      <c r="F72" s="473">
        <f>F71+HWP!C72</f>
        <v>0</v>
      </c>
      <c r="G72" s="471">
        <f>G71+HWP!D72</f>
        <v>30.367907728008813</v>
      </c>
      <c r="H72" s="472">
        <f>H71+HWP!E72</f>
        <v>25.053523875607269</v>
      </c>
      <c r="I72" s="455"/>
      <c r="J72" s="474">
        <f>Garden!J79</f>
        <v>0</v>
      </c>
      <c r="K72" s="475">
        <f>Paper!J79</f>
        <v>7.8369798417055228E-2</v>
      </c>
      <c r="L72" s="476">
        <f>Wood!J79</f>
        <v>0</v>
      </c>
      <c r="M72" s="477">
        <f>J72*(1-Recovery_OX!E72)*(1-Recovery_OX!F72)</f>
        <v>0</v>
      </c>
      <c r="N72" s="475">
        <f>K72*(1-Recovery_OX!E72)*(1-Recovery_OX!F72)</f>
        <v>7.8369798417055228E-2</v>
      </c>
      <c r="O72" s="476">
        <f>L72*(1-Recovery_OX!E72)*(1-Recovery_OX!F72)</f>
        <v>0</v>
      </c>
    </row>
    <row r="73" spans="2:15">
      <c r="B73" s="469">
        <f t="shared" si="0"/>
        <v>2011</v>
      </c>
      <c r="C73" s="470">
        <f>Stored_C!E79</f>
        <v>0</v>
      </c>
      <c r="D73" s="471">
        <f>Stored_C!F79+Stored_C!L79</f>
        <v>0</v>
      </c>
      <c r="E73" s="472">
        <f>Stored_C!G79+Stored_C!M79</f>
        <v>0</v>
      </c>
      <c r="F73" s="473">
        <f>F72+HWP!C73</f>
        <v>0</v>
      </c>
      <c r="G73" s="471">
        <f>G72+HWP!D73</f>
        <v>30.367907728008813</v>
      </c>
      <c r="H73" s="472">
        <f>H72+HWP!E73</f>
        <v>25.053523875607269</v>
      </c>
      <c r="I73" s="455"/>
      <c r="J73" s="474">
        <f>Garden!J80</f>
        <v>0</v>
      </c>
      <c r="K73" s="475">
        <f>Paper!J80</f>
        <v>7.307151571133727E-2</v>
      </c>
      <c r="L73" s="476">
        <f>Wood!J80</f>
        <v>0</v>
      </c>
      <c r="M73" s="477">
        <f>J73*(1-Recovery_OX!E73)*(1-Recovery_OX!F73)</f>
        <v>0</v>
      </c>
      <c r="N73" s="475">
        <f>K73*(1-Recovery_OX!E73)*(1-Recovery_OX!F73)</f>
        <v>7.307151571133727E-2</v>
      </c>
      <c r="O73" s="476">
        <f>L73*(1-Recovery_OX!E73)*(1-Recovery_OX!F73)</f>
        <v>0</v>
      </c>
    </row>
    <row r="74" spans="2:15">
      <c r="B74" s="469">
        <f t="shared" si="0"/>
        <v>2012</v>
      </c>
      <c r="C74" s="470">
        <f>Stored_C!E80</f>
        <v>0</v>
      </c>
      <c r="D74" s="471">
        <f>Stored_C!F80+Stored_C!L80</f>
        <v>0</v>
      </c>
      <c r="E74" s="472">
        <f>Stored_C!G80+Stored_C!M80</f>
        <v>0</v>
      </c>
      <c r="F74" s="473">
        <f>F73+HWP!C74</f>
        <v>0</v>
      </c>
      <c r="G74" s="471">
        <f>G73+HWP!D74</f>
        <v>30.367907728008813</v>
      </c>
      <c r="H74" s="472">
        <f>H73+HWP!E74</f>
        <v>25.053523875607269</v>
      </c>
      <c r="I74" s="455"/>
      <c r="J74" s="474">
        <f>Garden!J81</f>
        <v>0</v>
      </c>
      <c r="K74" s="475">
        <f>Paper!J81</f>
        <v>6.8131429660411261E-2</v>
      </c>
      <c r="L74" s="476">
        <f>Wood!J81</f>
        <v>0</v>
      </c>
      <c r="M74" s="477">
        <f>J74*(1-Recovery_OX!E74)*(1-Recovery_OX!F74)</f>
        <v>0</v>
      </c>
      <c r="N74" s="475">
        <f>K74*(1-Recovery_OX!E74)*(1-Recovery_OX!F74)</f>
        <v>6.8131429660411261E-2</v>
      </c>
      <c r="O74" s="476">
        <f>L74*(1-Recovery_OX!E74)*(1-Recovery_OX!F74)</f>
        <v>0</v>
      </c>
    </row>
    <row r="75" spans="2:15">
      <c r="B75" s="469">
        <f t="shared" si="0"/>
        <v>2013</v>
      </c>
      <c r="C75" s="470">
        <f>Stored_C!E81</f>
        <v>0</v>
      </c>
      <c r="D75" s="471">
        <f>Stored_C!F81+Stored_C!L81</f>
        <v>0</v>
      </c>
      <c r="E75" s="472">
        <f>Stored_C!G81+Stored_C!M81</f>
        <v>0</v>
      </c>
      <c r="F75" s="473">
        <f>F74+HWP!C75</f>
        <v>0</v>
      </c>
      <c r="G75" s="471">
        <f>G74+HWP!D75</f>
        <v>30.367907728008813</v>
      </c>
      <c r="H75" s="472">
        <f>H74+HWP!E75</f>
        <v>25.053523875607269</v>
      </c>
      <c r="I75" s="455"/>
      <c r="J75" s="474">
        <f>Garden!J82</f>
        <v>0</v>
      </c>
      <c r="K75" s="475">
        <f>Paper!J82</f>
        <v>6.3525323956724278E-2</v>
      </c>
      <c r="L75" s="476">
        <f>Wood!J82</f>
        <v>0</v>
      </c>
      <c r="M75" s="477">
        <f>J75*(1-Recovery_OX!E75)*(1-Recovery_OX!F75)</f>
        <v>0</v>
      </c>
      <c r="N75" s="475">
        <f>K75*(1-Recovery_OX!E75)*(1-Recovery_OX!F75)</f>
        <v>6.3525323956724278E-2</v>
      </c>
      <c r="O75" s="476">
        <f>L75*(1-Recovery_OX!E75)*(1-Recovery_OX!F75)</f>
        <v>0</v>
      </c>
    </row>
    <row r="76" spans="2:15">
      <c r="B76" s="469">
        <f t="shared" si="0"/>
        <v>2014</v>
      </c>
      <c r="C76" s="470">
        <f>Stored_C!E82</f>
        <v>0</v>
      </c>
      <c r="D76" s="471">
        <f>Stored_C!F82+Stored_C!L82</f>
        <v>0</v>
      </c>
      <c r="E76" s="472">
        <f>Stored_C!G82+Stored_C!M82</f>
        <v>0</v>
      </c>
      <c r="F76" s="473">
        <f>F75+HWP!C76</f>
        <v>0</v>
      </c>
      <c r="G76" s="471">
        <f>G75+HWP!D76</f>
        <v>30.367907728008813</v>
      </c>
      <c r="H76" s="472">
        <f>H75+HWP!E76</f>
        <v>25.053523875607269</v>
      </c>
      <c r="I76" s="455"/>
      <c r="J76" s="474">
        <f>Garden!J83</f>
        <v>0</v>
      </c>
      <c r="K76" s="475">
        <f>Paper!J83</f>
        <v>5.9230619464773003E-2</v>
      </c>
      <c r="L76" s="476">
        <f>Wood!J83</f>
        <v>0</v>
      </c>
      <c r="M76" s="477">
        <f>J76*(1-Recovery_OX!E76)*(1-Recovery_OX!F76)</f>
        <v>0</v>
      </c>
      <c r="N76" s="475">
        <f>K76*(1-Recovery_OX!E76)*(1-Recovery_OX!F76)</f>
        <v>5.9230619464773003E-2</v>
      </c>
      <c r="O76" s="476">
        <f>L76*(1-Recovery_OX!E76)*(1-Recovery_OX!F76)</f>
        <v>0</v>
      </c>
    </row>
    <row r="77" spans="2:15">
      <c r="B77" s="469">
        <f t="shared" si="0"/>
        <v>2015</v>
      </c>
      <c r="C77" s="470">
        <f>Stored_C!E83</f>
        <v>0</v>
      </c>
      <c r="D77" s="471">
        <f>Stored_C!F83+Stored_C!L83</f>
        <v>0</v>
      </c>
      <c r="E77" s="472">
        <f>Stored_C!G83+Stored_C!M83</f>
        <v>0</v>
      </c>
      <c r="F77" s="473">
        <f>F76+HWP!C77</f>
        <v>0</v>
      </c>
      <c r="G77" s="471">
        <f>G76+HWP!D77</f>
        <v>30.367907728008813</v>
      </c>
      <c r="H77" s="472">
        <f>H76+HWP!E77</f>
        <v>25.053523875607269</v>
      </c>
      <c r="I77" s="455"/>
      <c r="J77" s="474">
        <f>Garden!J84</f>
        <v>0</v>
      </c>
      <c r="K77" s="475">
        <f>Paper!J84</f>
        <v>5.522626353815531E-2</v>
      </c>
      <c r="L77" s="476">
        <f>Wood!J84</f>
        <v>0</v>
      </c>
      <c r="M77" s="477">
        <f>J77*(1-Recovery_OX!E77)*(1-Recovery_OX!F77)</f>
        <v>0</v>
      </c>
      <c r="N77" s="475">
        <f>K77*(1-Recovery_OX!E77)*(1-Recovery_OX!F77)</f>
        <v>5.522626353815531E-2</v>
      </c>
      <c r="O77" s="476">
        <f>L77*(1-Recovery_OX!E77)*(1-Recovery_OX!F77)</f>
        <v>0</v>
      </c>
    </row>
    <row r="78" spans="2:15">
      <c r="B78" s="469">
        <f t="shared" ref="B78:B92" si="1">B77+1</f>
        <v>2016</v>
      </c>
      <c r="C78" s="470">
        <f>Stored_C!E84</f>
        <v>0</v>
      </c>
      <c r="D78" s="471">
        <f>Stored_C!F84+Stored_C!L84</f>
        <v>0</v>
      </c>
      <c r="E78" s="472">
        <f>Stored_C!G84+Stored_C!M84</f>
        <v>0</v>
      </c>
      <c r="F78" s="473">
        <f>F77+HWP!C78</f>
        <v>0</v>
      </c>
      <c r="G78" s="471">
        <f>G77+HWP!D78</f>
        <v>30.367907728008813</v>
      </c>
      <c r="H78" s="472">
        <f>H77+HWP!E78</f>
        <v>25.053523875607269</v>
      </c>
      <c r="I78" s="455"/>
      <c r="J78" s="474">
        <f>Garden!J85</f>
        <v>0</v>
      </c>
      <c r="K78" s="475">
        <f>Paper!J85</f>
        <v>5.1492626819473218E-2</v>
      </c>
      <c r="L78" s="476">
        <f>Wood!J85</f>
        <v>0</v>
      </c>
      <c r="M78" s="477">
        <f>J78*(1-Recovery_OX!E78)*(1-Recovery_OX!F78)</f>
        <v>0</v>
      </c>
      <c r="N78" s="475">
        <f>K78*(1-Recovery_OX!E78)*(1-Recovery_OX!F78)</f>
        <v>5.1492626819473218E-2</v>
      </c>
      <c r="O78" s="476">
        <f>L78*(1-Recovery_OX!E78)*(1-Recovery_OX!F78)</f>
        <v>0</v>
      </c>
    </row>
    <row r="79" spans="2:15">
      <c r="B79" s="469">
        <f t="shared" si="1"/>
        <v>2017</v>
      </c>
      <c r="C79" s="470">
        <f>Stored_C!E85</f>
        <v>0</v>
      </c>
      <c r="D79" s="471">
        <f>Stored_C!F85+Stored_C!L85</f>
        <v>0</v>
      </c>
      <c r="E79" s="472">
        <f>Stored_C!G85+Stored_C!M85</f>
        <v>0</v>
      </c>
      <c r="F79" s="473">
        <f>F78+HWP!C79</f>
        <v>0</v>
      </c>
      <c r="G79" s="471">
        <f>G78+HWP!D79</f>
        <v>30.367907728008813</v>
      </c>
      <c r="H79" s="472">
        <f>H78+HWP!E79</f>
        <v>25.053523875607269</v>
      </c>
      <c r="I79" s="455"/>
      <c r="J79" s="474">
        <f>Garden!J86</f>
        <v>0</v>
      </c>
      <c r="K79" s="475">
        <f>Paper!J86</f>
        <v>4.8011407017200115E-2</v>
      </c>
      <c r="L79" s="476">
        <f>Wood!J86</f>
        <v>0</v>
      </c>
      <c r="M79" s="477">
        <f>J79*(1-Recovery_OX!E79)*(1-Recovery_OX!F79)</f>
        <v>0</v>
      </c>
      <c r="N79" s="475">
        <f>K79*(1-Recovery_OX!E79)*(1-Recovery_OX!F79)</f>
        <v>4.8011407017200115E-2</v>
      </c>
      <c r="O79" s="476">
        <f>L79*(1-Recovery_OX!E79)*(1-Recovery_OX!F79)</f>
        <v>0</v>
      </c>
    </row>
    <row r="80" spans="2:15">
      <c r="B80" s="469">
        <f t="shared" si="1"/>
        <v>2018</v>
      </c>
      <c r="C80" s="470">
        <f>Stored_C!E86</f>
        <v>0</v>
      </c>
      <c r="D80" s="471">
        <f>Stored_C!F86+Stored_C!L86</f>
        <v>0</v>
      </c>
      <c r="E80" s="472">
        <f>Stored_C!G86+Stored_C!M86</f>
        <v>0</v>
      </c>
      <c r="F80" s="473">
        <f>F79+HWP!C80</f>
        <v>0</v>
      </c>
      <c r="G80" s="471">
        <f>G79+HWP!D80</f>
        <v>30.367907728008813</v>
      </c>
      <c r="H80" s="472">
        <f>H79+HWP!E80</f>
        <v>25.053523875607269</v>
      </c>
      <c r="I80" s="455"/>
      <c r="J80" s="474">
        <f>Garden!J87</f>
        <v>0</v>
      </c>
      <c r="K80" s="475">
        <f>Paper!J87</f>
        <v>4.476553918782647E-2</v>
      </c>
      <c r="L80" s="476">
        <f>Wood!J87</f>
        <v>0</v>
      </c>
      <c r="M80" s="477">
        <f>J80*(1-Recovery_OX!E80)*(1-Recovery_OX!F80)</f>
        <v>0</v>
      </c>
      <c r="N80" s="475">
        <f>K80*(1-Recovery_OX!E80)*(1-Recovery_OX!F80)</f>
        <v>4.476553918782647E-2</v>
      </c>
      <c r="O80" s="476">
        <f>L80*(1-Recovery_OX!E80)*(1-Recovery_OX!F80)</f>
        <v>0</v>
      </c>
    </row>
    <row r="81" spans="2:15">
      <c r="B81" s="469">
        <f t="shared" si="1"/>
        <v>2019</v>
      </c>
      <c r="C81" s="470">
        <f>Stored_C!E87</f>
        <v>0</v>
      </c>
      <c r="D81" s="471">
        <f>Stored_C!F87+Stored_C!L87</f>
        <v>0</v>
      </c>
      <c r="E81" s="472">
        <f>Stored_C!G87+Stored_C!M87</f>
        <v>0</v>
      </c>
      <c r="F81" s="473">
        <f>F80+HWP!C81</f>
        <v>0</v>
      </c>
      <c r="G81" s="471">
        <f>G80+HWP!D81</f>
        <v>30.367907728008813</v>
      </c>
      <c r="H81" s="472">
        <f>H80+HWP!E81</f>
        <v>25.053523875607269</v>
      </c>
      <c r="I81" s="455"/>
      <c r="J81" s="474">
        <f>Garden!J88</f>
        <v>0</v>
      </c>
      <c r="K81" s="475">
        <f>Paper!J88</f>
        <v>4.1739112083486948E-2</v>
      </c>
      <c r="L81" s="476">
        <f>Wood!J88</f>
        <v>0</v>
      </c>
      <c r="M81" s="477">
        <f>J81*(1-Recovery_OX!E81)*(1-Recovery_OX!F81)</f>
        <v>0</v>
      </c>
      <c r="N81" s="475">
        <f>K81*(1-Recovery_OX!E81)*(1-Recovery_OX!F81)</f>
        <v>4.1739112083486948E-2</v>
      </c>
      <c r="O81" s="476">
        <f>L81*(1-Recovery_OX!E81)*(1-Recovery_OX!F81)</f>
        <v>0</v>
      </c>
    </row>
    <row r="82" spans="2:15">
      <c r="B82" s="469">
        <f t="shared" si="1"/>
        <v>2020</v>
      </c>
      <c r="C82" s="470">
        <f>Stored_C!E88</f>
        <v>0</v>
      </c>
      <c r="D82" s="471">
        <f>Stored_C!F88+Stored_C!L88</f>
        <v>0</v>
      </c>
      <c r="E82" s="472">
        <f>Stored_C!G88+Stored_C!M88</f>
        <v>0</v>
      </c>
      <c r="F82" s="473">
        <f>F81+HWP!C82</f>
        <v>0</v>
      </c>
      <c r="G82" s="471">
        <f>G81+HWP!D82</f>
        <v>30.367907728008813</v>
      </c>
      <c r="H82" s="472">
        <f>H81+HWP!E82</f>
        <v>25.053523875607269</v>
      </c>
      <c r="I82" s="455"/>
      <c r="J82" s="474">
        <f>Garden!J89</f>
        <v>0</v>
      </c>
      <c r="K82" s="475">
        <f>Paper!J89</f>
        <v>3.8917290155004919E-2</v>
      </c>
      <c r="L82" s="476">
        <f>Wood!J89</f>
        <v>0</v>
      </c>
      <c r="M82" s="477">
        <f>J82*(1-Recovery_OX!E82)*(1-Recovery_OX!F82)</f>
        <v>0</v>
      </c>
      <c r="N82" s="475">
        <f>K82*(1-Recovery_OX!E82)*(1-Recovery_OX!F82)</f>
        <v>3.8917290155004919E-2</v>
      </c>
      <c r="O82" s="476">
        <f>L82*(1-Recovery_OX!E82)*(1-Recovery_OX!F82)</f>
        <v>0</v>
      </c>
    </row>
    <row r="83" spans="2:15">
      <c r="B83" s="469">
        <f t="shared" si="1"/>
        <v>2021</v>
      </c>
      <c r="C83" s="470">
        <f>Stored_C!E89</f>
        <v>0</v>
      </c>
      <c r="D83" s="471">
        <f>Stored_C!F89+Stored_C!L89</f>
        <v>0</v>
      </c>
      <c r="E83" s="472">
        <f>Stored_C!G89+Stored_C!M89</f>
        <v>0</v>
      </c>
      <c r="F83" s="473">
        <f>F82+HWP!C83</f>
        <v>0</v>
      </c>
      <c r="G83" s="471">
        <f>G82+HWP!D83</f>
        <v>30.367907728008813</v>
      </c>
      <c r="H83" s="472">
        <f>H82+HWP!E83</f>
        <v>25.053523875607269</v>
      </c>
      <c r="I83" s="455"/>
      <c r="J83" s="474">
        <f>Garden!J90</f>
        <v>0</v>
      </c>
      <c r="K83" s="475">
        <f>Paper!J90</f>
        <v>3.628624082801319E-2</v>
      </c>
      <c r="L83" s="476">
        <f>Wood!J90</f>
        <v>0</v>
      </c>
      <c r="M83" s="477">
        <f>J83*(1-Recovery_OX!E83)*(1-Recovery_OX!F83)</f>
        <v>0</v>
      </c>
      <c r="N83" s="475">
        <f>K83*(1-Recovery_OX!E83)*(1-Recovery_OX!F83)</f>
        <v>3.628624082801319E-2</v>
      </c>
      <c r="O83" s="476">
        <f>L83*(1-Recovery_OX!E83)*(1-Recovery_OX!F83)</f>
        <v>0</v>
      </c>
    </row>
    <row r="84" spans="2:15">
      <c r="B84" s="469">
        <f t="shared" si="1"/>
        <v>2022</v>
      </c>
      <c r="C84" s="470">
        <f>Stored_C!E90</f>
        <v>0</v>
      </c>
      <c r="D84" s="471">
        <f>Stored_C!F90+Stored_C!L90</f>
        <v>0</v>
      </c>
      <c r="E84" s="472">
        <f>Stored_C!G90+Stored_C!M90</f>
        <v>0</v>
      </c>
      <c r="F84" s="473">
        <f>F83+HWP!C84</f>
        <v>0</v>
      </c>
      <c r="G84" s="471">
        <f>G83+HWP!D84</f>
        <v>30.367907728008813</v>
      </c>
      <c r="H84" s="472">
        <f>H83+HWP!E84</f>
        <v>25.053523875607269</v>
      </c>
      <c r="I84" s="455"/>
      <c r="J84" s="474">
        <f>Garden!J91</f>
        <v>0</v>
      </c>
      <c r="K84" s="475">
        <f>Paper!J91</f>
        <v>3.3833066695658394E-2</v>
      </c>
      <c r="L84" s="476">
        <f>Wood!J91</f>
        <v>0</v>
      </c>
      <c r="M84" s="477">
        <f>J84*(1-Recovery_OX!E84)*(1-Recovery_OX!F84)</f>
        <v>0</v>
      </c>
      <c r="N84" s="475">
        <f>K84*(1-Recovery_OX!E84)*(1-Recovery_OX!F84)</f>
        <v>3.3833066695658394E-2</v>
      </c>
      <c r="O84" s="476">
        <f>L84*(1-Recovery_OX!E84)*(1-Recovery_OX!F84)</f>
        <v>0</v>
      </c>
    </row>
    <row r="85" spans="2:15">
      <c r="B85" s="469">
        <f t="shared" si="1"/>
        <v>2023</v>
      </c>
      <c r="C85" s="470">
        <f>Stored_C!E91</f>
        <v>0</v>
      </c>
      <c r="D85" s="471">
        <f>Stored_C!F91+Stored_C!L91</f>
        <v>0</v>
      </c>
      <c r="E85" s="472">
        <f>Stored_C!G91+Stored_C!M91</f>
        <v>0</v>
      </c>
      <c r="F85" s="473">
        <f>F84+HWP!C85</f>
        <v>0</v>
      </c>
      <c r="G85" s="471">
        <f>G84+HWP!D85</f>
        <v>30.367907728008813</v>
      </c>
      <c r="H85" s="472">
        <f>H84+HWP!E85</f>
        <v>25.053523875607269</v>
      </c>
      <c r="I85" s="455"/>
      <c r="J85" s="474">
        <f>Garden!J92</f>
        <v>0</v>
      </c>
      <c r="K85" s="475">
        <f>Paper!J92</f>
        <v>3.1545742295497656E-2</v>
      </c>
      <c r="L85" s="476">
        <f>Wood!J92</f>
        <v>0</v>
      </c>
      <c r="M85" s="477">
        <f>J85*(1-Recovery_OX!E85)*(1-Recovery_OX!F85)</f>
        <v>0</v>
      </c>
      <c r="N85" s="475">
        <f>K85*(1-Recovery_OX!E85)*(1-Recovery_OX!F85)</f>
        <v>3.1545742295497656E-2</v>
      </c>
      <c r="O85" s="476">
        <f>L85*(1-Recovery_OX!E85)*(1-Recovery_OX!F85)</f>
        <v>0</v>
      </c>
    </row>
    <row r="86" spans="2:15">
      <c r="B86" s="469">
        <f t="shared" si="1"/>
        <v>2024</v>
      </c>
      <c r="C86" s="470">
        <f>Stored_C!E92</f>
        <v>0</v>
      </c>
      <c r="D86" s="471">
        <f>Stored_C!F92+Stored_C!L92</f>
        <v>0</v>
      </c>
      <c r="E86" s="472">
        <f>Stored_C!G92+Stored_C!M92</f>
        <v>0</v>
      </c>
      <c r="F86" s="473">
        <f>F85+HWP!C86</f>
        <v>0</v>
      </c>
      <c r="G86" s="471">
        <f>G85+HWP!D86</f>
        <v>30.367907728008813</v>
      </c>
      <c r="H86" s="472">
        <f>H85+HWP!E86</f>
        <v>25.053523875607269</v>
      </c>
      <c r="I86" s="455"/>
      <c r="J86" s="474">
        <f>Garden!J93</f>
        <v>0</v>
      </c>
      <c r="K86" s="475">
        <f>Paper!J93</f>
        <v>2.9413055160667691E-2</v>
      </c>
      <c r="L86" s="476">
        <f>Wood!J93</f>
        <v>0</v>
      </c>
      <c r="M86" s="477">
        <f>J86*(1-Recovery_OX!E86)*(1-Recovery_OX!F86)</f>
        <v>0</v>
      </c>
      <c r="N86" s="475">
        <f>K86*(1-Recovery_OX!E86)*(1-Recovery_OX!F86)</f>
        <v>2.9413055160667691E-2</v>
      </c>
      <c r="O86" s="476">
        <f>L86*(1-Recovery_OX!E86)*(1-Recovery_OX!F86)</f>
        <v>0</v>
      </c>
    </row>
    <row r="87" spans="2:15">
      <c r="B87" s="469">
        <f t="shared" si="1"/>
        <v>2025</v>
      </c>
      <c r="C87" s="470">
        <f>Stored_C!E93</f>
        <v>0</v>
      </c>
      <c r="D87" s="471">
        <f>Stored_C!F93+Stored_C!L93</f>
        <v>0</v>
      </c>
      <c r="E87" s="472">
        <f>Stored_C!G93+Stored_C!M93</f>
        <v>0</v>
      </c>
      <c r="F87" s="473">
        <f>F86+HWP!C87</f>
        <v>0</v>
      </c>
      <c r="G87" s="471">
        <f>G86+HWP!D87</f>
        <v>30.367907728008813</v>
      </c>
      <c r="H87" s="472">
        <f>H86+HWP!E87</f>
        <v>25.053523875607269</v>
      </c>
      <c r="I87" s="455"/>
      <c r="J87" s="474">
        <f>Garden!J94</f>
        <v>0</v>
      </c>
      <c r="K87" s="475">
        <f>Paper!J94</f>
        <v>2.7424550856359316E-2</v>
      </c>
      <c r="L87" s="476">
        <f>Wood!J94</f>
        <v>0</v>
      </c>
      <c r="M87" s="477">
        <f>J87*(1-Recovery_OX!E87)*(1-Recovery_OX!F87)</f>
        <v>0</v>
      </c>
      <c r="N87" s="475">
        <f>K87*(1-Recovery_OX!E87)*(1-Recovery_OX!F87)</f>
        <v>2.7424550856359316E-2</v>
      </c>
      <c r="O87" s="476">
        <f>L87*(1-Recovery_OX!E87)*(1-Recovery_OX!F87)</f>
        <v>0</v>
      </c>
    </row>
    <row r="88" spans="2:15">
      <c r="B88" s="469">
        <f t="shared" si="1"/>
        <v>2026</v>
      </c>
      <c r="C88" s="470">
        <f>Stored_C!E94</f>
        <v>0</v>
      </c>
      <c r="D88" s="471">
        <f>Stored_C!F94+Stored_C!L94</f>
        <v>0</v>
      </c>
      <c r="E88" s="472">
        <f>Stored_C!G94+Stored_C!M94</f>
        <v>0</v>
      </c>
      <c r="F88" s="473">
        <f>F87+HWP!C88</f>
        <v>0</v>
      </c>
      <c r="G88" s="471">
        <f>G87+HWP!D88</f>
        <v>30.367907728008813</v>
      </c>
      <c r="H88" s="472">
        <f>H87+HWP!E88</f>
        <v>25.053523875607269</v>
      </c>
      <c r="I88" s="455"/>
      <c r="J88" s="474">
        <f>Garden!J95</f>
        <v>0</v>
      </c>
      <c r="K88" s="475">
        <f>Paper!J95</f>
        <v>2.557048173216581E-2</v>
      </c>
      <c r="L88" s="476">
        <f>Wood!J95</f>
        <v>0</v>
      </c>
      <c r="M88" s="477">
        <f>J88*(1-Recovery_OX!E88)*(1-Recovery_OX!F88)</f>
        <v>0</v>
      </c>
      <c r="N88" s="475">
        <f>K88*(1-Recovery_OX!E88)*(1-Recovery_OX!F88)</f>
        <v>2.557048173216581E-2</v>
      </c>
      <c r="O88" s="476">
        <f>L88*(1-Recovery_OX!E88)*(1-Recovery_OX!F88)</f>
        <v>0</v>
      </c>
    </row>
    <row r="89" spans="2:15">
      <c r="B89" s="469">
        <f t="shared" si="1"/>
        <v>2027</v>
      </c>
      <c r="C89" s="470">
        <f>Stored_C!E95</f>
        <v>0</v>
      </c>
      <c r="D89" s="471">
        <f>Stored_C!F95+Stored_C!L95</f>
        <v>0</v>
      </c>
      <c r="E89" s="472">
        <f>Stored_C!G95+Stored_C!M95</f>
        <v>0</v>
      </c>
      <c r="F89" s="473">
        <f>F88+HWP!C89</f>
        <v>0</v>
      </c>
      <c r="G89" s="471">
        <f>G88+HWP!D89</f>
        <v>30.367907728008813</v>
      </c>
      <c r="H89" s="472">
        <f>H88+HWP!E89</f>
        <v>25.053523875607269</v>
      </c>
      <c r="I89" s="455"/>
      <c r="J89" s="474">
        <f>Garden!J96</f>
        <v>0</v>
      </c>
      <c r="K89" s="475">
        <f>Paper!J96</f>
        <v>2.3841759139089348E-2</v>
      </c>
      <c r="L89" s="476">
        <f>Wood!J96</f>
        <v>0</v>
      </c>
      <c r="M89" s="477">
        <f>J89*(1-Recovery_OX!E89)*(1-Recovery_OX!F89)</f>
        <v>0</v>
      </c>
      <c r="N89" s="475">
        <f>K89*(1-Recovery_OX!E89)*(1-Recovery_OX!F89)</f>
        <v>2.3841759139089348E-2</v>
      </c>
      <c r="O89" s="476">
        <f>L89*(1-Recovery_OX!E89)*(1-Recovery_OX!F89)</f>
        <v>0</v>
      </c>
    </row>
    <row r="90" spans="2:15">
      <c r="B90" s="469">
        <f t="shared" si="1"/>
        <v>2028</v>
      </c>
      <c r="C90" s="470">
        <f>Stored_C!E96</f>
        <v>0</v>
      </c>
      <c r="D90" s="471">
        <f>Stored_C!F96+Stored_C!L96</f>
        <v>0</v>
      </c>
      <c r="E90" s="472">
        <f>Stored_C!G96+Stored_C!M96</f>
        <v>0</v>
      </c>
      <c r="F90" s="473">
        <f>F89+HWP!C90</f>
        <v>0</v>
      </c>
      <c r="G90" s="471">
        <f>G89+HWP!D90</f>
        <v>30.367907728008813</v>
      </c>
      <c r="H90" s="472">
        <f>H89+HWP!E90</f>
        <v>25.053523875607269</v>
      </c>
      <c r="I90" s="455"/>
      <c r="J90" s="474">
        <f>Garden!J97</f>
        <v>0</v>
      </c>
      <c r="K90" s="475">
        <f>Paper!J97</f>
        <v>2.2229908876973067E-2</v>
      </c>
      <c r="L90" s="476">
        <f>Wood!J97</f>
        <v>0</v>
      </c>
      <c r="M90" s="477">
        <f>J90*(1-Recovery_OX!E90)*(1-Recovery_OX!F90)</f>
        <v>0</v>
      </c>
      <c r="N90" s="475">
        <f>K90*(1-Recovery_OX!E90)*(1-Recovery_OX!F90)</f>
        <v>2.2229908876973067E-2</v>
      </c>
      <c r="O90" s="476">
        <f>L90*(1-Recovery_OX!E90)*(1-Recovery_OX!F90)</f>
        <v>0</v>
      </c>
    </row>
    <row r="91" spans="2:15">
      <c r="B91" s="469">
        <f t="shared" si="1"/>
        <v>2029</v>
      </c>
      <c r="C91" s="470">
        <f>Stored_C!E97</f>
        <v>0</v>
      </c>
      <c r="D91" s="471">
        <f>Stored_C!F97+Stored_C!L97</f>
        <v>0</v>
      </c>
      <c r="E91" s="472">
        <f>Stored_C!G97+Stored_C!M97</f>
        <v>0</v>
      </c>
      <c r="F91" s="473">
        <f>F90+HWP!C91</f>
        <v>0</v>
      </c>
      <c r="G91" s="471">
        <f>G90+HWP!D91</f>
        <v>30.367907728008813</v>
      </c>
      <c r="H91" s="472">
        <f>H90+HWP!E91</f>
        <v>25.053523875607269</v>
      </c>
      <c r="I91" s="455"/>
      <c r="J91" s="474">
        <f>Garden!J98</f>
        <v>0</v>
      </c>
      <c r="K91" s="475">
        <f>Paper!J98</f>
        <v>2.0727029653962066E-2</v>
      </c>
      <c r="L91" s="476">
        <f>Wood!J98</f>
        <v>0</v>
      </c>
      <c r="M91" s="477">
        <f>J91*(1-Recovery_OX!E91)*(1-Recovery_OX!F91)</f>
        <v>0</v>
      </c>
      <c r="N91" s="475">
        <f>K91*(1-Recovery_OX!E91)*(1-Recovery_OX!F91)</f>
        <v>2.0727029653962066E-2</v>
      </c>
      <c r="O91" s="476">
        <f>L91*(1-Recovery_OX!E91)*(1-Recovery_OX!F91)</f>
        <v>0</v>
      </c>
    </row>
    <row r="92" spans="2:15" ht="13.5" thickBot="1">
      <c r="B92" s="478">
        <f t="shared" si="1"/>
        <v>2030</v>
      </c>
      <c r="C92" s="479">
        <f>Stored_C!E98</f>
        <v>0</v>
      </c>
      <c r="D92" s="480">
        <f>Stored_C!F98+Stored_C!L98</f>
        <v>0</v>
      </c>
      <c r="E92" s="481">
        <f>Stored_C!G98+Stored_C!M98</f>
        <v>0</v>
      </c>
      <c r="F92" s="482">
        <f>F91+HWP!C92</f>
        <v>0</v>
      </c>
      <c r="G92" s="480">
        <f>G91+HWP!D92</f>
        <v>30.367907728008813</v>
      </c>
      <c r="H92" s="481">
        <f>H91+HWP!E92</f>
        <v>25.053523875607269</v>
      </c>
      <c r="I92" s="455"/>
      <c r="J92" s="483">
        <f>Garden!J99</f>
        <v>0</v>
      </c>
      <c r="K92" s="484">
        <f>Paper!J99</f>
        <v>1.9325754354361558E-2</v>
      </c>
      <c r="L92" s="485">
        <f>Wood!J99</f>
        <v>0</v>
      </c>
      <c r="M92" s="486">
        <f>J92*(1-Recovery_OX!E92)*(1-Recovery_OX!F92)</f>
        <v>0</v>
      </c>
      <c r="N92" s="484">
        <f>K92*(1-Recovery_OX!E92)*(1-Recovery_OX!F92)</f>
        <v>1.9325754354361558E-2</v>
      </c>
      <c r="O92" s="485">
        <f>L92*(1-Recovery_OX!E92)*(1-Recovery_OX!F92)</f>
        <v>0</v>
      </c>
    </row>
  </sheetData>
  <mergeCells count="4">
    <mergeCell ref="C8:E8"/>
    <mergeCell ref="F8:H8"/>
    <mergeCell ref="J8:L8"/>
    <mergeCell ref="M8:O8"/>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O98"/>
  <sheetViews>
    <sheetView showGridLines="0" workbookViewId="0">
      <selection activeCell="Q21" sqref="Q21"/>
    </sheetView>
  </sheetViews>
  <sheetFormatPr defaultColWidth="11.42578125" defaultRowHeight="12.75"/>
  <cols>
    <col min="1" max="1" width="4" style="6" customWidth="1"/>
    <col min="2" max="2" width="7.42578125" style="487" customWidth="1"/>
    <col min="3" max="3" width="8.85546875" style="432" customWidth="1"/>
    <col min="4" max="4" width="8.28515625" style="432" customWidth="1"/>
    <col min="5" max="5" width="9.85546875" style="432" customWidth="1"/>
    <col min="6" max="6" width="9.140625" style="432" customWidth="1"/>
    <col min="7" max="9" width="8.42578125" style="432" customWidth="1"/>
    <col min="10" max="10" width="8.140625" style="432" customWidth="1"/>
    <col min="11" max="11" width="9.140625" style="432" customWidth="1"/>
    <col min="12" max="13" width="8.85546875" style="6" customWidth="1"/>
    <col min="14" max="14" width="12.28515625" style="432" customWidth="1"/>
    <col min="15" max="15" width="13.85546875" style="6" customWidth="1"/>
    <col min="16" max="16384" width="11.42578125" style="6"/>
  </cols>
  <sheetData>
    <row r="1" spans="2:15" ht="13.5" thickBot="1"/>
    <row r="2" spans="2:15" ht="13.5" thickBot="1">
      <c r="C2" s="489" t="s">
        <v>265</v>
      </c>
      <c r="D2" s="953" t="str">
        <f>city</f>
        <v>Balikpapan</v>
      </c>
      <c r="E2" s="954"/>
      <c r="F2" s="955"/>
    </row>
    <row r="3" spans="2:15" ht="13.5" thickBot="1">
      <c r="C3" s="489" t="s">
        <v>276</v>
      </c>
      <c r="D3" s="953" t="str">
        <f>province</f>
        <v>Kalimantan Timur</v>
      </c>
      <c r="E3" s="954"/>
      <c r="F3" s="955"/>
    </row>
    <row r="4" spans="2:15" ht="13.5" thickBot="1">
      <c r="B4" s="488"/>
      <c r="C4" s="489" t="s">
        <v>30</v>
      </c>
      <c r="D4" s="953">
        <v>0</v>
      </c>
      <c r="E4" s="954"/>
      <c r="F4" s="955"/>
      <c r="H4" s="956"/>
      <c r="I4" s="956"/>
      <c r="J4" s="956"/>
      <c r="K4" s="956"/>
    </row>
    <row r="5" spans="2:15">
      <c r="B5" s="488"/>
      <c r="H5" s="957"/>
      <c r="I5" s="957"/>
      <c r="J5" s="957"/>
      <c r="K5" s="957"/>
    </row>
    <row r="6" spans="2:15" s="39" customFormat="1" ht="15.75">
      <c r="C6" s="490" t="s">
        <v>291</v>
      </c>
      <c r="D6" s="490"/>
      <c r="E6" s="490"/>
      <c r="F6" s="491"/>
      <c r="G6" s="491"/>
      <c r="H6" s="491"/>
      <c r="I6" s="491"/>
      <c r="J6" s="491"/>
      <c r="K6" s="491"/>
      <c r="N6" s="491"/>
    </row>
    <row r="7" spans="2:15">
      <c r="C7" s="492" t="s">
        <v>292</v>
      </c>
      <c r="D7" s="492"/>
      <c r="E7" s="492"/>
    </row>
    <row r="8" spans="2:15" ht="13.5" thickBot="1">
      <c r="B8" s="492"/>
    </row>
    <row r="9" spans="2:15" ht="13.5" thickBot="1">
      <c r="B9" s="492"/>
      <c r="C9" s="493" t="s">
        <v>293</v>
      </c>
      <c r="D9" s="492"/>
    </row>
    <row r="10" spans="2:15">
      <c r="B10" s="492"/>
      <c r="C10" s="494" t="s">
        <v>95</v>
      </c>
      <c r="D10" s="495">
        <f>Parameters!R26</f>
        <v>0</v>
      </c>
      <c r="E10" s="496" t="s">
        <v>6</v>
      </c>
      <c r="F10" s="495">
        <f>Parameters!R15</f>
        <v>0.15</v>
      </c>
      <c r="G10" s="497" t="s">
        <v>267</v>
      </c>
      <c r="H10" s="498">
        <f>Parameters!R21</f>
        <v>0.24</v>
      </c>
      <c r="I10" s="499"/>
      <c r="J10" s="499"/>
      <c r="K10" s="499"/>
      <c r="L10" s="500"/>
    </row>
    <row r="11" spans="2:15">
      <c r="B11" s="492"/>
      <c r="C11" s="501" t="s">
        <v>262</v>
      </c>
      <c r="D11" s="502">
        <f>Parameters!R16</f>
        <v>0.4</v>
      </c>
      <c r="E11" s="503" t="s">
        <v>261</v>
      </c>
      <c r="F11" s="502">
        <f>Parameters!R17</f>
        <v>0.2</v>
      </c>
      <c r="G11" s="504" t="s">
        <v>146</v>
      </c>
      <c r="H11" s="505">
        <f>Parameters!R27</f>
        <v>0.05</v>
      </c>
      <c r="I11" s="499"/>
      <c r="J11" s="499"/>
      <c r="K11" s="499"/>
      <c r="L11" s="500"/>
    </row>
    <row r="12" spans="2:15" ht="13.5" thickBot="1">
      <c r="B12" s="492"/>
      <c r="C12" s="506" t="s">
        <v>2</v>
      </c>
      <c r="D12" s="507">
        <f>Parameters!R20</f>
        <v>0.43</v>
      </c>
      <c r="E12" s="508" t="s">
        <v>16</v>
      </c>
      <c r="F12" s="507">
        <f>Parameters!R18</f>
        <v>0.24</v>
      </c>
      <c r="G12" s="508" t="s">
        <v>294</v>
      </c>
      <c r="H12" s="509">
        <f>Parameters!R28</f>
        <v>0.15</v>
      </c>
      <c r="I12" s="499"/>
      <c r="J12" s="499"/>
      <c r="K12" s="499"/>
      <c r="L12" s="257"/>
    </row>
    <row r="13" spans="2:15">
      <c r="B13" s="492"/>
    </row>
    <row r="14" spans="2:15" ht="13.5" thickBot="1">
      <c r="B14" s="510"/>
    </row>
    <row r="15" spans="2:15" s="517" customFormat="1" ht="39" thickBot="1">
      <c r="B15" s="511" t="s">
        <v>1</v>
      </c>
      <c r="C15" s="511" t="s">
        <v>95</v>
      </c>
      <c r="D15" s="438" t="s">
        <v>295</v>
      </c>
      <c r="E15" s="439" t="s">
        <v>261</v>
      </c>
      <c r="F15" s="439" t="s">
        <v>262</v>
      </c>
      <c r="G15" s="439" t="s">
        <v>2</v>
      </c>
      <c r="H15" s="439" t="s">
        <v>16</v>
      </c>
      <c r="I15" s="512" t="s">
        <v>267</v>
      </c>
      <c r="J15" s="513" t="s">
        <v>146</v>
      </c>
      <c r="K15" s="514" t="s">
        <v>296</v>
      </c>
      <c r="L15" s="439" t="s">
        <v>297</v>
      </c>
      <c r="M15" s="440" t="s">
        <v>298</v>
      </c>
      <c r="N15" s="515" t="s">
        <v>284</v>
      </c>
      <c r="O15" s="516" t="s">
        <v>299</v>
      </c>
    </row>
    <row r="16" spans="2:15" s="517" customFormat="1" ht="13.5" thickBot="1">
      <c r="B16" s="518"/>
      <c r="C16" s="33" t="s">
        <v>15</v>
      </c>
      <c r="D16" s="447" t="s">
        <v>15</v>
      </c>
      <c r="E16" s="445" t="s">
        <v>15</v>
      </c>
      <c r="F16" s="445" t="s">
        <v>15</v>
      </c>
      <c r="G16" s="445" t="s">
        <v>15</v>
      </c>
      <c r="H16" s="445" t="s">
        <v>15</v>
      </c>
      <c r="I16" s="519" t="s">
        <v>15</v>
      </c>
      <c r="J16" s="520" t="s">
        <v>15</v>
      </c>
      <c r="K16" s="521" t="s">
        <v>15</v>
      </c>
      <c r="L16" s="445" t="s">
        <v>15</v>
      </c>
      <c r="M16" s="446" t="s">
        <v>15</v>
      </c>
      <c r="N16" s="522" t="s">
        <v>15</v>
      </c>
      <c r="O16" s="446" t="s">
        <v>15</v>
      </c>
    </row>
    <row r="17" spans="2:15">
      <c r="B17" s="460"/>
      <c r="C17" s="523"/>
      <c r="D17" s="524"/>
      <c r="E17" s="525"/>
      <c r="F17" s="525"/>
      <c r="G17" s="525"/>
      <c r="H17" s="525"/>
      <c r="I17" s="526"/>
      <c r="J17" s="527"/>
      <c r="K17" s="528"/>
      <c r="L17" s="529"/>
      <c r="M17" s="530"/>
      <c r="N17" s="524"/>
      <c r="O17" s="531"/>
    </row>
    <row r="18" spans="2:15">
      <c r="B18" s="469">
        <v>1950</v>
      </c>
      <c r="C18" s="532">
        <v>0</v>
      </c>
      <c r="D18" s="533">
        <v>0.72457530273426374</v>
      </c>
      <c r="E18" s="534">
        <v>0</v>
      </c>
      <c r="F18" s="534">
        <v>0.57299748078295798</v>
      </c>
      <c r="G18" s="534">
        <v>0.47272292164594037</v>
      </c>
      <c r="H18" s="534">
        <v>7.1957823168092391E-2</v>
      </c>
      <c r="I18" s="535">
        <v>0</v>
      </c>
      <c r="J18" s="536">
        <v>0</v>
      </c>
      <c r="K18" s="537">
        <v>0</v>
      </c>
      <c r="L18" s="534">
        <v>0</v>
      </c>
      <c r="M18" s="535">
        <v>0</v>
      </c>
      <c r="N18" s="470">
        <v>1.8422535283312544</v>
      </c>
      <c r="O18" s="472">
        <f t="shared" ref="O18:O81" si="0">O17+N18</f>
        <v>1.8422535283312544</v>
      </c>
    </row>
    <row r="19" spans="2:15">
      <c r="B19" s="469">
        <f>B18+1</f>
        <v>1951</v>
      </c>
      <c r="C19" s="532">
        <v>0</v>
      </c>
      <c r="D19" s="533">
        <v>0.73385794813876859</v>
      </c>
      <c r="E19" s="534">
        <v>0</v>
      </c>
      <c r="F19" s="534">
        <v>0.58033823944766993</v>
      </c>
      <c r="G19" s="534">
        <v>0.47877904754432771</v>
      </c>
      <c r="H19" s="534">
        <v>7.287968588412598E-2</v>
      </c>
      <c r="I19" s="535">
        <v>0</v>
      </c>
      <c r="J19" s="536">
        <v>0</v>
      </c>
      <c r="K19" s="537">
        <v>0</v>
      </c>
      <c r="L19" s="534">
        <v>0</v>
      </c>
      <c r="M19" s="535">
        <v>0</v>
      </c>
      <c r="N19" s="470">
        <v>1.8658549210148923</v>
      </c>
      <c r="O19" s="472">
        <f t="shared" si="0"/>
        <v>3.7081084493461467</v>
      </c>
    </row>
    <row r="20" spans="2:15">
      <c r="B20" s="469">
        <f t="shared" ref="B20:B83" si="1">B19+1</f>
        <v>1952</v>
      </c>
      <c r="C20" s="532">
        <v>0</v>
      </c>
      <c r="D20" s="533">
        <v>0.75039466390638743</v>
      </c>
      <c r="E20" s="534">
        <v>0</v>
      </c>
      <c r="F20" s="534">
        <v>0.59341555030758009</v>
      </c>
      <c r="G20" s="534">
        <v>0.48956782900375351</v>
      </c>
      <c r="H20" s="534">
        <v>7.4521952829324001E-2</v>
      </c>
      <c r="I20" s="535">
        <v>0</v>
      </c>
      <c r="J20" s="536">
        <v>0</v>
      </c>
      <c r="K20" s="537">
        <v>0</v>
      </c>
      <c r="L20" s="534">
        <v>0</v>
      </c>
      <c r="M20" s="535">
        <v>0</v>
      </c>
      <c r="N20" s="470">
        <v>1.9078999960470449</v>
      </c>
      <c r="O20" s="472">
        <f t="shared" si="0"/>
        <v>5.6160084453931916</v>
      </c>
    </row>
    <row r="21" spans="2:15">
      <c r="B21" s="469">
        <f t="shared" si="1"/>
        <v>1953</v>
      </c>
      <c r="C21" s="532">
        <v>0</v>
      </c>
      <c r="D21" s="533">
        <v>0.76373267837959136</v>
      </c>
      <c r="E21" s="534">
        <v>0</v>
      </c>
      <c r="F21" s="534">
        <v>0.60396331347719401</v>
      </c>
      <c r="G21" s="534">
        <v>0.4982697336186851</v>
      </c>
      <c r="H21" s="534">
        <v>7.5846555645973202E-2</v>
      </c>
      <c r="I21" s="535">
        <v>0</v>
      </c>
      <c r="J21" s="536">
        <v>0</v>
      </c>
      <c r="K21" s="537">
        <v>0</v>
      </c>
      <c r="L21" s="534">
        <v>0</v>
      </c>
      <c r="M21" s="535">
        <v>0</v>
      </c>
      <c r="N21" s="470">
        <v>1.9418122811214436</v>
      </c>
      <c r="O21" s="472">
        <f t="shared" si="0"/>
        <v>7.5578207265146347</v>
      </c>
    </row>
    <row r="22" spans="2:15">
      <c r="B22" s="469">
        <f t="shared" si="1"/>
        <v>1954</v>
      </c>
      <c r="C22" s="532">
        <v>0</v>
      </c>
      <c r="D22" s="533">
        <v>0.76781832468771372</v>
      </c>
      <c r="E22" s="534">
        <v>0</v>
      </c>
      <c r="F22" s="534">
        <v>0.60719426136223797</v>
      </c>
      <c r="G22" s="534">
        <v>0.50093526562384638</v>
      </c>
      <c r="H22" s="534">
        <v>7.6252302589676413E-2</v>
      </c>
      <c r="I22" s="535">
        <v>0</v>
      </c>
      <c r="J22" s="536">
        <v>0</v>
      </c>
      <c r="K22" s="537">
        <v>0</v>
      </c>
      <c r="L22" s="534">
        <v>0</v>
      </c>
      <c r="M22" s="535">
        <v>0</v>
      </c>
      <c r="N22" s="470">
        <v>1.9522001542634744</v>
      </c>
      <c r="O22" s="472">
        <f t="shared" si="0"/>
        <v>9.510020880778109</v>
      </c>
    </row>
    <row r="23" spans="2:15">
      <c r="B23" s="469">
        <f t="shared" si="1"/>
        <v>1955</v>
      </c>
      <c r="C23" s="532">
        <v>0</v>
      </c>
      <c r="D23" s="533">
        <v>0.85048765541313742</v>
      </c>
      <c r="E23" s="534">
        <v>0</v>
      </c>
      <c r="F23" s="534">
        <v>0.67256954818878012</v>
      </c>
      <c r="G23" s="534">
        <v>0.55486987725574355</v>
      </c>
      <c r="H23" s="534">
        <v>8.4462222330683998E-2</v>
      </c>
      <c r="I23" s="535">
        <v>0</v>
      </c>
      <c r="J23" s="536">
        <v>0</v>
      </c>
      <c r="K23" s="537">
        <v>0</v>
      </c>
      <c r="L23" s="534">
        <v>0</v>
      </c>
      <c r="M23" s="535">
        <v>0</v>
      </c>
      <c r="N23" s="470">
        <v>2.1623893031883452</v>
      </c>
      <c r="O23" s="472">
        <f t="shared" si="0"/>
        <v>11.672410183966454</v>
      </c>
    </row>
    <row r="24" spans="2:15">
      <c r="B24" s="469">
        <f t="shared" si="1"/>
        <v>1956</v>
      </c>
      <c r="C24" s="532">
        <v>0</v>
      </c>
      <c r="D24" s="533">
        <v>0.86798255675781388</v>
      </c>
      <c r="E24" s="534">
        <v>0</v>
      </c>
      <c r="F24" s="534">
        <v>0.68640459660847819</v>
      </c>
      <c r="G24" s="534">
        <v>0.56628379220199443</v>
      </c>
      <c r="H24" s="534">
        <v>8.61996470159484E-2</v>
      </c>
      <c r="I24" s="535">
        <v>0</v>
      </c>
      <c r="J24" s="536">
        <v>0</v>
      </c>
      <c r="K24" s="537">
        <v>0</v>
      </c>
      <c r="L24" s="534">
        <v>0</v>
      </c>
      <c r="M24" s="535">
        <v>0</v>
      </c>
      <c r="N24" s="470">
        <v>2.2068705925842349</v>
      </c>
      <c r="O24" s="472">
        <f t="shared" si="0"/>
        <v>13.879280776550688</v>
      </c>
    </row>
    <row r="25" spans="2:15">
      <c r="B25" s="469">
        <f t="shared" si="1"/>
        <v>1957</v>
      </c>
      <c r="C25" s="532">
        <v>0</v>
      </c>
      <c r="D25" s="533">
        <v>0.88546320998982009</v>
      </c>
      <c r="E25" s="534">
        <v>0</v>
      </c>
      <c r="F25" s="534">
        <v>0.70022837755516809</v>
      </c>
      <c r="G25" s="534">
        <v>0.57768841148301364</v>
      </c>
      <c r="H25" s="534">
        <v>8.7935656716230409E-2</v>
      </c>
      <c r="I25" s="535">
        <v>0</v>
      </c>
      <c r="J25" s="536">
        <v>0</v>
      </c>
      <c r="K25" s="537">
        <v>0</v>
      </c>
      <c r="L25" s="534">
        <v>0</v>
      </c>
      <c r="M25" s="535">
        <v>0</v>
      </c>
      <c r="N25" s="470">
        <v>2.2513156557442322</v>
      </c>
      <c r="O25" s="472">
        <f t="shared" si="0"/>
        <v>16.130596432294922</v>
      </c>
    </row>
    <row r="26" spans="2:15">
      <c r="B26" s="469">
        <f t="shared" si="1"/>
        <v>1958</v>
      </c>
      <c r="C26" s="532">
        <v>0</v>
      </c>
      <c r="D26" s="533">
        <v>0.90282275426413117</v>
      </c>
      <c r="E26" s="534">
        <v>0</v>
      </c>
      <c r="F26" s="534">
        <v>0.7139563849812901</v>
      </c>
      <c r="G26" s="534">
        <v>0.58901401760956429</v>
      </c>
      <c r="H26" s="534">
        <v>8.9659639044162007E-2</v>
      </c>
      <c r="I26" s="535">
        <v>0</v>
      </c>
      <c r="J26" s="536">
        <v>0</v>
      </c>
      <c r="K26" s="537">
        <v>0</v>
      </c>
      <c r="L26" s="534">
        <v>0</v>
      </c>
      <c r="M26" s="535">
        <v>0</v>
      </c>
      <c r="N26" s="470">
        <v>2.2954527958991475</v>
      </c>
      <c r="O26" s="472">
        <f t="shared" si="0"/>
        <v>18.426049228194071</v>
      </c>
    </row>
    <row r="27" spans="2:15">
      <c r="B27" s="469">
        <f t="shared" si="1"/>
        <v>1959</v>
      </c>
      <c r="C27" s="532">
        <v>0</v>
      </c>
      <c r="D27" s="533">
        <v>0.91993295656671747</v>
      </c>
      <c r="E27" s="534">
        <v>0</v>
      </c>
      <c r="F27" s="534">
        <v>0.72748721162977215</v>
      </c>
      <c r="G27" s="534">
        <v>0.60017694959456191</v>
      </c>
      <c r="H27" s="534">
        <v>9.1358859134901604E-2</v>
      </c>
      <c r="I27" s="535">
        <v>0</v>
      </c>
      <c r="J27" s="536">
        <v>0</v>
      </c>
      <c r="K27" s="537">
        <v>0</v>
      </c>
      <c r="L27" s="534">
        <v>0</v>
      </c>
      <c r="M27" s="535">
        <v>0</v>
      </c>
      <c r="N27" s="470">
        <v>2.3389559769259529</v>
      </c>
      <c r="O27" s="472">
        <f t="shared" si="0"/>
        <v>20.765005205120023</v>
      </c>
    </row>
    <row r="28" spans="2:15">
      <c r="B28" s="469">
        <f t="shared" si="1"/>
        <v>1960</v>
      </c>
      <c r="C28" s="532">
        <v>0</v>
      </c>
      <c r="D28" s="533">
        <v>0.9930560518032413</v>
      </c>
      <c r="E28" s="534">
        <v>0</v>
      </c>
      <c r="F28" s="534">
        <v>0.78531329154095419</v>
      </c>
      <c r="G28" s="534">
        <v>0.64788346552128717</v>
      </c>
      <c r="H28" s="534">
        <v>9.8620738937701194E-2</v>
      </c>
      <c r="I28" s="535">
        <v>0</v>
      </c>
      <c r="J28" s="536">
        <v>0</v>
      </c>
      <c r="K28" s="537">
        <v>0</v>
      </c>
      <c r="L28" s="534">
        <v>0</v>
      </c>
      <c r="M28" s="535">
        <v>0</v>
      </c>
      <c r="N28" s="470">
        <v>2.5248735478031836</v>
      </c>
      <c r="O28" s="472">
        <f t="shared" si="0"/>
        <v>23.289878752923208</v>
      </c>
    </row>
    <row r="29" spans="2:15">
      <c r="B29" s="469">
        <f t="shared" si="1"/>
        <v>1961</v>
      </c>
      <c r="C29" s="532">
        <v>0</v>
      </c>
      <c r="D29" s="533">
        <v>1.01906776249641</v>
      </c>
      <c r="E29" s="534">
        <v>0</v>
      </c>
      <c r="F29" s="534">
        <v>0.80588347195118415</v>
      </c>
      <c r="G29" s="534">
        <v>0.66485386435972671</v>
      </c>
      <c r="H29" s="534">
        <v>0.10120397089619518</v>
      </c>
      <c r="I29" s="535">
        <v>0</v>
      </c>
      <c r="J29" s="536">
        <v>0</v>
      </c>
      <c r="K29" s="537">
        <v>0</v>
      </c>
      <c r="L29" s="534">
        <v>0</v>
      </c>
      <c r="M29" s="535">
        <v>0</v>
      </c>
      <c r="N29" s="470">
        <v>2.5910090697035164</v>
      </c>
      <c r="O29" s="472">
        <f t="shared" si="0"/>
        <v>25.880887822626725</v>
      </c>
    </row>
    <row r="30" spans="2:15">
      <c r="B30" s="469">
        <f t="shared" si="1"/>
        <v>1962</v>
      </c>
      <c r="C30" s="532">
        <v>0</v>
      </c>
      <c r="D30" s="533">
        <v>1.03881564665703</v>
      </c>
      <c r="E30" s="534">
        <v>0</v>
      </c>
      <c r="F30" s="534">
        <v>0.82150018954027204</v>
      </c>
      <c r="G30" s="534">
        <v>0.67773765637072447</v>
      </c>
      <c r="H30" s="534">
        <v>0.10316514008180158</v>
      </c>
      <c r="I30" s="535">
        <v>0</v>
      </c>
      <c r="J30" s="536">
        <v>0</v>
      </c>
      <c r="K30" s="537">
        <v>0</v>
      </c>
      <c r="L30" s="534">
        <v>0</v>
      </c>
      <c r="M30" s="535">
        <v>0</v>
      </c>
      <c r="N30" s="470">
        <v>2.6412186326498279</v>
      </c>
      <c r="O30" s="472">
        <f t="shared" si="0"/>
        <v>28.522106455276553</v>
      </c>
    </row>
    <row r="31" spans="2:15">
      <c r="B31" s="469">
        <f t="shared" si="1"/>
        <v>1963</v>
      </c>
      <c r="C31" s="532">
        <v>0</v>
      </c>
      <c r="D31" s="533">
        <v>1.0584958522824672</v>
      </c>
      <c r="E31" s="534">
        <v>0</v>
      </c>
      <c r="F31" s="534">
        <v>0.83706338663257196</v>
      </c>
      <c r="G31" s="534">
        <v>0.69057729397187184</v>
      </c>
      <c r="H31" s="534">
        <v>0.10511958808874157</v>
      </c>
      <c r="I31" s="535">
        <v>0</v>
      </c>
      <c r="J31" s="536">
        <v>0</v>
      </c>
      <c r="K31" s="537">
        <v>0</v>
      </c>
      <c r="L31" s="534">
        <v>0</v>
      </c>
      <c r="M31" s="535">
        <v>0</v>
      </c>
      <c r="N31" s="470">
        <v>2.6912561209756527</v>
      </c>
      <c r="O31" s="472">
        <f t="shared" si="0"/>
        <v>31.213362576252205</v>
      </c>
    </row>
    <row r="32" spans="2:15">
      <c r="B32" s="469">
        <f t="shared" si="1"/>
        <v>1964</v>
      </c>
      <c r="C32" s="532">
        <v>0</v>
      </c>
      <c r="D32" s="533">
        <v>1.0776844980207898</v>
      </c>
      <c r="E32" s="534">
        <v>0</v>
      </c>
      <c r="F32" s="534">
        <v>0.85223785590609602</v>
      </c>
      <c r="G32" s="534">
        <v>0.70309623112252917</v>
      </c>
      <c r="H32" s="534">
        <v>0.10702521911378877</v>
      </c>
      <c r="I32" s="535">
        <v>0</v>
      </c>
      <c r="J32" s="536">
        <v>0</v>
      </c>
      <c r="K32" s="537">
        <v>0</v>
      </c>
      <c r="L32" s="534">
        <v>0</v>
      </c>
      <c r="M32" s="535">
        <v>0</v>
      </c>
      <c r="N32" s="470">
        <v>2.7400438041632036</v>
      </c>
      <c r="O32" s="472">
        <f t="shared" si="0"/>
        <v>33.953406380415409</v>
      </c>
    </row>
    <row r="33" spans="2:15">
      <c r="B33" s="469">
        <f t="shared" si="1"/>
        <v>1965</v>
      </c>
      <c r="C33" s="532">
        <v>0</v>
      </c>
      <c r="D33" s="533">
        <v>1.0963459635903223</v>
      </c>
      <c r="E33" s="534">
        <v>0</v>
      </c>
      <c r="F33" s="534">
        <v>0.86699542867832402</v>
      </c>
      <c r="G33" s="534">
        <v>0.71527122865961723</v>
      </c>
      <c r="H33" s="534">
        <v>0.10887849569448718</v>
      </c>
      <c r="I33" s="535">
        <v>0</v>
      </c>
      <c r="J33" s="536">
        <v>0</v>
      </c>
      <c r="K33" s="537">
        <v>0</v>
      </c>
      <c r="L33" s="534">
        <v>0</v>
      </c>
      <c r="M33" s="535">
        <v>0</v>
      </c>
      <c r="N33" s="470">
        <v>2.7874911166227507</v>
      </c>
      <c r="O33" s="472">
        <f t="shared" si="0"/>
        <v>36.740897497038162</v>
      </c>
    </row>
    <row r="34" spans="2:15">
      <c r="B34" s="469">
        <f t="shared" si="1"/>
        <v>1966</v>
      </c>
      <c r="C34" s="532">
        <v>0</v>
      </c>
      <c r="D34" s="533">
        <v>1.1148578239768199</v>
      </c>
      <c r="E34" s="534">
        <v>0</v>
      </c>
      <c r="F34" s="534">
        <v>0.88163469298396802</v>
      </c>
      <c r="G34" s="534">
        <v>0.72734862171177361</v>
      </c>
      <c r="H34" s="534">
        <v>0.11071691493287038</v>
      </c>
      <c r="I34" s="535">
        <v>0</v>
      </c>
      <c r="J34" s="536">
        <v>0</v>
      </c>
      <c r="K34" s="537">
        <v>0</v>
      </c>
      <c r="L34" s="534">
        <v>0</v>
      </c>
      <c r="M34" s="535">
        <v>0</v>
      </c>
      <c r="N34" s="470">
        <v>2.834558053605432</v>
      </c>
      <c r="O34" s="472">
        <f t="shared" si="0"/>
        <v>39.575455550643596</v>
      </c>
    </row>
    <row r="35" spans="2:15">
      <c r="B35" s="469">
        <f t="shared" si="1"/>
        <v>1967</v>
      </c>
      <c r="C35" s="532">
        <v>0</v>
      </c>
      <c r="D35" s="533">
        <v>1.1871593721462845</v>
      </c>
      <c r="E35" s="534">
        <v>0</v>
      </c>
      <c r="F35" s="534">
        <v>0.93881108969729166</v>
      </c>
      <c r="G35" s="534">
        <v>0.77451914900026564</v>
      </c>
      <c r="H35" s="534">
        <v>0.11789720661314824</v>
      </c>
      <c r="I35" s="535">
        <v>0</v>
      </c>
      <c r="J35" s="536">
        <v>0</v>
      </c>
      <c r="K35" s="537">
        <v>0</v>
      </c>
      <c r="L35" s="534">
        <v>0</v>
      </c>
      <c r="M35" s="535">
        <v>0</v>
      </c>
      <c r="N35" s="470">
        <v>3.0183868174569901</v>
      </c>
      <c r="O35" s="472">
        <f t="shared" si="0"/>
        <v>42.593842368100589</v>
      </c>
    </row>
    <row r="36" spans="2:15">
      <c r="B36" s="469">
        <f t="shared" si="1"/>
        <v>1968</v>
      </c>
      <c r="C36" s="532">
        <v>0</v>
      </c>
      <c r="D36" s="533">
        <v>1.2457124221191895</v>
      </c>
      <c r="E36" s="534">
        <v>0</v>
      </c>
      <c r="F36" s="534">
        <v>0.98511511082529024</v>
      </c>
      <c r="G36" s="534">
        <v>0.81271996643086442</v>
      </c>
      <c r="H36" s="534">
        <v>0.12371213019666433</v>
      </c>
      <c r="I36" s="535">
        <v>0</v>
      </c>
      <c r="J36" s="536">
        <v>0</v>
      </c>
      <c r="K36" s="537">
        <v>0</v>
      </c>
      <c r="L36" s="534">
        <v>0</v>
      </c>
      <c r="M36" s="535">
        <v>0</v>
      </c>
      <c r="N36" s="470">
        <v>3.1672596295720084</v>
      </c>
      <c r="O36" s="472">
        <f t="shared" si="0"/>
        <v>45.761101997672597</v>
      </c>
    </row>
    <row r="37" spans="2:15">
      <c r="B37" s="469">
        <f t="shared" si="1"/>
        <v>1969</v>
      </c>
      <c r="C37" s="532">
        <v>0</v>
      </c>
      <c r="D37" s="533">
        <v>1.3064797272589743</v>
      </c>
      <c r="E37" s="534">
        <v>0</v>
      </c>
      <c r="F37" s="534">
        <v>1.0331701751197409</v>
      </c>
      <c r="G37" s="534">
        <v>0.85236539447378601</v>
      </c>
      <c r="H37" s="534">
        <v>0.12974695222433952</v>
      </c>
      <c r="I37" s="535">
        <v>0</v>
      </c>
      <c r="J37" s="536">
        <v>0</v>
      </c>
      <c r="K37" s="537">
        <v>0</v>
      </c>
      <c r="L37" s="534">
        <v>0</v>
      </c>
      <c r="M37" s="535">
        <v>0</v>
      </c>
      <c r="N37" s="470">
        <v>3.3217622490768406</v>
      </c>
      <c r="O37" s="472">
        <f t="shared" si="0"/>
        <v>49.082864246749438</v>
      </c>
    </row>
    <row r="38" spans="2:15">
      <c r="B38" s="469">
        <f t="shared" si="1"/>
        <v>1970</v>
      </c>
      <c r="C38" s="532">
        <v>0</v>
      </c>
      <c r="D38" s="533">
        <v>1.3695361404584059</v>
      </c>
      <c r="E38" s="534">
        <v>0</v>
      </c>
      <c r="F38" s="534">
        <v>1.0830354765923946</v>
      </c>
      <c r="G38" s="534">
        <v>0.89350426818872553</v>
      </c>
      <c r="H38" s="534">
        <v>0.13600910636276581</v>
      </c>
      <c r="I38" s="535">
        <v>0</v>
      </c>
      <c r="J38" s="536">
        <v>0</v>
      </c>
      <c r="K38" s="537">
        <v>0</v>
      </c>
      <c r="L38" s="534">
        <v>0</v>
      </c>
      <c r="M38" s="535">
        <v>0</v>
      </c>
      <c r="N38" s="470">
        <v>3.4820849916022918</v>
      </c>
      <c r="O38" s="472">
        <f t="shared" si="0"/>
        <v>52.56494923835173</v>
      </c>
    </row>
    <row r="39" spans="2:15">
      <c r="B39" s="469">
        <f t="shared" si="1"/>
        <v>1971</v>
      </c>
      <c r="C39" s="532">
        <v>0</v>
      </c>
      <c r="D39" s="533">
        <v>1.4349588922883576</v>
      </c>
      <c r="E39" s="534">
        <v>0</v>
      </c>
      <c r="F39" s="534">
        <v>1.1347720895337818</v>
      </c>
      <c r="G39" s="534">
        <v>0.93618697386536998</v>
      </c>
      <c r="H39" s="534">
        <v>0.14250626240656794</v>
      </c>
      <c r="I39" s="535">
        <v>0</v>
      </c>
      <c r="J39" s="536">
        <v>0</v>
      </c>
      <c r="K39" s="537">
        <v>0</v>
      </c>
      <c r="L39" s="534">
        <v>0</v>
      </c>
      <c r="M39" s="535">
        <v>0</v>
      </c>
      <c r="N39" s="470">
        <v>3.6484242180940774</v>
      </c>
      <c r="O39" s="472">
        <f t="shared" si="0"/>
        <v>56.213373456445808</v>
      </c>
    </row>
    <row r="40" spans="2:15">
      <c r="B40" s="469">
        <f t="shared" si="1"/>
        <v>1972</v>
      </c>
      <c r="C40" s="532">
        <v>0</v>
      </c>
      <c r="D40" s="533">
        <v>1.5028276635863038</v>
      </c>
      <c r="E40" s="534">
        <v>0</v>
      </c>
      <c r="F40" s="534">
        <v>1.1884430259165253</v>
      </c>
      <c r="G40" s="534">
        <v>0.98046549638113356</v>
      </c>
      <c r="H40" s="534">
        <v>0.14924633348719155</v>
      </c>
      <c r="I40" s="535">
        <v>0</v>
      </c>
      <c r="J40" s="536">
        <v>0</v>
      </c>
      <c r="K40" s="537">
        <v>0</v>
      </c>
      <c r="L40" s="534">
        <v>0</v>
      </c>
      <c r="M40" s="535">
        <v>0</v>
      </c>
      <c r="N40" s="470">
        <v>3.8209825193711544</v>
      </c>
      <c r="O40" s="472">
        <f t="shared" si="0"/>
        <v>60.034355975816965</v>
      </c>
    </row>
    <row r="41" spans="2:15">
      <c r="B41" s="469">
        <f t="shared" si="1"/>
        <v>1973</v>
      </c>
      <c r="C41" s="532">
        <v>0</v>
      </c>
      <c r="D41" s="533">
        <v>1.5732246602007351</v>
      </c>
      <c r="E41" s="534">
        <v>0</v>
      </c>
      <c r="F41" s="534">
        <v>1.24411329450357</v>
      </c>
      <c r="G41" s="534">
        <v>1.0263934679654452</v>
      </c>
      <c r="H41" s="534">
        <v>0.15623748349579711</v>
      </c>
      <c r="I41" s="535">
        <v>0</v>
      </c>
      <c r="J41" s="536">
        <v>0</v>
      </c>
      <c r="K41" s="537">
        <v>0</v>
      </c>
      <c r="L41" s="534">
        <v>0</v>
      </c>
      <c r="M41" s="535">
        <v>0</v>
      </c>
      <c r="N41" s="470">
        <v>3.9999689061655475</v>
      </c>
      <c r="O41" s="472">
        <f t="shared" si="0"/>
        <v>64.034324881982513</v>
      </c>
    </row>
    <row r="42" spans="2:15">
      <c r="B42" s="469">
        <f t="shared" si="1"/>
        <v>1974</v>
      </c>
      <c r="C42" s="532">
        <v>0</v>
      </c>
      <c r="D42" s="533">
        <v>1.646234689954255</v>
      </c>
      <c r="E42" s="534">
        <v>0</v>
      </c>
      <c r="F42" s="534">
        <v>1.3018499617109514</v>
      </c>
      <c r="G42" s="534">
        <v>1.0740262184115348</v>
      </c>
      <c r="H42" s="534">
        <v>0.16348813472649151</v>
      </c>
      <c r="I42" s="535">
        <v>0</v>
      </c>
      <c r="J42" s="536">
        <v>0</v>
      </c>
      <c r="K42" s="537">
        <v>0</v>
      </c>
      <c r="L42" s="534">
        <v>0</v>
      </c>
      <c r="M42" s="535">
        <v>0</v>
      </c>
      <c r="N42" s="470">
        <v>4.1855990048032323</v>
      </c>
      <c r="O42" s="472">
        <f t="shared" si="0"/>
        <v>68.21992388678575</v>
      </c>
    </row>
    <row r="43" spans="2:15">
      <c r="B43" s="469">
        <f t="shared" si="1"/>
        <v>1975</v>
      </c>
      <c r="C43" s="532">
        <v>0</v>
      </c>
      <c r="D43" s="533">
        <v>1.7219452418899088</v>
      </c>
      <c r="E43" s="534">
        <v>0</v>
      </c>
      <c r="F43" s="534">
        <v>1.361722214276158</v>
      </c>
      <c r="G43" s="534">
        <v>1.1234208267778303</v>
      </c>
      <c r="H43" s="534">
        <v>0.17100697574630819</v>
      </c>
      <c r="I43" s="535">
        <v>0</v>
      </c>
      <c r="J43" s="536">
        <v>0</v>
      </c>
      <c r="K43" s="537">
        <v>0</v>
      </c>
      <c r="L43" s="534">
        <v>0</v>
      </c>
      <c r="M43" s="535">
        <v>0</v>
      </c>
      <c r="N43" s="470">
        <v>4.3780952586902053</v>
      </c>
      <c r="O43" s="472">
        <f t="shared" si="0"/>
        <v>72.598019145475959</v>
      </c>
    </row>
    <row r="44" spans="2:15">
      <c r="B44" s="469">
        <f t="shared" si="1"/>
        <v>1976</v>
      </c>
      <c r="C44" s="532">
        <v>0</v>
      </c>
      <c r="D44" s="533">
        <v>1.8004465678671384</v>
      </c>
      <c r="E44" s="534">
        <v>0</v>
      </c>
      <c r="F44" s="534">
        <v>1.4238014237845877</v>
      </c>
      <c r="G44" s="534">
        <v>1.1746361746222849</v>
      </c>
      <c r="H44" s="534">
        <v>0.17880296949852958</v>
      </c>
      <c r="I44" s="535">
        <v>0</v>
      </c>
      <c r="J44" s="536">
        <v>0</v>
      </c>
      <c r="K44" s="537">
        <v>0</v>
      </c>
      <c r="L44" s="534">
        <v>0</v>
      </c>
      <c r="M44" s="535">
        <v>0</v>
      </c>
      <c r="N44" s="470">
        <v>4.5776871357725408</v>
      </c>
      <c r="O44" s="472">
        <f t="shared" si="0"/>
        <v>77.175706281248495</v>
      </c>
    </row>
    <row r="45" spans="2:15">
      <c r="B45" s="469">
        <f t="shared" si="1"/>
        <v>1977</v>
      </c>
      <c r="C45" s="532">
        <v>0</v>
      </c>
      <c r="D45" s="533">
        <v>1.8818317665756683</v>
      </c>
      <c r="E45" s="534">
        <v>0</v>
      </c>
      <c r="F45" s="534">
        <v>1.488161213108115</v>
      </c>
      <c r="G45" s="534">
        <v>1.2277330008141947</v>
      </c>
      <c r="H45" s="534">
        <v>0.18688536164613534</v>
      </c>
      <c r="I45" s="535">
        <v>0</v>
      </c>
      <c r="J45" s="536">
        <v>0</v>
      </c>
      <c r="K45" s="537">
        <v>0</v>
      </c>
      <c r="L45" s="534">
        <v>0</v>
      </c>
      <c r="M45" s="535">
        <v>0</v>
      </c>
      <c r="N45" s="470">
        <v>4.7846113421441139</v>
      </c>
      <c r="O45" s="472">
        <f t="shared" si="0"/>
        <v>81.960317623392612</v>
      </c>
    </row>
    <row r="46" spans="2:15">
      <c r="B46" s="469">
        <f t="shared" si="1"/>
        <v>1978</v>
      </c>
      <c r="C46" s="532">
        <v>0</v>
      </c>
      <c r="D46" s="533">
        <v>1.9661968700375774</v>
      </c>
      <c r="E46" s="534">
        <v>0</v>
      </c>
      <c r="F46" s="534">
        <v>1.5548775248113256</v>
      </c>
      <c r="G46" s="534">
        <v>1.2827739579693438</v>
      </c>
      <c r="H46" s="534">
        <v>0.19526368916235254</v>
      </c>
      <c r="I46" s="535">
        <v>0</v>
      </c>
      <c r="J46" s="536">
        <v>0</v>
      </c>
      <c r="K46" s="537">
        <v>0</v>
      </c>
      <c r="L46" s="534">
        <v>0</v>
      </c>
      <c r="M46" s="535">
        <v>0</v>
      </c>
      <c r="N46" s="470">
        <v>4.9991120419805997</v>
      </c>
      <c r="O46" s="472">
        <f t="shared" si="0"/>
        <v>86.959429665373207</v>
      </c>
    </row>
    <row r="47" spans="2:15">
      <c r="B47" s="469">
        <f t="shared" si="1"/>
        <v>1979</v>
      </c>
      <c r="C47" s="532">
        <v>0</v>
      </c>
      <c r="D47" s="533">
        <v>2.0536409326698277</v>
      </c>
      <c r="E47" s="534">
        <v>0</v>
      </c>
      <c r="F47" s="534">
        <v>1.6240286915825766</v>
      </c>
      <c r="G47" s="534">
        <v>1.3398236705556255</v>
      </c>
      <c r="H47" s="534">
        <v>0.20394778917548637</v>
      </c>
      <c r="I47" s="535">
        <v>0</v>
      </c>
      <c r="J47" s="536">
        <v>0</v>
      </c>
      <c r="K47" s="537">
        <v>0</v>
      </c>
      <c r="L47" s="534">
        <v>0</v>
      </c>
      <c r="M47" s="535">
        <v>0</v>
      </c>
      <c r="N47" s="470">
        <v>5.2214410839835157</v>
      </c>
      <c r="O47" s="472">
        <f t="shared" si="0"/>
        <v>92.180870749356728</v>
      </c>
    </row>
    <row r="48" spans="2:15">
      <c r="B48" s="469">
        <f t="shared" si="1"/>
        <v>1980</v>
      </c>
      <c r="C48" s="532">
        <v>0</v>
      </c>
      <c r="D48" s="533">
        <v>2.1456920709675003</v>
      </c>
      <c r="E48" s="534">
        <v>0</v>
      </c>
      <c r="F48" s="534">
        <v>1.6968231549720005</v>
      </c>
      <c r="G48" s="534">
        <v>1.3998791028519002</v>
      </c>
      <c r="H48" s="534">
        <v>0.21308941946160001</v>
      </c>
      <c r="I48" s="535">
        <v>0</v>
      </c>
      <c r="J48" s="536">
        <v>0</v>
      </c>
      <c r="K48" s="537">
        <v>0</v>
      </c>
      <c r="L48" s="534">
        <v>0</v>
      </c>
      <c r="M48" s="535">
        <v>0</v>
      </c>
      <c r="N48" s="470">
        <v>5.4554837482530001</v>
      </c>
      <c r="O48" s="472">
        <f t="shared" si="0"/>
        <v>97.63635449760973</v>
      </c>
    </row>
    <row r="49" spans="2:15">
      <c r="B49" s="469">
        <f t="shared" si="1"/>
        <v>1981</v>
      </c>
      <c r="C49" s="532">
        <v>0</v>
      </c>
      <c r="D49" s="533">
        <v>0</v>
      </c>
      <c r="E49" s="534">
        <v>0</v>
      </c>
      <c r="F49" s="534">
        <v>0</v>
      </c>
      <c r="G49" s="534">
        <v>0</v>
      </c>
      <c r="H49" s="534">
        <v>0</v>
      </c>
      <c r="I49" s="535">
        <v>0</v>
      </c>
      <c r="J49" s="536">
        <v>0</v>
      </c>
      <c r="K49" s="537">
        <v>0</v>
      </c>
      <c r="L49" s="534">
        <v>0</v>
      </c>
      <c r="M49" s="535">
        <v>0</v>
      </c>
      <c r="N49" s="470">
        <v>0</v>
      </c>
      <c r="O49" s="472">
        <f t="shared" si="0"/>
        <v>97.63635449760973</v>
      </c>
    </row>
    <row r="50" spans="2:15">
      <c r="B50" s="469">
        <f t="shared" si="1"/>
        <v>1982</v>
      </c>
      <c r="C50" s="532">
        <v>0</v>
      </c>
      <c r="D50" s="533">
        <v>0</v>
      </c>
      <c r="E50" s="534">
        <v>0</v>
      </c>
      <c r="F50" s="534">
        <v>0</v>
      </c>
      <c r="G50" s="534">
        <v>0</v>
      </c>
      <c r="H50" s="534">
        <v>0</v>
      </c>
      <c r="I50" s="535">
        <v>0</v>
      </c>
      <c r="J50" s="536">
        <v>0</v>
      </c>
      <c r="K50" s="537">
        <v>0</v>
      </c>
      <c r="L50" s="534">
        <v>0</v>
      </c>
      <c r="M50" s="535">
        <v>0</v>
      </c>
      <c r="N50" s="470">
        <v>0</v>
      </c>
      <c r="O50" s="472">
        <f t="shared" si="0"/>
        <v>97.63635449760973</v>
      </c>
    </row>
    <row r="51" spans="2:15">
      <c r="B51" s="469">
        <f t="shared" si="1"/>
        <v>1983</v>
      </c>
      <c r="C51" s="532">
        <v>0</v>
      </c>
      <c r="D51" s="533">
        <v>0</v>
      </c>
      <c r="E51" s="534">
        <v>0</v>
      </c>
      <c r="F51" s="534">
        <v>0</v>
      </c>
      <c r="G51" s="534">
        <v>0</v>
      </c>
      <c r="H51" s="534">
        <v>0</v>
      </c>
      <c r="I51" s="535">
        <v>0</v>
      </c>
      <c r="J51" s="536">
        <v>0</v>
      </c>
      <c r="K51" s="537">
        <v>0</v>
      </c>
      <c r="L51" s="534">
        <v>0</v>
      </c>
      <c r="M51" s="535">
        <v>0</v>
      </c>
      <c r="N51" s="470">
        <v>0</v>
      </c>
      <c r="O51" s="472">
        <f t="shared" si="0"/>
        <v>97.63635449760973</v>
      </c>
    </row>
    <row r="52" spans="2:15">
      <c r="B52" s="469">
        <f t="shared" si="1"/>
        <v>1984</v>
      </c>
      <c r="C52" s="532">
        <v>0</v>
      </c>
      <c r="D52" s="533">
        <v>0</v>
      </c>
      <c r="E52" s="534">
        <v>0</v>
      </c>
      <c r="F52" s="534">
        <v>0</v>
      </c>
      <c r="G52" s="534">
        <v>0</v>
      </c>
      <c r="H52" s="534">
        <v>0</v>
      </c>
      <c r="I52" s="535">
        <v>0</v>
      </c>
      <c r="J52" s="536">
        <v>0</v>
      </c>
      <c r="K52" s="537">
        <v>0</v>
      </c>
      <c r="L52" s="534">
        <v>0</v>
      </c>
      <c r="M52" s="535">
        <v>0</v>
      </c>
      <c r="N52" s="470">
        <v>0</v>
      </c>
      <c r="O52" s="472">
        <f t="shared" si="0"/>
        <v>97.63635449760973</v>
      </c>
    </row>
    <row r="53" spans="2:15">
      <c r="B53" s="469">
        <f t="shared" si="1"/>
        <v>1985</v>
      </c>
      <c r="C53" s="532">
        <v>0</v>
      </c>
      <c r="D53" s="533">
        <v>0</v>
      </c>
      <c r="E53" s="534">
        <v>0</v>
      </c>
      <c r="F53" s="534">
        <v>0</v>
      </c>
      <c r="G53" s="534">
        <v>0</v>
      </c>
      <c r="H53" s="534">
        <v>0</v>
      </c>
      <c r="I53" s="535">
        <v>0</v>
      </c>
      <c r="J53" s="536">
        <v>0</v>
      </c>
      <c r="K53" s="537">
        <v>0</v>
      </c>
      <c r="L53" s="534">
        <v>0</v>
      </c>
      <c r="M53" s="535">
        <v>0</v>
      </c>
      <c r="N53" s="470">
        <v>0</v>
      </c>
      <c r="O53" s="472">
        <f t="shared" si="0"/>
        <v>97.63635449760973</v>
      </c>
    </row>
    <row r="54" spans="2:15">
      <c r="B54" s="469">
        <f t="shared" si="1"/>
        <v>1986</v>
      </c>
      <c r="C54" s="532">
        <v>0</v>
      </c>
      <c r="D54" s="533">
        <v>0</v>
      </c>
      <c r="E54" s="534">
        <v>0</v>
      </c>
      <c r="F54" s="534">
        <v>0</v>
      </c>
      <c r="G54" s="534">
        <v>0</v>
      </c>
      <c r="H54" s="534">
        <v>0</v>
      </c>
      <c r="I54" s="535">
        <v>0</v>
      </c>
      <c r="J54" s="536">
        <v>0</v>
      </c>
      <c r="K54" s="537">
        <v>0</v>
      </c>
      <c r="L54" s="534">
        <v>0</v>
      </c>
      <c r="M54" s="535">
        <v>0</v>
      </c>
      <c r="N54" s="470">
        <v>0</v>
      </c>
      <c r="O54" s="472">
        <f t="shared" si="0"/>
        <v>97.63635449760973</v>
      </c>
    </row>
    <row r="55" spans="2:15">
      <c r="B55" s="469">
        <f t="shared" si="1"/>
        <v>1987</v>
      </c>
      <c r="C55" s="532">
        <v>0</v>
      </c>
      <c r="D55" s="533">
        <v>0</v>
      </c>
      <c r="E55" s="534">
        <v>0</v>
      </c>
      <c r="F55" s="534">
        <v>0</v>
      </c>
      <c r="G55" s="534">
        <v>0</v>
      </c>
      <c r="H55" s="534">
        <v>0</v>
      </c>
      <c r="I55" s="535">
        <v>0</v>
      </c>
      <c r="J55" s="536">
        <v>0</v>
      </c>
      <c r="K55" s="537">
        <v>0</v>
      </c>
      <c r="L55" s="534">
        <v>0</v>
      </c>
      <c r="M55" s="535">
        <v>0</v>
      </c>
      <c r="N55" s="470">
        <v>0</v>
      </c>
      <c r="O55" s="472">
        <f t="shared" si="0"/>
        <v>97.63635449760973</v>
      </c>
    </row>
    <row r="56" spans="2:15">
      <c r="B56" s="469">
        <f t="shared" si="1"/>
        <v>1988</v>
      </c>
      <c r="C56" s="532">
        <v>0</v>
      </c>
      <c r="D56" s="533">
        <v>0</v>
      </c>
      <c r="E56" s="534">
        <v>0</v>
      </c>
      <c r="F56" s="534">
        <v>0</v>
      </c>
      <c r="G56" s="534">
        <v>0</v>
      </c>
      <c r="H56" s="534">
        <v>0</v>
      </c>
      <c r="I56" s="535">
        <v>0</v>
      </c>
      <c r="J56" s="536">
        <v>0</v>
      </c>
      <c r="K56" s="537">
        <v>0</v>
      </c>
      <c r="L56" s="534">
        <v>0</v>
      </c>
      <c r="M56" s="535">
        <v>0</v>
      </c>
      <c r="N56" s="470">
        <v>0</v>
      </c>
      <c r="O56" s="472">
        <f t="shared" si="0"/>
        <v>97.63635449760973</v>
      </c>
    </row>
    <row r="57" spans="2:15">
      <c r="B57" s="469">
        <f t="shared" si="1"/>
        <v>1989</v>
      </c>
      <c r="C57" s="532">
        <v>0</v>
      </c>
      <c r="D57" s="533">
        <v>0</v>
      </c>
      <c r="E57" s="534">
        <v>0</v>
      </c>
      <c r="F57" s="534">
        <v>0</v>
      </c>
      <c r="G57" s="534">
        <v>0</v>
      </c>
      <c r="H57" s="534">
        <v>0</v>
      </c>
      <c r="I57" s="535">
        <v>0</v>
      </c>
      <c r="J57" s="536">
        <v>0</v>
      </c>
      <c r="K57" s="537">
        <v>0</v>
      </c>
      <c r="L57" s="534">
        <v>0</v>
      </c>
      <c r="M57" s="535">
        <v>0</v>
      </c>
      <c r="N57" s="470">
        <v>0</v>
      </c>
      <c r="O57" s="472">
        <f t="shared" si="0"/>
        <v>97.63635449760973</v>
      </c>
    </row>
    <row r="58" spans="2:15">
      <c r="B58" s="469">
        <f t="shared" si="1"/>
        <v>1990</v>
      </c>
      <c r="C58" s="532">
        <v>0</v>
      </c>
      <c r="D58" s="533">
        <v>0</v>
      </c>
      <c r="E58" s="534">
        <v>0</v>
      </c>
      <c r="F58" s="534">
        <v>0</v>
      </c>
      <c r="G58" s="534">
        <v>0</v>
      </c>
      <c r="H58" s="534">
        <v>0</v>
      </c>
      <c r="I58" s="535">
        <v>0</v>
      </c>
      <c r="J58" s="536">
        <v>0</v>
      </c>
      <c r="K58" s="537">
        <v>0</v>
      </c>
      <c r="L58" s="534">
        <v>0</v>
      </c>
      <c r="M58" s="535">
        <v>0</v>
      </c>
      <c r="N58" s="470">
        <v>0</v>
      </c>
      <c r="O58" s="472">
        <f t="shared" si="0"/>
        <v>97.63635449760973</v>
      </c>
    </row>
    <row r="59" spans="2:15">
      <c r="B59" s="469">
        <f t="shared" si="1"/>
        <v>1991</v>
      </c>
      <c r="C59" s="532">
        <v>0</v>
      </c>
      <c r="D59" s="533">
        <v>0</v>
      </c>
      <c r="E59" s="534">
        <v>0</v>
      </c>
      <c r="F59" s="534">
        <v>0</v>
      </c>
      <c r="G59" s="534">
        <v>0</v>
      </c>
      <c r="H59" s="534">
        <v>0</v>
      </c>
      <c r="I59" s="535">
        <v>0</v>
      </c>
      <c r="J59" s="536">
        <v>0</v>
      </c>
      <c r="K59" s="537">
        <v>0</v>
      </c>
      <c r="L59" s="534">
        <v>0</v>
      </c>
      <c r="M59" s="535">
        <v>0</v>
      </c>
      <c r="N59" s="470">
        <v>0</v>
      </c>
      <c r="O59" s="472">
        <f t="shared" si="0"/>
        <v>97.63635449760973</v>
      </c>
    </row>
    <row r="60" spans="2:15">
      <c r="B60" s="469">
        <f t="shared" si="1"/>
        <v>1992</v>
      </c>
      <c r="C60" s="532">
        <v>0</v>
      </c>
      <c r="D60" s="533">
        <v>0</v>
      </c>
      <c r="E60" s="534">
        <v>0</v>
      </c>
      <c r="F60" s="534">
        <v>0</v>
      </c>
      <c r="G60" s="534">
        <v>0</v>
      </c>
      <c r="H60" s="534">
        <v>0</v>
      </c>
      <c r="I60" s="535">
        <v>0</v>
      </c>
      <c r="J60" s="536">
        <v>0</v>
      </c>
      <c r="K60" s="537">
        <v>0</v>
      </c>
      <c r="L60" s="534">
        <v>0</v>
      </c>
      <c r="M60" s="535">
        <v>0</v>
      </c>
      <c r="N60" s="470">
        <v>0</v>
      </c>
      <c r="O60" s="472">
        <f t="shared" si="0"/>
        <v>97.63635449760973</v>
      </c>
    </row>
    <row r="61" spans="2:15">
      <c r="B61" s="469">
        <f t="shared" si="1"/>
        <v>1993</v>
      </c>
      <c r="C61" s="532">
        <v>0</v>
      </c>
      <c r="D61" s="533">
        <v>0</v>
      </c>
      <c r="E61" s="534">
        <v>0</v>
      </c>
      <c r="F61" s="534">
        <v>0</v>
      </c>
      <c r="G61" s="534">
        <v>0</v>
      </c>
      <c r="H61" s="534">
        <v>0</v>
      </c>
      <c r="I61" s="535">
        <v>0</v>
      </c>
      <c r="J61" s="536">
        <v>0</v>
      </c>
      <c r="K61" s="537">
        <v>0</v>
      </c>
      <c r="L61" s="534">
        <v>0</v>
      </c>
      <c r="M61" s="535">
        <v>0</v>
      </c>
      <c r="N61" s="470">
        <v>0</v>
      </c>
      <c r="O61" s="472">
        <f t="shared" si="0"/>
        <v>97.63635449760973</v>
      </c>
    </row>
    <row r="62" spans="2:15">
      <c r="B62" s="469">
        <f t="shared" si="1"/>
        <v>1994</v>
      </c>
      <c r="C62" s="532">
        <v>0</v>
      </c>
      <c r="D62" s="533">
        <v>0</v>
      </c>
      <c r="E62" s="534">
        <v>0</v>
      </c>
      <c r="F62" s="534">
        <v>0</v>
      </c>
      <c r="G62" s="534">
        <v>0</v>
      </c>
      <c r="H62" s="534">
        <v>0</v>
      </c>
      <c r="I62" s="535">
        <v>0</v>
      </c>
      <c r="J62" s="536">
        <v>0</v>
      </c>
      <c r="K62" s="537">
        <v>0</v>
      </c>
      <c r="L62" s="534">
        <v>0</v>
      </c>
      <c r="M62" s="535">
        <v>0</v>
      </c>
      <c r="N62" s="470">
        <v>0</v>
      </c>
      <c r="O62" s="472">
        <f t="shared" si="0"/>
        <v>97.63635449760973</v>
      </c>
    </row>
    <row r="63" spans="2:15">
      <c r="B63" s="469">
        <f t="shared" si="1"/>
        <v>1995</v>
      </c>
      <c r="C63" s="532">
        <v>0</v>
      </c>
      <c r="D63" s="533">
        <v>0</v>
      </c>
      <c r="E63" s="534">
        <v>0</v>
      </c>
      <c r="F63" s="534">
        <v>0</v>
      </c>
      <c r="G63" s="534">
        <v>0</v>
      </c>
      <c r="H63" s="534">
        <v>0</v>
      </c>
      <c r="I63" s="535">
        <v>0</v>
      </c>
      <c r="J63" s="536">
        <v>0</v>
      </c>
      <c r="K63" s="537">
        <v>0</v>
      </c>
      <c r="L63" s="534">
        <v>0</v>
      </c>
      <c r="M63" s="535">
        <v>0</v>
      </c>
      <c r="N63" s="470">
        <v>0</v>
      </c>
      <c r="O63" s="472">
        <f t="shared" si="0"/>
        <v>97.63635449760973</v>
      </c>
    </row>
    <row r="64" spans="2:15">
      <c r="B64" s="469">
        <f t="shared" si="1"/>
        <v>1996</v>
      </c>
      <c r="C64" s="532">
        <v>0</v>
      </c>
      <c r="D64" s="533">
        <v>0</v>
      </c>
      <c r="E64" s="534">
        <v>0</v>
      </c>
      <c r="F64" s="534">
        <v>0</v>
      </c>
      <c r="G64" s="534">
        <v>0</v>
      </c>
      <c r="H64" s="534">
        <v>0</v>
      </c>
      <c r="I64" s="535">
        <v>0</v>
      </c>
      <c r="J64" s="536">
        <v>0</v>
      </c>
      <c r="K64" s="537">
        <v>0</v>
      </c>
      <c r="L64" s="534">
        <v>0</v>
      </c>
      <c r="M64" s="535">
        <v>0</v>
      </c>
      <c r="N64" s="470">
        <v>0</v>
      </c>
      <c r="O64" s="472">
        <f t="shared" si="0"/>
        <v>97.63635449760973</v>
      </c>
    </row>
    <row r="65" spans="2:15">
      <c r="B65" s="469">
        <f t="shared" si="1"/>
        <v>1997</v>
      </c>
      <c r="C65" s="532">
        <v>0</v>
      </c>
      <c r="D65" s="533">
        <v>0</v>
      </c>
      <c r="E65" s="534">
        <v>0</v>
      </c>
      <c r="F65" s="534">
        <v>0</v>
      </c>
      <c r="G65" s="534">
        <v>0</v>
      </c>
      <c r="H65" s="534">
        <v>0</v>
      </c>
      <c r="I65" s="535">
        <v>0</v>
      </c>
      <c r="J65" s="536">
        <v>0</v>
      </c>
      <c r="K65" s="537">
        <v>0</v>
      </c>
      <c r="L65" s="534">
        <v>0</v>
      </c>
      <c r="M65" s="535">
        <v>0</v>
      </c>
      <c r="N65" s="470">
        <v>0</v>
      </c>
      <c r="O65" s="472">
        <f t="shared" si="0"/>
        <v>97.63635449760973</v>
      </c>
    </row>
    <row r="66" spans="2:15">
      <c r="B66" s="469">
        <f t="shared" si="1"/>
        <v>1998</v>
      </c>
      <c r="C66" s="532">
        <v>0</v>
      </c>
      <c r="D66" s="533">
        <v>0</v>
      </c>
      <c r="E66" s="534">
        <v>0</v>
      </c>
      <c r="F66" s="534">
        <v>0</v>
      </c>
      <c r="G66" s="534">
        <v>0</v>
      </c>
      <c r="H66" s="534">
        <v>0</v>
      </c>
      <c r="I66" s="535">
        <v>0</v>
      </c>
      <c r="J66" s="536">
        <v>0</v>
      </c>
      <c r="K66" s="537">
        <v>0</v>
      </c>
      <c r="L66" s="534">
        <v>0</v>
      </c>
      <c r="M66" s="535">
        <v>0</v>
      </c>
      <c r="N66" s="470">
        <v>0</v>
      </c>
      <c r="O66" s="472">
        <f t="shared" si="0"/>
        <v>97.63635449760973</v>
      </c>
    </row>
    <row r="67" spans="2:15">
      <c r="B67" s="469">
        <f t="shared" si="1"/>
        <v>1999</v>
      </c>
      <c r="C67" s="532">
        <v>0</v>
      </c>
      <c r="D67" s="533">
        <v>0</v>
      </c>
      <c r="E67" s="534">
        <v>0</v>
      </c>
      <c r="F67" s="534">
        <v>0</v>
      </c>
      <c r="G67" s="534">
        <v>0</v>
      </c>
      <c r="H67" s="534">
        <v>0</v>
      </c>
      <c r="I67" s="535">
        <v>0</v>
      </c>
      <c r="J67" s="536">
        <v>0</v>
      </c>
      <c r="K67" s="537">
        <v>0</v>
      </c>
      <c r="L67" s="534">
        <v>0</v>
      </c>
      <c r="M67" s="535">
        <v>0</v>
      </c>
      <c r="N67" s="470">
        <v>0</v>
      </c>
      <c r="O67" s="472">
        <f t="shared" si="0"/>
        <v>97.63635449760973</v>
      </c>
    </row>
    <row r="68" spans="2:15">
      <c r="B68" s="469">
        <f t="shared" si="1"/>
        <v>2000</v>
      </c>
      <c r="C68" s="532">
        <v>0</v>
      </c>
      <c r="D68" s="533">
        <v>0</v>
      </c>
      <c r="E68" s="534">
        <v>0</v>
      </c>
      <c r="F68" s="534">
        <v>0</v>
      </c>
      <c r="G68" s="534">
        <v>0</v>
      </c>
      <c r="H68" s="534">
        <v>0</v>
      </c>
      <c r="I68" s="535">
        <v>0</v>
      </c>
      <c r="J68" s="536">
        <v>0</v>
      </c>
      <c r="K68" s="537">
        <v>0</v>
      </c>
      <c r="L68" s="534">
        <v>0</v>
      </c>
      <c r="M68" s="535">
        <v>0</v>
      </c>
      <c r="N68" s="470">
        <v>0</v>
      </c>
      <c r="O68" s="472">
        <f t="shared" si="0"/>
        <v>97.63635449760973</v>
      </c>
    </row>
    <row r="69" spans="2:15">
      <c r="B69" s="469">
        <f t="shared" si="1"/>
        <v>2001</v>
      </c>
      <c r="C69" s="532">
        <v>0</v>
      </c>
      <c r="D69" s="533">
        <v>0</v>
      </c>
      <c r="E69" s="534">
        <v>0</v>
      </c>
      <c r="F69" s="534">
        <v>0</v>
      </c>
      <c r="G69" s="534">
        <v>0</v>
      </c>
      <c r="H69" s="534">
        <v>0</v>
      </c>
      <c r="I69" s="535">
        <v>0</v>
      </c>
      <c r="J69" s="536">
        <v>0</v>
      </c>
      <c r="K69" s="537">
        <v>0</v>
      </c>
      <c r="L69" s="534">
        <v>0</v>
      </c>
      <c r="M69" s="535">
        <v>0</v>
      </c>
      <c r="N69" s="470">
        <v>0</v>
      </c>
      <c r="O69" s="472">
        <f t="shared" si="0"/>
        <v>97.63635449760973</v>
      </c>
    </row>
    <row r="70" spans="2:15">
      <c r="B70" s="469">
        <f t="shared" si="1"/>
        <v>2002</v>
      </c>
      <c r="C70" s="532">
        <v>0</v>
      </c>
      <c r="D70" s="533">
        <v>0</v>
      </c>
      <c r="E70" s="534">
        <v>0</v>
      </c>
      <c r="F70" s="534">
        <v>0</v>
      </c>
      <c r="G70" s="534">
        <v>0</v>
      </c>
      <c r="H70" s="534">
        <v>0</v>
      </c>
      <c r="I70" s="535">
        <v>0</v>
      </c>
      <c r="J70" s="536">
        <v>0</v>
      </c>
      <c r="K70" s="537">
        <v>0</v>
      </c>
      <c r="L70" s="534">
        <v>0</v>
      </c>
      <c r="M70" s="535">
        <v>0</v>
      </c>
      <c r="N70" s="470">
        <v>0</v>
      </c>
      <c r="O70" s="472">
        <f t="shared" si="0"/>
        <v>97.63635449760973</v>
      </c>
    </row>
    <row r="71" spans="2:15">
      <c r="B71" s="469">
        <f t="shared" si="1"/>
        <v>2003</v>
      </c>
      <c r="C71" s="532">
        <v>0</v>
      </c>
      <c r="D71" s="533">
        <v>0</v>
      </c>
      <c r="E71" s="534">
        <v>0</v>
      </c>
      <c r="F71" s="534">
        <v>0</v>
      </c>
      <c r="G71" s="534">
        <v>0</v>
      </c>
      <c r="H71" s="534">
        <v>0</v>
      </c>
      <c r="I71" s="535">
        <v>0</v>
      </c>
      <c r="J71" s="536">
        <v>0</v>
      </c>
      <c r="K71" s="537">
        <v>0</v>
      </c>
      <c r="L71" s="534">
        <v>0</v>
      </c>
      <c r="M71" s="535">
        <v>0</v>
      </c>
      <c r="N71" s="470">
        <v>0</v>
      </c>
      <c r="O71" s="472">
        <f t="shared" si="0"/>
        <v>97.63635449760973</v>
      </c>
    </row>
    <row r="72" spans="2:15">
      <c r="B72" s="469">
        <f t="shared" si="1"/>
        <v>2004</v>
      </c>
      <c r="C72" s="532">
        <v>0</v>
      </c>
      <c r="D72" s="533">
        <v>0</v>
      </c>
      <c r="E72" s="534">
        <v>0</v>
      </c>
      <c r="F72" s="534">
        <v>0</v>
      </c>
      <c r="G72" s="534">
        <v>0</v>
      </c>
      <c r="H72" s="534">
        <v>0</v>
      </c>
      <c r="I72" s="535">
        <v>0</v>
      </c>
      <c r="J72" s="536">
        <v>0</v>
      </c>
      <c r="K72" s="537">
        <v>0</v>
      </c>
      <c r="L72" s="534">
        <v>0</v>
      </c>
      <c r="M72" s="535">
        <v>0</v>
      </c>
      <c r="N72" s="470">
        <v>0</v>
      </c>
      <c r="O72" s="472">
        <f t="shared" si="0"/>
        <v>97.63635449760973</v>
      </c>
    </row>
    <row r="73" spans="2:15">
      <c r="B73" s="469">
        <f t="shared" si="1"/>
        <v>2005</v>
      </c>
      <c r="C73" s="532">
        <v>0</v>
      </c>
      <c r="D73" s="533">
        <v>0</v>
      </c>
      <c r="E73" s="534">
        <v>0</v>
      </c>
      <c r="F73" s="534">
        <v>0</v>
      </c>
      <c r="G73" s="534">
        <v>0</v>
      </c>
      <c r="H73" s="534">
        <v>0</v>
      </c>
      <c r="I73" s="535">
        <v>0</v>
      </c>
      <c r="J73" s="536">
        <v>0</v>
      </c>
      <c r="K73" s="537">
        <v>0</v>
      </c>
      <c r="L73" s="534">
        <v>0</v>
      </c>
      <c r="M73" s="535">
        <v>0</v>
      </c>
      <c r="N73" s="470">
        <v>0</v>
      </c>
      <c r="O73" s="472">
        <f t="shared" si="0"/>
        <v>97.63635449760973</v>
      </c>
    </row>
    <row r="74" spans="2:15">
      <c r="B74" s="469">
        <f t="shared" si="1"/>
        <v>2006</v>
      </c>
      <c r="C74" s="532">
        <v>0</v>
      </c>
      <c r="D74" s="533">
        <v>0</v>
      </c>
      <c r="E74" s="534">
        <v>0</v>
      </c>
      <c r="F74" s="534">
        <v>0</v>
      </c>
      <c r="G74" s="534">
        <v>0</v>
      </c>
      <c r="H74" s="534">
        <v>0</v>
      </c>
      <c r="I74" s="535">
        <v>0</v>
      </c>
      <c r="J74" s="536">
        <v>0</v>
      </c>
      <c r="K74" s="537">
        <v>0</v>
      </c>
      <c r="L74" s="534">
        <v>0</v>
      </c>
      <c r="M74" s="535">
        <v>0</v>
      </c>
      <c r="N74" s="470">
        <v>0</v>
      </c>
      <c r="O74" s="472">
        <f t="shared" si="0"/>
        <v>97.63635449760973</v>
      </c>
    </row>
    <row r="75" spans="2:15">
      <c r="B75" s="469">
        <f t="shared" si="1"/>
        <v>2007</v>
      </c>
      <c r="C75" s="532">
        <v>0</v>
      </c>
      <c r="D75" s="533">
        <v>0</v>
      </c>
      <c r="E75" s="534">
        <v>0</v>
      </c>
      <c r="F75" s="534">
        <v>0</v>
      </c>
      <c r="G75" s="534">
        <v>0</v>
      </c>
      <c r="H75" s="534">
        <v>0</v>
      </c>
      <c r="I75" s="535">
        <v>0</v>
      </c>
      <c r="J75" s="536">
        <v>0</v>
      </c>
      <c r="K75" s="537">
        <v>0</v>
      </c>
      <c r="L75" s="534">
        <v>0</v>
      </c>
      <c r="M75" s="535">
        <v>0</v>
      </c>
      <c r="N75" s="470">
        <v>0</v>
      </c>
      <c r="O75" s="472">
        <f t="shared" si="0"/>
        <v>97.63635449760973</v>
      </c>
    </row>
    <row r="76" spans="2:15">
      <c r="B76" s="469">
        <f t="shared" si="1"/>
        <v>2008</v>
      </c>
      <c r="C76" s="532">
        <v>0</v>
      </c>
      <c r="D76" s="533">
        <v>0</v>
      </c>
      <c r="E76" s="534">
        <v>0</v>
      </c>
      <c r="F76" s="534">
        <v>0</v>
      </c>
      <c r="G76" s="534">
        <v>0</v>
      </c>
      <c r="H76" s="534">
        <v>0</v>
      </c>
      <c r="I76" s="535">
        <v>0</v>
      </c>
      <c r="J76" s="536">
        <v>0</v>
      </c>
      <c r="K76" s="537">
        <v>0</v>
      </c>
      <c r="L76" s="534">
        <v>0</v>
      </c>
      <c r="M76" s="535">
        <v>0</v>
      </c>
      <c r="N76" s="470">
        <v>0</v>
      </c>
      <c r="O76" s="472">
        <f t="shared" si="0"/>
        <v>97.63635449760973</v>
      </c>
    </row>
    <row r="77" spans="2:15">
      <c r="B77" s="469">
        <f t="shared" si="1"/>
        <v>2009</v>
      </c>
      <c r="C77" s="532">
        <v>0</v>
      </c>
      <c r="D77" s="533">
        <v>0</v>
      </c>
      <c r="E77" s="534">
        <v>0</v>
      </c>
      <c r="F77" s="534">
        <v>0</v>
      </c>
      <c r="G77" s="534">
        <v>0</v>
      </c>
      <c r="H77" s="534">
        <v>0</v>
      </c>
      <c r="I77" s="535">
        <v>0</v>
      </c>
      <c r="J77" s="536">
        <v>0</v>
      </c>
      <c r="K77" s="537">
        <v>0</v>
      </c>
      <c r="L77" s="534">
        <v>0</v>
      </c>
      <c r="M77" s="535">
        <v>0</v>
      </c>
      <c r="N77" s="470">
        <v>0</v>
      </c>
      <c r="O77" s="472">
        <f t="shared" si="0"/>
        <v>97.63635449760973</v>
      </c>
    </row>
    <row r="78" spans="2:15">
      <c r="B78" s="469">
        <f t="shared" si="1"/>
        <v>2010</v>
      </c>
      <c r="C78" s="532">
        <v>0</v>
      </c>
      <c r="D78" s="533">
        <v>0</v>
      </c>
      <c r="E78" s="534">
        <v>0</v>
      </c>
      <c r="F78" s="534">
        <v>0</v>
      </c>
      <c r="G78" s="534">
        <v>0</v>
      </c>
      <c r="H78" s="534">
        <v>0</v>
      </c>
      <c r="I78" s="535">
        <v>0</v>
      </c>
      <c r="J78" s="536">
        <v>0</v>
      </c>
      <c r="K78" s="537">
        <v>0</v>
      </c>
      <c r="L78" s="534">
        <v>0</v>
      </c>
      <c r="M78" s="535">
        <v>0</v>
      </c>
      <c r="N78" s="470">
        <v>0</v>
      </c>
      <c r="O78" s="472">
        <f t="shared" si="0"/>
        <v>97.63635449760973</v>
      </c>
    </row>
    <row r="79" spans="2:15">
      <c r="B79" s="469">
        <f t="shared" si="1"/>
        <v>2011</v>
      </c>
      <c r="C79" s="532">
        <v>0</v>
      </c>
      <c r="D79" s="533">
        <v>0</v>
      </c>
      <c r="E79" s="534">
        <v>0</v>
      </c>
      <c r="F79" s="534">
        <v>0</v>
      </c>
      <c r="G79" s="534">
        <v>0</v>
      </c>
      <c r="H79" s="534">
        <v>0</v>
      </c>
      <c r="I79" s="535">
        <v>0</v>
      </c>
      <c r="J79" s="536">
        <v>0</v>
      </c>
      <c r="K79" s="537">
        <v>0</v>
      </c>
      <c r="L79" s="534">
        <v>0</v>
      </c>
      <c r="M79" s="535">
        <v>0</v>
      </c>
      <c r="N79" s="470">
        <v>0</v>
      </c>
      <c r="O79" s="472">
        <f t="shared" si="0"/>
        <v>97.63635449760973</v>
      </c>
    </row>
    <row r="80" spans="2:15">
      <c r="B80" s="469">
        <f t="shared" si="1"/>
        <v>2012</v>
      </c>
      <c r="C80" s="532">
        <v>0</v>
      </c>
      <c r="D80" s="533">
        <v>0</v>
      </c>
      <c r="E80" s="534">
        <v>0</v>
      </c>
      <c r="F80" s="534">
        <v>0</v>
      </c>
      <c r="G80" s="534">
        <v>0</v>
      </c>
      <c r="H80" s="534">
        <v>0</v>
      </c>
      <c r="I80" s="535">
        <v>0</v>
      </c>
      <c r="J80" s="536">
        <v>0</v>
      </c>
      <c r="K80" s="537">
        <v>0</v>
      </c>
      <c r="L80" s="534">
        <v>0</v>
      </c>
      <c r="M80" s="535">
        <v>0</v>
      </c>
      <c r="N80" s="470">
        <v>0</v>
      </c>
      <c r="O80" s="472">
        <f t="shared" si="0"/>
        <v>97.63635449760973</v>
      </c>
    </row>
    <row r="81" spans="2:15">
      <c r="B81" s="469">
        <f t="shared" si="1"/>
        <v>2013</v>
      </c>
      <c r="C81" s="532">
        <v>0</v>
      </c>
      <c r="D81" s="533">
        <v>0</v>
      </c>
      <c r="E81" s="534">
        <v>0</v>
      </c>
      <c r="F81" s="534">
        <v>0</v>
      </c>
      <c r="G81" s="534">
        <v>0</v>
      </c>
      <c r="H81" s="534">
        <v>0</v>
      </c>
      <c r="I81" s="535">
        <v>0</v>
      </c>
      <c r="J81" s="536">
        <v>0</v>
      </c>
      <c r="K81" s="537">
        <v>0</v>
      </c>
      <c r="L81" s="534">
        <v>0</v>
      </c>
      <c r="M81" s="535">
        <v>0</v>
      </c>
      <c r="N81" s="470">
        <v>0</v>
      </c>
      <c r="O81" s="472">
        <f t="shared" si="0"/>
        <v>97.63635449760973</v>
      </c>
    </row>
    <row r="82" spans="2:15">
      <c r="B82" s="469">
        <f t="shared" si="1"/>
        <v>2014</v>
      </c>
      <c r="C82" s="532">
        <v>0</v>
      </c>
      <c r="D82" s="533">
        <v>0</v>
      </c>
      <c r="E82" s="534">
        <v>0</v>
      </c>
      <c r="F82" s="534">
        <v>0</v>
      </c>
      <c r="G82" s="534">
        <v>0</v>
      </c>
      <c r="H82" s="534">
        <v>0</v>
      </c>
      <c r="I82" s="535">
        <v>0</v>
      </c>
      <c r="J82" s="536">
        <v>0</v>
      </c>
      <c r="K82" s="537">
        <v>0</v>
      </c>
      <c r="L82" s="534">
        <v>0</v>
      </c>
      <c r="M82" s="535">
        <v>0</v>
      </c>
      <c r="N82" s="470">
        <v>0</v>
      </c>
      <c r="O82" s="472">
        <f t="shared" ref="O82:O98" si="2">O81+N82</f>
        <v>97.63635449760973</v>
      </c>
    </row>
    <row r="83" spans="2:15">
      <c r="B83" s="469">
        <f t="shared" si="1"/>
        <v>2015</v>
      </c>
      <c r="C83" s="532">
        <v>0</v>
      </c>
      <c r="D83" s="533">
        <v>0</v>
      </c>
      <c r="E83" s="534">
        <v>0</v>
      </c>
      <c r="F83" s="534">
        <v>0</v>
      </c>
      <c r="G83" s="534">
        <v>0</v>
      </c>
      <c r="H83" s="534">
        <v>0</v>
      </c>
      <c r="I83" s="535">
        <v>0</v>
      </c>
      <c r="J83" s="536">
        <v>0</v>
      </c>
      <c r="K83" s="537">
        <v>0</v>
      </c>
      <c r="L83" s="534">
        <v>0</v>
      </c>
      <c r="M83" s="535">
        <v>0</v>
      </c>
      <c r="N83" s="470">
        <v>0</v>
      </c>
      <c r="O83" s="472">
        <f t="shared" si="2"/>
        <v>97.63635449760973</v>
      </c>
    </row>
    <row r="84" spans="2:15">
      <c r="B84" s="469">
        <f t="shared" ref="B84:B98" si="3">B83+1</f>
        <v>2016</v>
      </c>
      <c r="C84" s="532">
        <v>0</v>
      </c>
      <c r="D84" s="533">
        <v>0</v>
      </c>
      <c r="E84" s="534">
        <v>0</v>
      </c>
      <c r="F84" s="534">
        <v>0</v>
      </c>
      <c r="G84" s="534">
        <v>0</v>
      </c>
      <c r="H84" s="534">
        <v>0</v>
      </c>
      <c r="I84" s="535">
        <v>0</v>
      </c>
      <c r="J84" s="536">
        <v>0</v>
      </c>
      <c r="K84" s="537">
        <v>0</v>
      </c>
      <c r="L84" s="534">
        <v>0</v>
      </c>
      <c r="M84" s="535">
        <v>0</v>
      </c>
      <c r="N84" s="470">
        <v>0</v>
      </c>
      <c r="O84" s="472">
        <f t="shared" si="2"/>
        <v>97.63635449760973</v>
      </c>
    </row>
    <row r="85" spans="2:15">
      <c r="B85" s="469">
        <f t="shared" si="3"/>
        <v>2017</v>
      </c>
      <c r="C85" s="532">
        <v>0</v>
      </c>
      <c r="D85" s="533">
        <v>0</v>
      </c>
      <c r="E85" s="534">
        <v>0</v>
      </c>
      <c r="F85" s="534">
        <v>0</v>
      </c>
      <c r="G85" s="534">
        <v>0</v>
      </c>
      <c r="H85" s="534">
        <v>0</v>
      </c>
      <c r="I85" s="535">
        <v>0</v>
      </c>
      <c r="J85" s="536">
        <v>0</v>
      </c>
      <c r="K85" s="537">
        <v>0</v>
      </c>
      <c r="L85" s="534">
        <v>0</v>
      </c>
      <c r="M85" s="535">
        <v>0</v>
      </c>
      <c r="N85" s="470">
        <v>0</v>
      </c>
      <c r="O85" s="472">
        <f t="shared" si="2"/>
        <v>97.63635449760973</v>
      </c>
    </row>
    <row r="86" spans="2:15">
      <c r="B86" s="469">
        <f t="shared" si="3"/>
        <v>2018</v>
      </c>
      <c r="C86" s="532">
        <v>0</v>
      </c>
      <c r="D86" s="533">
        <v>0</v>
      </c>
      <c r="E86" s="534">
        <v>0</v>
      </c>
      <c r="F86" s="534">
        <v>0</v>
      </c>
      <c r="G86" s="534">
        <v>0</v>
      </c>
      <c r="H86" s="534">
        <v>0</v>
      </c>
      <c r="I86" s="535">
        <v>0</v>
      </c>
      <c r="J86" s="536">
        <v>0</v>
      </c>
      <c r="K86" s="537">
        <v>0</v>
      </c>
      <c r="L86" s="534">
        <v>0</v>
      </c>
      <c r="M86" s="535">
        <v>0</v>
      </c>
      <c r="N86" s="470">
        <v>0</v>
      </c>
      <c r="O86" s="472">
        <f t="shared" si="2"/>
        <v>97.63635449760973</v>
      </c>
    </row>
    <row r="87" spans="2:15">
      <c r="B87" s="469">
        <f t="shared" si="3"/>
        <v>2019</v>
      </c>
      <c r="C87" s="532">
        <v>0</v>
      </c>
      <c r="D87" s="533">
        <v>0</v>
      </c>
      <c r="E87" s="534">
        <v>0</v>
      </c>
      <c r="F87" s="534">
        <v>0</v>
      </c>
      <c r="G87" s="534">
        <v>0</v>
      </c>
      <c r="H87" s="534">
        <v>0</v>
      </c>
      <c r="I87" s="535">
        <v>0</v>
      </c>
      <c r="J87" s="536">
        <v>0</v>
      </c>
      <c r="K87" s="537">
        <v>0</v>
      </c>
      <c r="L87" s="534">
        <v>0</v>
      </c>
      <c r="M87" s="535">
        <v>0</v>
      </c>
      <c r="N87" s="470">
        <v>0</v>
      </c>
      <c r="O87" s="472">
        <f t="shared" si="2"/>
        <v>97.63635449760973</v>
      </c>
    </row>
    <row r="88" spans="2:15">
      <c r="B88" s="469">
        <f t="shared" si="3"/>
        <v>2020</v>
      </c>
      <c r="C88" s="532">
        <v>0</v>
      </c>
      <c r="D88" s="533">
        <v>0</v>
      </c>
      <c r="E88" s="534">
        <v>0</v>
      </c>
      <c r="F88" s="534">
        <v>0</v>
      </c>
      <c r="G88" s="534">
        <v>0</v>
      </c>
      <c r="H88" s="534">
        <v>0</v>
      </c>
      <c r="I88" s="535">
        <v>0</v>
      </c>
      <c r="J88" s="536">
        <v>0</v>
      </c>
      <c r="K88" s="537">
        <v>0</v>
      </c>
      <c r="L88" s="534">
        <v>0</v>
      </c>
      <c r="M88" s="535">
        <v>0</v>
      </c>
      <c r="N88" s="470">
        <v>0</v>
      </c>
      <c r="O88" s="472">
        <f t="shared" si="2"/>
        <v>97.63635449760973</v>
      </c>
    </row>
    <row r="89" spans="2:15">
      <c r="B89" s="469">
        <f t="shared" si="3"/>
        <v>2021</v>
      </c>
      <c r="C89" s="532">
        <v>0</v>
      </c>
      <c r="D89" s="533">
        <v>0</v>
      </c>
      <c r="E89" s="534">
        <v>0</v>
      </c>
      <c r="F89" s="534">
        <v>0</v>
      </c>
      <c r="G89" s="534">
        <v>0</v>
      </c>
      <c r="H89" s="534">
        <v>0</v>
      </c>
      <c r="I89" s="535">
        <v>0</v>
      </c>
      <c r="J89" s="536">
        <v>0</v>
      </c>
      <c r="K89" s="537">
        <v>0</v>
      </c>
      <c r="L89" s="534">
        <v>0</v>
      </c>
      <c r="M89" s="535">
        <v>0</v>
      </c>
      <c r="N89" s="470">
        <v>0</v>
      </c>
      <c r="O89" s="472">
        <f t="shared" si="2"/>
        <v>97.63635449760973</v>
      </c>
    </row>
    <row r="90" spans="2:15">
      <c r="B90" s="469">
        <f t="shared" si="3"/>
        <v>2022</v>
      </c>
      <c r="C90" s="532">
        <v>0</v>
      </c>
      <c r="D90" s="533">
        <v>0</v>
      </c>
      <c r="E90" s="534">
        <v>0</v>
      </c>
      <c r="F90" s="534">
        <v>0</v>
      </c>
      <c r="G90" s="534">
        <v>0</v>
      </c>
      <c r="H90" s="534">
        <v>0</v>
      </c>
      <c r="I90" s="535">
        <v>0</v>
      </c>
      <c r="J90" s="536">
        <v>0</v>
      </c>
      <c r="K90" s="537">
        <v>0</v>
      </c>
      <c r="L90" s="534">
        <v>0</v>
      </c>
      <c r="M90" s="535">
        <v>0</v>
      </c>
      <c r="N90" s="470">
        <v>0</v>
      </c>
      <c r="O90" s="472">
        <f t="shared" si="2"/>
        <v>97.63635449760973</v>
      </c>
    </row>
    <row r="91" spans="2:15">
      <c r="B91" s="469">
        <f t="shared" si="3"/>
        <v>2023</v>
      </c>
      <c r="C91" s="532">
        <v>0</v>
      </c>
      <c r="D91" s="533">
        <v>0</v>
      </c>
      <c r="E91" s="534">
        <v>0</v>
      </c>
      <c r="F91" s="534">
        <v>0</v>
      </c>
      <c r="G91" s="534">
        <v>0</v>
      </c>
      <c r="H91" s="534">
        <v>0</v>
      </c>
      <c r="I91" s="535">
        <v>0</v>
      </c>
      <c r="J91" s="536">
        <v>0</v>
      </c>
      <c r="K91" s="537">
        <v>0</v>
      </c>
      <c r="L91" s="534">
        <v>0</v>
      </c>
      <c r="M91" s="535">
        <v>0</v>
      </c>
      <c r="N91" s="470">
        <v>0</v>
      </c>
      <c r="O91" s="472">
        <f t="shared" si="2"/>
        <v>97.63635449760973</v>
      </c>
    </row>
    <row r="92" spans="2:15">
      <c r="B92" s="469">
        <f t="shared" si="3"/>
        <v>2024</v>
      </c>
      <c r="C92" s="532">
        <v>0</v>
      </c>
      <c r="D92" s="533">
        <v>0</v>
      </c>
      <c r="E92" s="534">
        <v>0</v>
      </c>
      <c r="F92" s="534">
        <v>0</v>
      </c>
      <c r="G92" s="534">
        <v>0</v>
      </c>
      <c r="H92" s="534">
        <v>0</v>
      </c>
      <c r="I92" s="535">
        <v>0</v>
      </c>
      <c r="J92" s="536">
        <v>0</v>
      </c>
      <c r="K92" s="537">
        <v>0</v>
      </c>
      <c r="L92" s="534">
        <v>0</v>
      </c>
      <c r="M92" s="535">
        <v>0</v>
      </c>
      <c r="N92" s="470">
        <v>0</v>
      </c>
      <c r="O92" s="472">
        <f t="shared" si="2"/>
        <v>97.63635449760973</v>
      </c>
    </row>
    <row r="93" spans="2:15">
      <c r="B93" s="469">
        <f t="shared" si="3"/>
        <v>2025</v>
      </c>
      <c r="C93" s="532">
        <v>0</v>
      </c>
      <c r="D93" s="533">
        <v>0</v>
      </c>
      <c r="E93" s="534">
        <v>0</v>
      </c>
      <c r="F93" s="534">
        <v>0</v>
      </c>
      <c r="G93" s="534">
        <v>0</v>
      </c>
      <c r="H93" s="534">
        <v>0</v>
      </c>
      <c r="I93" s="535">
        <v>0</v>
      </c>
      <c r="J93" s="536">
        <v>0</v>
      </c>
      <c r="K93" s="537">
        <v>0</v>
      </c>
      <c r="L93" s="534">
        <v>0</v>
      </c>
      <c r="M93" s="535">
        <v>0</v>
      </c>
      <c r="N93" s="470">
        <v>0</v>
      </c>
      <c r="O93" s="472">
        <f t="shared" si="2"/>
        <v>97.63635449760973</v>
      </c>
    </row>
    <row r="94" spans="2:15">
      <c r="B94" s="469">
        <f t="shared" si="3"/>
        <v>2026</v>
      </c>
      <c r="C94" s="532">
        <v>0</v>
      </c>
      <c r="D94" s="533">
        <v>0</v>
      </c>
      <c r="E94" s="534">
        <v>0</v>
      </c>
      <c r="F94" s="534">
        <v>0</v>
      </c>
      <c r="G94" s="534">
        <v>0</v>
      </c>
      <c r="H94" s="534">
        <v>0</v>
      </c>
      <c r="I94" s="535">
        <v>0</v>
      </c>
      <c r="J94" s="536">
        <v>0</v>
      </c>
      <c r="K94" s="537">
        <v>0</v>
      </c>
      <c r="L94" s="534">
        <v>0</v>
      </c>
      <c r="M94" s="535">
        <v>0</v>
      </c>
      <c r="N94" s="470">
        <v>0</v>
      </c>
      <c r="O94" s="472">
        <f t="shared" si="2"/>
        <v>97.63635449760973</v>
      </c>
    </row>
    <row r="95" spans="2:15">
      <c r="B95" s="469">
        <f t="shared" si="3"/>
        <v>2027</v>
      </c>
      <c r="C95" s="532">
        <v>0</v>
      </c>
      <c r="D95" s="533">
        <v>0</v>
      </c>
      <c r="E95" s="534">
        <v>0</v>
      </c>
      <c r="F95" s="534">
        <v>0</v>
      </c>
      <c r="G95" s="534">
        <v>0</v>
      </c>
      <c r="H95" s="534">
        <v>0</v>
      </c>
      <c r="I95" s="535">
        <v>0</v>
      </c>
      <c r="J95" s="536">
        <v>0</v>
      </c>
      <c r="K95" s="537">
        <v>0</v>
      </c>
      <c r="L95" s="534">
        <v>0</v>
      </c>
      <c r="M95" s="535">
        <v>0</v>
      </c>
      <c r="N95" s="470">
        <v>0</v>
      </c>
      <c r="O95" s="472">
        <f t="shared" si="2"/>
        <v>97.63635449760973</v>
      </c>
    </row>
    <row r="96" spans="2:15">
      <c r="B96" s="469">
        <f t="shared" si="3"/>
        <v>2028</v>
      </c>
      <c r="C96" s="532">
        <v>0</v>
      </c>
      <c r="D96" s="533">
        <v>0</v>
      </c>
      <c r="E96" s="534">
        <v>0</v>
      </c>
      <c r="F96" s="534">
        <v>0</v>
      </c>
      <c r="G96" s="534">
        <v>0</v>
      </c>
      <c r="H96" s="534">
        <v>0</v>
      </c>
      <c r="I96" s="535">
        <v>0</v>
      </c>
      <c r="J96" s="536">
        <v>0</v>
      </c>
      <c r="K96" s="537">
        <v>0</v>
      </c>
      <c r="L96" s="534">
        <v>0</v>
      </c>
      <c r="M96" s="535">
        <v>0</v>
      </c>
      <c r="N96" s="470">
        <v>0</v>
      </c>
      <c r="O96" s="472">
        <f t="shared" si="2"/>
        <v>97.63635449760973</v>
      </c>
    </row>
    <row r="97" spans="2:15">
      <c r="B97" s="469">
        <f t="shared" si="3"/>
        <v>2029</v>
      </c>
      <c r="C97" s="532">
        <v>0</v>
      </c>
      <c r="D97" s="533">
        <v>0</v>
      </c>
      <c r="E97" s="534">
        <v>0</v>
      </c>
      <c r="F97" s="534">
        <v>0</v>
      </c>
      <c r="G97" s="534">
        <v>0</v>
      </c>
      <c r="H97" s="534">
        <v>0</v>
      </c>
      <c r="I97" s="535">
        <v>0</v>
      </c>
      <c r="J97" s="536">
        <v>0</v>
      </c>
      <c r="K97" s="537">
        <v>0</v>
      </c>
      <c r="L97" s="534">
        <v>0</v>
      </c>
      <c r="M97" s="535">
        <v>0</v>
      </c>
      <c r="N97" s="470">
        <v>0</v>
      </c>
      <c r="O97" s="472">
        <f t="shared" si="2"/>
        <v>97.63635449760973</v>
      </c>
    </row>
    <row r="98" spans="2:15" ht="13.5" thickBot="1">
      <c r="B98" s="478">
        <f t="shared" si="3"/>
        <v>2030</v>
      </c>
      <c r="C98" s="532">
        <v>0</v>
      </c>
      <c r="D98" s="533">
        <v>0</v>
      </c>
      <c r="E98" s="534">
        <v>0</v>
      </c>
      <c r="F98" s="534">
        <v>0</v>
      </c>
      <c r="G98" s="534">
        <v>0</v>
      </c>
      <c r="H98" s="534">
        <v>0</v>
      </c>
      <c r="I98" s="535">
        <v>0</v>
      </c>
      <c r="J98" s="536">
        <v>0</v>
      </c>
      <c r="K98" s="537">
        <v>0</v>
      </c>
      <c r="L98" s="534">
        <v>0</v>
      </c>
      <c r="M98" s="535">
        <v>0</v>
      </c>
      <c r="N98" s="479">
        <v>0</v>
      </c>
      <c r="O98" s="481">
        <f t="shared" si="2"/>
        <v>97.63635449760973</v>
      </c>
    </row>
  </sheetData>
  <mergeCells count="5">
    <mergeCell ref="D4:F4"/>
    <mergeCell ref="H4:K4"/>
    <mergeCell ref="H5:K5"/>
    <mergeCell ref="D3:F3"/>
    <mergeCell ref="D2:F2"/>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indexed="44"/>
  </sheetPr>
  <dimension ref="B1:M5"/>
  <sheetViews>
    <sheetView showGridLines="0" topLeftCell="A76" workbookViewId="0">
      <selection activeCell="L78" sqref="L78"/>
    </sheetView>
  </sheetViews>
  <sheetFormatPr defaultColWidth="11.42578125" defaultRowHeight="12.75"/>
  <cols>
    <col min="1" max="1" width="1" style="10" customWidth="1"/>
    <col min="2" max="7" width="11.42578125" style="10" customWidth="1"/>
    <col min="8" max="8" width="18.140625" style="10" customWidth="1"/>
    <col min="9" max="11" width="11.42578125" style="10" customWidth="1"/>
    <col min="12" max="12" width="8.7109375" style="10" customWidth="1"/>
    <col min="13" max="13" width="11.42578125" style="10" hidden="1" customWidth="1"/>
    <col min="14" max="16384" width="11.42578125" style="10"/>
  </cols>
  <sheetData>
    <row r="1" spans="2:5" ht="6.75" customHeight="1"/>
    <row r="2" spans="2:5" ht="15">
      <c r="B2" s="140" t="s">
        <v>17</v>
      </c>
    </row>
    <row r="3" spans="2:5" ht="9" customHeight="1"/>
    <row r="4" spans="2:5" ht="15.75">
      <c r="B4" s="11" t="s">
        <v>202</v>
      </c>
      <c r="D4" s="137"/>
      <c r="E4" s="137"/>
    </row>
    <row r="5" spans="2:5" ht="5.25" customHeight="1">
      <c r="B5" s="137"/>
      <c r="C5" s="137"/>
      <c r="D5" s="137"/>
      <c r="E5" s="137"/>
    </row>
  </sheetData>
  <sheetProtection password="CF65" sheet="1" objects="1" scenarios="1"/>
  <customSheetViews>
    <customSheetView guid="{B400968E-E9A7-41C3-9739-36597C9C6BC6}" showGridLines="0" showRuler="0" topLeftCell="A8">
      <selection activeCell="J11" sqref="J11"/>
      <pageMargins left="0.7" right="0.7" top="0.75" bottom="0.75" header="0.3" footer="0.3"/>
      <pageSetup paperSize="9" orientation="portrait"/>
      <headerFooter alignWithMargins="0"/>
    </customSheetView>
  </customSheetViews>
  <phoneticPr fontId="16" type="noConversion"/>
  <pageMargins left="0.75" right="0.75" top="0.75" bottom="0.75" header="0.5" footer="0.5"/>
  <headerFooter alignWithMargins="0"/>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indexed="44"/>
  </sheetPr>
  <dimension ref="A1:AI64"/>
  <sheetViews>
    <sheetView showGridLines="0" workbookViewId="0">
      <pane ySplit="3" topLeftCell="A13" activePane="bottomLeft" state="frozen"/>
      <selection activeCell="E19" sqref="E19"/>
      <selection pane="bottomLeft" activeCell="W10" sqref="W10"/>
    </sheetView>
  </sheetViews>
  <sheetFormatPr defaultColWidth="8.85546875" defaultRowHeight="12.75"/>
  <cols>
    <col min="1" max="1" width="2.85546875" style="69" customWidth="1"/>
    <col min="2" max="2" width="16.42578125" style="69" customWidth="1"/>
    <col min="3" max="3" width="16" style="69" customWidth="1"/>
    <col min="4" max="4" width="12.140625" style="69" customWidth="1"/>
    <col min="5" max="5" width="11.7109375" style="69" customWidth="1"/>
    <col min="6" max="6" width="9.7109375" style="69" customWidth="1"/>
    <col min="7" max="7" width="11" style="69" customWidth="1"/>
    <col min="8" max="8" width="9.7109375" style="69" customWidth="1"/>
    <col min="9" max="9" width="11.42578125" style="69" customWidth="1"/>
    <col min="10" max="10" width="9.7109375" style="69" customWidth="1"/>
    <col min="11" max="11" width="12.140625" style="69" customWidth="1"/>
    <col min="12" max="12" width="9.7109375" style="69" customWidth="1"/>
    <col min="13" max="14" width="10.7109375" style="69" customWidth="1"/>
    <col min="15" max="15" width="16.140625" style="69" customWidth="1"/>
    <col min="16" max="21" width="8.85546875" style="69"/>
    <col min="22" max="22" width="19.42578125" style="149" customWidth="1"/>
    <col min="23" max="23" width="11" style="69" customWidth="1"/>
    <col min="24" max="24" width="10.140625" style="69" customWidth="1"/>
    <col min="25" max="31" width="9.7109375" style="69" customWidth="1"/>
    <col min="32" max="32" width="12.140625" style="69" customWidth="1"/>
    <col min="33" max="34" width="9.7109375" style="69" customWidth="1"/>
    <col min="35" max="16384" width="8.85546875" style="69"/>
  </cols>
  <sheetData>
    <row r="1" spans="1:35" ht="15">
      <c r="B1" s="71" t="s">
        <v>205</v>
      </c>
      <c r="O1" s="71" t="s">
        <v>112</v>
      </c>
      <c r="V1" s="71" t="s">
        <v>128</v>
      </c>
    </row>
    <row r="2" spans="1:35" ht="12.75" customHeight="1">
      <c r="B2" s="967" t="s">
        <v>52</v>
      </c>
      <c r="C2" s="967"/>
      <c r="D2" s="967"/>
      <c r="E2" s="967"/>
      <c r="F2" s="967"/>
      <c r="G2" s="967"/>
      <c r="H2" s="967"/>
    </row>
    <row r="3" spans="1:35" ht="13.5" thickBot="1">
      <c r="B3" s="967"/>
      <c r="C3" s="967"/>
      <c r="D3" s="967"/>
      <c r="E3" s="967"/>
      <c r="F3" s="967"/>
      <c r="G3" s="967"/>
      <c r="H3" s="967"/>
    </row>
    <row r="4" spans="1:35" ht="13.5" thickBot="1">
      <c r="P4" s="971" t="s">
        <v>242</v>
      </c>
      <c r="Q4" s="972"/>
      <c r="R4" s="973" t="s">
        <v>243</v>
      </c>
      <c r="S4" s="974"/>
      <c r="V4" s="172" t="s">
        <v>155</v>
      </c>
      <c r="W4" s="139">
        <f>P7</f>
        <v>0.44</v>
      </c>
      <c r="X4" s="233">
        <f>P9</f>
        <v>0.3</v>
      </c>
      <c r="Y4" s="233">
        <f>P6</f>
        <v>0.38</v>
      </c>
      <c r="Z4" s="233">
        <f>P11</f>
        <v>0.5</v>
      </c>
      <c r="AA4" s="233">
        <f>P8</f>
        <v>0.49</v>
      </c>
      <c r="AB4" s="233">
        <f>P12</f>
        <v>0.6</v>
      </c>
      <c r="AC4" s="233">
        <f>R18</f>
        <v>0.05</v>
      </c>
      <c r="AD4" s="233">
        <f>P10</f>
        <v>0.47</v>
      </c>
      <c r="AE4" s="234">
        <v>0</v>
      </c>
    </row>
    <row r="5" spans="1:35" ht="13.5" customHeight="1" thickBot="1">
      <c r="B5" s="72"/>
      <c r="C5" s="141"/>
      <c r="D5" s="968" t="s">
        <v>47</v>
      </c>
      <c r="E5" s="969"/>
      <c r="F5" s="969"/>
      <c r="G5" s="970"/>
      <c r="H5" s="969" t="s">
        <v>57</v>
      </c>
      <c r="I5" s="969"/>
      <c r="J5" s="969"/>
      <c r="K5" s="970"/>
      <c r="L5" s="135"/>
      <c r="M5" s="135"/>
      <c r="N5" s="135"/>
      <c r="O5" s="163"/>
      <c r="P5" s="207" t="s">
        <v>116</v>
      </c>
      <c r="Q5" s="208" t="s">
        <v>113</v>
      </c>
      <c r="R5" s="207" t="s">
        <v>116</v>
      </c>
      <c r="S5" s="208" t="s">
        <v>113</v>
      </c>
      <c r="V5" s="304" t="s">
        <v>118</v>
      </c>
      <c r="W5" s="305">
        <v>3</v>
      </c>
      <c r="AF5" s="958" t="s">
        <v>126</v>
      </c>
      <c r="AG5" s="958" t="s">
        <v>129</v>
      </c>
      <c r="AH5" s="958" t="s">
        <v>154</v>
      </c>
      <c r="AI5"/>
    </row>
    <row r="6" spans="1:35" ht="13.5" thickBot="1">
      <c r="B6" s="166"/>
      <c r="C6" s="152"/>
      <c r="D6" s="963" t="s">
        <v>45</v>
      </c>
      <c r="E6" s="963"/>
      <c r="F6" s="963" t="s">
        <v>46</v>
      </c>
      <c r="G6" s="963"/>
      <c r="H6" s="963" t="s">
        <v>45</v>
      </c>
      <c r="I6" s="963"/>
      <c r="J6" s="963" t="s">
        <v>99</v>
      </c>
      <c r="K6" s="963"/>
      <c r="L6" s="135"/>
      <c r="M6" s="135"/>
      <c r="N6" s="135"/>
      <c r="O6" s="203" t="s">
        <v>6</v>
      </c>
      <c r="P6" s="162">
        <v>0.38</v>
      </c>
      <c r="Q6" s="164" t="s">
        <v>234</v>
      </c>
      <c r="R6" s="162">
        <v>0.15</v>
      </c>
      <c r="S6" s="164" t="s">
        <v>244</v>
      </c>
      <c r="W6" s="964" t="s">
        <v>125</v>
      </c>
      <c r="X6" s="966"/>
      <c r="Y6" s="966"/>
      <c r="Z6" s="966"/>
      <c r="AA6" s="966"/>
      <c r="AB6" s="966"/>
      <c r="AC6" s="966"/>
      <c r="AD6" s="966"/>
      <c r="AE6" s="966"/>
      <c r="AF6" s="959"/>
      <c r="AG6" s="959"/>
      <c r="AH6" s="959"/>
      <c r="AI6"/>
    </row>
    <row r="7" spans="1:35" ht="26.25" thickBot="1">
      <c r="B7" s="964" t="s">
        <v>133</v>
      </c>
      <c r="C7" s="965"/>
      <c r="D7" s="207" t="s">
        <v>116</v>
      </c>
      <c r="E7" s="208" t="s">
        <v>113</v>
      </c>
      <c r="F7" s="209" t="s">
        <v>116</v>
      </c>
      <c r="G7" s="208" t="s">
        <v>113</v>
      </c>
      <c r="H7" s="209" t="s">
        <v>116</v>
      </c>
      <c r="I7" s="208" t="s">
        <v>113</v>
      </c>
      <c r="J7" s="209" t="s">
        <v>116</v>
      </c>
      <c r="K7" s="208" t="s">
        <v>113</v>
      </c>
      <c r="M7" s="134"/>
      <c r="N7" s="134"/>
      <c r="O7" s="204" t="s">
        <v>256</v>
      </c>
      <c r="P7" s="161">
        <v>0.44</v>
      </c>
      <c r="Q7" s="165" t="s">
        <v>235</v>
      </c>
      <c r="R7" s="161">
        <v>0.4</v>
      </c>
      <c r="S7" s="165" t="s">
        <v>245</v>
      </c>
      <c r="T7" s="171"/>
      <c r="V7" s="172"/>
      <c r="W7" s="192" t="s">
        <v>127</v>
      </c>
      <c r="X7" s="181" t="s">
        <v>16</v>
      </c>
      <c r="Y7" s="181" t="s">
        <v>6</v>
      </c>
      <c r="Z7" s="181" t="s">
        <v>2</v>
      </c>
      <c r="AA7" s="181" t="s">
        <v>139</v>
      </c>
      <c r="AB7" s="181" t="s">
        <v>140</v>
      </c>
      <c r="AC7" s="181" t="s">
        <v>135</v>
      </c>
      <c r="AD7" s="181" t="s">
        <v>141</v>
      </c>
      <c r="AE7" s="181" t="s">
        <v>142</v>
      </c>
      <c r="AF7" s="960"/>
      <c r="AG7" s="960"/>
      <c r="AH7" s="960"/>
      <c r="AI7"/>
    </row>
    <row r="8" spans="1:35" ht="25.5" customHeight="1">
      <c r="B8" s="961" t="s">
        <v>48</v>
      </c>
      <c r="C8" s="144" t="s">
        <v>56</v>
      </c>
      <c r="D8" s="90">
        <v>0.04</v>
      </c>
      <c r="E8" s="153" t="s">
        <v>169</v>
      </c>
      <c r="F8" s="167">
        <v>0.06</v>
      </c>
      <c r="G8" s="170" t="s">
        <v>170</v>
      </c>
      <c r="H8" s="90">
        <v>4.4999999999999998E-2</v>
      </c>
      <c r="I8" s="153" t="s">
        <v>167</v>
      </c>
      <c r="J8" s="167">
        <v>7.0000000000000007E-2</v>
      </c>
      <c r="K8" s="153" t="s">
        <v>176</v>
      </c>
      <c r="M8" s="136"/>
      <c r="N8" s="136"/>
      <c r="O8" s="204" t="s">
        <v>255</v>
      </c>
      <c r="P8" s="161">
        <v>0.49</v>
      </c>
      <c r="Q8" s="165" t="s">
        <v>236</v>
      </c>
      <c r="R8" s="161">
        <v>0.2</v>
      </c>
      <c r="S8" s="165" t="s">
        <v>246</v>
      </c>
      <c r="T8" s="171"/>
      <c r="U8" s="171">
        <v>1</v>
      </c>
      <c r="V8" s="174" t="s">
        <v>119</v>
      </c>
      <c r="W8" s="190">
        <v>18.8</v>
      </c>
      <c r="X8" s="191">
        <v>3.5</v>
      </c>
      <c r="Y8" s="191">
        <v>26.2</v>
      </c>
      <c r="Z8" s="191">
        <v>3.5</v>
      </c>
      <c r="AA8" s="191"/>
      <c r="AB8" s="191"/>
      <c r="AC8" s="191"/>
      <c r="AD8" s="191">
        <v>1</v>
      </c>
      <c r="AE8" s="191">
        <f>100-SUM(W8:AD8)</f>
        <v>47</v>
      </c>
      <c r="AF8" s="182">
        <v>0.55000000000000004</v>
      </c>
      <c r="AG8" s="185">
        <v>0.55000000000000004</v>
      </c>
      <c r="AH8" s="235">
        <f>ROUND((W8*W$4+X8*X$4+Y8*Y$4+Z8*Z$4+AA8*AA$4+AB8*AB$4+AC8*AC$4+AD8*AD$4)/100,2)</f>
        <v>0.21</v>
      </c>
      <c r="AI8"/>
    </row>
    <row r="9" spans="1:35" ht="25.5">
      <c r="B9" s="962"/>
      <c r="C9" s="195" t="s">
        <v>134</v>
      </c>
      <c r="D9" s="197">
        <v>0.02</v>
      </c>
      <c r="E9" s="198" t="s">
        <v>168</v>
      </c>
      <c r="F9" s="199">
        <v>0.03</v>
      </c>
      <c r="G9" s="200" t="s">
        <v>171</v>
      </c>
      <c r="H9" s="197">
        <v>2.5000000000000001E-2</v>
      </c>
      <c r="I9" s="198" t="s">
        <v>171</v>
      </c>
      <c r="J9" s="199">
        <v>3.5000000000000003E-2</v>
      </c>
      <c r="K9" s="198" t="s">
        <v>169</v>
      </c>
      <c r="M9" s="136"/>
      <c r="N9" s="136"/>
      <c r="O9" s="204" t="s">
        <v>16</v>
      </c>
      <c r="P9" s="161">
        <v>0.3</v>
      </c>
      <c r="Q9" s="165" t="s">
        <v>237</v>
      </c>
      <c r="R9" s="161">
        <v>0.24</v>
      </c>
      <c r="S9" s="165" t="s">
        <v>247</v>
      </c>
      <c r="T9" s="171"/>
      <c r="U9" s="171">
        <v>2</v>
      </c>
      <c r="V9" s="175" t="s">
        <v>214</v>
      </c>
      <c r="W9" s="176">
        <v>11.3</v>
      </c>
      <c r="X9" s="177">
        <v>2.5</v>
      </c>
      <c r="Y9" s="177">
        <v>40.299999999999997</v>
      </c>
      <c r="Z9" s="177">
        <v>7.9</v>
      </c>
      <c r="AA9" s="177"/>
      <c r="AB9" s="177"/>
      <c r="AC9" s="177"/>
      <c r="AD9" s="177">
        <v>0.8</v>
      </c>
      <c r="AE9" s="177">
        <f t="shared" ref="AE9:AE26" si="0">100-SUM(W9:AD9)</f>
        <v>37.20000000000001</v>
      </c>
      <c r="AF9" s="183">
        <v>0.21</v>
      </c>
      <c r="AG9" s="186">
        <v>0.74</v>
      </c>
      <c r="AH9" s="236">
        <f t="shared" ref="AH9:AH26" si="1">ROUND((W9*W$4+X9*X$4+Y9*Y$4+Z9*Z$4+AA9*AA$4+AB9*AB$4+AC9*AC$4+AD9*AD$4)/100,2)</f>
        <v>0.25</v>
      </c>
      <c r="AI9"/>
    </row>
    <row r="10" spans="1:35" ht="25.5" customHeight="1">
      <c r="B10" s="194" t="s">
        <v>49</v>
      </c>
      <c r="C10" s="195" t="s">
        <v>50</v>
      </c>
      <c r="D10" s="91">
        <v>0.05</v>
      </c>
      <c r="E10" s="154" t="s">
        <v>167</v>
      </c>
      <c r="F10" s="168">
        <v>0.1</v>
      </c>
      <c r="G10" s="155" t="s">
        <v>172</v>
      </c>
      <c r="H10" s="91">
        <v>6.5000000000000002E-2</v>
      </c>
      <c r="I10" s="154" t="s">
        <v>166</v>
      </c>
      <c r="J10" s="168">
        <v>0.17</v>
      </c>
      <c r="K10" s="154" t="s">
        <v>177</v>
      </c>
      <c r="M10" s="136"/>
      <c r="N10" s="136"/>
      <c r="O10" s="205" t="s">
        <v>229</v>
      </c>
      <c r="P10" s="201">
        <v>0.47</v>
      </c>
      <c r="Q10" s="202" t="s">
        <v>238</v>
      </c>
      <c r="R10" s="201">
        <v>0.39</v>
      </c>
      <c r="S10" s="202" t="s">
        <v>248</v>
      </c>
      <c r="T10" s="171"/>
      <c r="U10" s="171">
        <v>3</v>
      </c>
      <c r="V10" s="175" t="s">
        <v>120</v>
      </c>
      <c r="W10" s="176">
        <v>12.9</v>
      </c>
      <c r="X10" s="177">
        <v>2.7</v>
      </c>
      <c r="Y10" s="177">
        <v>43.5</v>
      </c>
      <c r="Z10" s="177">
        <v>9.9</v>
      </c>
      <c r="AA10" s="177"/>
      <c r="AB10" s="177"/>
      <c r="AC10" s="177"/>
      <c r="AD10" s="177">
        <v>0.9</v>
      </c>
      <c r="AE10" s="177">
        <f t="shared" si="0"/>
        <v>30.099999999999994</v>
      </c>
      <c r="AF10" s="183">
        <v>0.27</v>
      </c>
      <c r="AG10" s="186">
        <v>0.59</v>
      </c>
      <c r="AH10" s="236">
        <f t="shared" si="1"/>
        <v>0.28000000000000003</v>
      </c>
      <c r="AI10"/>
    </row>
    <row r="11" spans="1:35" ht="25.5" customHeight="1" thickBot="1">
      <c r="B11" s="196" t="s">
        <v>51</v>
      </c>
      <c r="C11" s="145" t="s">
        <v>79</v>
      </c>
      <c r="D11" s="91">
        <v>0.06</v>
      </c>
      <c r="E11" s="154" t="s">
        <v>166</v>
      </c>
      <c r="F11" s="168">
        <v>0.185</v>
      </c>
      <c r="G11" s="155" t="s">
        <v>173</v>
      </c>
      <c r="H11" s="92">
        <v>8.5000000000000006E-2</v>
      </c>
      <c r="I11" s="156" t="s">
        <v>175</v>
      </c>
      <c r="J11" s="169">
        <v>0.4</v>
      </c>
      <c r="K11" s="156" t="s">
        <v>165</v>
      </c>
      <c r="M11" s="136"/>
      <c r="N11" s="136"/>
      <c r="O11" s="205" t="s">
        <v>263</v>
      </c>
      <c r="P11" s="201">
        <v>0.5</v>
      </c>
      <c r="Q11" s="202" t="s">
        <v>259</v>
      </c>
      <c r="R11" s="201">
        <v>0.43</v>
      </c>
      <c r="S11" s="202" t="s">
        <v>257</v>
      </c>
      <c r="T11" s="171"/>
      <c r="U11" s="171">
        <v>4</v>
      </c>
      <c r="V11" s="175" t="s">
        <v>121</v>
      </c>
      <c r="W11" s="176">
        <v>18</v>
      </c>
      <c r="X11" s="177">
        <v>2.9</v>
      </c>
      <c r="Y11" s="177">
        <v>41.1</v>
      </c>
      <c r="Z11" s="177">
        <v>9.8000000000000007</v>
      </c>
      <c r="AA11" s="177"/>
      <c r="AB11" s="177"/>
      <c r="AC11" s="177"/>
      <c r="AD11" s="177">
        <v>0.6</v>
      </c>
      <c r="AE11" s="177">
        <f t="shared" si="0"/>
        <v>27.600000000000009</v>
      </c>
      <c r="AF11" s="183">
        <f>AF$32</f>
        <v>0.42055555555555557</v>
      </c>
      <c r="AG11" s="243">
        <f>AG$32</f>
        <v>0.676111111111111</v>
      </c>
      <c r="AH11" s="236">
        <f t="shared" si="1"/>
        <v>0.3</v>
      </c>
      <c r="AI11"/>
    </row>
    <row r="12" spans="1:35" ht="26.25" thickBot="1">
      <c r="B12" s="210" t="s">
        <v>136</v>
      </c>
      <c r="C12" s="211" t="s">
        <v>78</v>
      </c>
      <c r="D12" s="212">
        <v>0.05</v>
      </c>
      <c r="E12" s="213" t="s">
        <v>167</v>
      </c>
      <c r="F12" s="214">
        <v>0.09</v>
      </c>
      <c r="G12" s="215" t="s">
        <v>174</v>
      </c>
      <c r="H12" s="212">
        <v>6.5000000000000002E-2</v>
      </c>
      <c r="I12" s="213" t="s">
        <v>166</v>
      </c>
      <c r="J12" s="214">
        <v>0.17</v>
      </c>
      <c r="K12" s="213" t="s">
        <v>177</v>
      </c>
      <c r="M12" s="136"/>
      <c r="N12" s="136"/>
      <c r="O12" s="205" t="s">
        <v>267</v>
      </c>
      <c r="P12" s="201">
        <v>0.6</v>
      </c>
      <c r="Q12" s="202" t="s">
        <v>260</v>
      </c>
      <c r="R12" s="201">
        <v>0.24</v>
      </c>
      <c r="S12" s="202" t="s">
        <v>258</v>
      </c>
      <c r="U12" s="171">
        <v>5</v>
      </c>
      <c r="V12" s="175" t="s">
        <v>215</v>
      </c>
      <c r="W12" s="176">
        <v>7.7</v>
      </c>
      <c r="X12" s="177">
        <v>1.7</v>
      </c>
      <c r="Y12" s="177">
        <v>53.9</v>
      </c>
      <c r="Z12" s="177">
        <v>7</v>
      </c>
      <c r="AA12" s="177"/>
      <c r="AB12" s="177"/>
      <c r="AC12" s="177"/>
      <c r="AD12" s="177">
        <v>1.1000000000000001</v>
      </c>
      <c r="AE12" s="177">
        <f t="shared" si="0"/>
        <v>28.600000000000009</v>
      </c>
      <c r="AF12" s="183">
        <v>0.28999999999999998</v>
      </c>
      <c r="AG12" s="243">
        <v>0.69</v>
      </c>
      <c r="AH12" s="236">
        <f t="shared" si="1"/>
        <v>0.28000000000000003</v>
      </c>
      <c r="AI12"/>
    </row>
    <row r="13" spans="1:35" ht="12.75" customHeight="1">
      <c r="I13" s="73"/>
      <c r="M13" s="136"/>
      <c r="N13" s="136"/>
      <c r="O13" s="984" t="s">
        <v>264</v>
      </c>
      <c r="P13" s="985"/>
      <c r="Q13" s="985"/>
      <c r="R13" s="985"/>
      <c r="S13" s="986"/>
      <c r="U13" s="171">
        <v>6</v>
      </c>
      <c r="V13" s="175" t="s">
        <v>216</v>
      </c>
      <c r="W13" s="176">
        <v>16.8</v>
      </c>
      <c r="X13" s="177">
        <v>2.5</v>
      </c>
      <c r="Y13" s="177">
        <v>43.4</v>
      </c>
      <c r="Z13" s="177">
        <v>6.5</v>
      </c>
      <c r="AA13" s="178"/>
      <c r="AB13" s="177"/>
      <c r="AC13" s="177"/>
      <c r="AD13" s="178"/>
      <c r="AE13" s="177">
        <f t="shared" si="0"/>
        <v>30.799999999999997</v>
      </c>
      <c r="AF13" s="183">
        <v>0.28999999999999998</v>
      </c>
      <c r="AG13" s="243">
        <v>0.69</v>
      </c>
      <c r="AH13" s="236">
        <f t="shared" si="1"/>
        <v>0.28000000000000003</v>
      </c>
      <c r="AI13"/>
    </row>
    <row r="14" spans="1:35">
      <c r="A14" s="73"/>
      <c r="B14" s="74" t="s">
        <v>58</v>
      </c>
      <c r="C14" s="73"/>
      <c r="D14" s="73"/>
      <c r="E14" s="73"/>
      <c r="F14" s="73"/>
      <c r="G14" s="73"/>
      <c r="H14" s="73"/>
      <c r="I14" s="73"/>
      <c r="J14" s="73"/>
      <c r="K14" s="73"/>
      <c r="L14" s="73"/>
      <c r="M14" s="136"/>
      <c r="N14" s="136"/>
      <c r="O14" s="396" t="s">
        <v>230</v>
      </c>
      <c r="P14" s="201"/>
      <c r="Q14" s="202"/>
      <c r="R14" s="201"/>
      <c r="S14" s="202"/>
      <c r="U14" s="171">
        <v>7</v>
      </c>
      <c r="V14" s="175" t="s">
        <v>217</v>
      </c>
      <c r="W14" s="176">
        <v>16.5</v>
      </c>
      <c r="X14" s="177">
        <v>2.5</v>
      </c>
      <c r="Y14" s="177">
        <v>51.1</v>
      </c>
      <c r="Z14" s="177">
        <v>2</v>
      </c>
      <c r="AA14" s="178"/>
      <c r="AB14" s="177"/>
      <c r="AC14" s="177"/>
      <c r="AD14" s="178"/>
      <c r="AE14" s="177">
        <f t="shared" si="0"/>
        <v>27.900000000000006</v>
      </c>
      <c r="AF14" s="183">
        <v>0.28999999999999998</v>
      </c>
      <c r="AG14" s="243">
        <v>0.69</v>
      </c>
      <c r="AH14" s="236">
        <f t="shared" si="1"/>
        <v>0.28000000000000003</v>
      </c>
      <c r="AI14"/>
    </row>
    <row r="15" spans="1:35" ht="13.5" thickBot="1">
      <c r="M15" s="136"/>
      <c r="N15" s="136"/>
      <c r="O15" s="397" t="s">
        <v>231</v>
      </c>
      <c r="P15" s="201"/>
      <c r="Q15" s="202"/>
      <c r="R15" s="201"/>
      <c r="S15" s="202"/>
      <c r="U15" s="171">
        <v>8</v>
      </c>
      <c r="V15" s="175" t="s">
        <v>122</v>
      </c>
      <c r="W15" s="176">
        <v>25</v>
      </c>
      <c r="X15" s="177"/>
      <c r="Y15" s="177">
        <v>23</v>
      </c>
      <c r="Z15" s="177">
        <v>15</v>
      </c>
      <c r="AA15" s="177"/>
      <c r="AB15" s="177"/>
      <c r="AC15" s="177"/>
      <c r="AD15" s="177"/>
      <c r="AE15" s="177">
        <f t="shared" si="0"/>
        <v>37</v>
      </c>
      <c r="AF15" s="183">
        <v>0.28999999999999998</v>
      </c>
      <c r="AG15" s="243">
        <v>0.69</v>
      </c>
      <c r="AH15" s="236">
        <f t="shared" si="1"/>
        <v>0.27</v>
      </c>
      <c r="AI15"/>
    </row>
    <row r="16" spans="1:35" ht="13.5" thickBot="1">
      <c r="C16" s="75" t="s">
        <v>59</v>
      </c>
      <c r="D16" s="76" t="s">
        <v>60</v>
      </c>
      <c r="E16" s="77" t="s">
        <v>61</v>
      </c>
      <c r="G16" s="301" t="s">
        <v>62</v>
      </c>
      <c r="N16" s="136"/>
      <c r="O16" s="397" t="s">
        <v>232</v>
      </c>
      <c r="P16" s="201"/>
      <c r="Q16" s="202"/>
      <c r="R16" s="201"/>
      <c r="S16" s="202"/>
      <c r="U16" s="171">
        <v>9</v>
      </c>
      <c r="V16" s="175" t="s">
        <v>218</v>
      </c>
      <c r="W16" s="176">
        <v>9.8000000000000007</v>
      </c>
      <c r="X16" s="177">
        <v>1</v>
      </c>
      <c r="Y16" s="177">
        <v>40.4</v>
      </c>
      <c r="Z16" s="177">
        <v>4.4000000000000004</v>
      </c>
      <c r="AA16" s="177"/>
      <c r="AB16" s="177"/>
      <c r="AC16" s="177"/>
      <c r="AD16" s="177"/>
      <c r="AE16" s="177">
        <f t="shared" si="0"/>
        <v>44.4</v>
      </c>
      <c r="AF16" s="183">
        <v>0.28999999999999998</v>
      </c>
      <c r="AG16" s="243">
        <v>0.69</v>
      </c>
      <c r="AH16" s="236">
        <f t="shared" si="1"/>
        <v>0.22</v>
      </c>
      <c r="AI16"/>
    </row>
    <row r="17" spans="1:35" ht="13.5" thickBot="1">
      <c r="A17" s="69">
        <v>1</v>
      </c>
      <c r="B17" s="362" t="s">
        <v>44</v>
      </c>
      <c r="C17" s="78" t="s">
        <v>63</v>
      </c>
      <c r="D17" s="79"/>
      <c r="E17" s="80" t="s">
        <v>64</v>
      </c>
      <c r="G17" s="302">
        <v>4</v>
      </c>
      <c r="M17" s="73"/>
      <c r="O17" s="397" t="s">
        <v>233</v>
      </c>
      <c r="P17" s="201"/>
      <c r="Q17" s="202"/>
      <c r="R17" s="201"/>
      <c r="S17" s="202"/>
      <c r="U17" s="171">
        <v>10</v>
      </c>
      <c r="V17" s="175" t="s">
        <v>219</v>
      </c>
      <c r="W17" s="176">
        <v>21.8</v>
      </c>
      <c r="X17" s="177">
        <v>4.7</v>
      </c>
      <c r="Y17" s="177">
        <v>30.1</v>
      </c>
      <c r="Z17" s="177">
        <v>7.5</v>
      </c>
      <c r="AA17" s="177"/>
      <c r="AB17" s="177"/>
      <c r="AC17" s="177"/>
      <c r="AD17" s="177">
        <v>1.4</v>
      </c>
      <c r="AE17" s="177">
        <f t="shared" si="0"/>
        <v>34.5</v>
      </c>
      <c r="AF17" s="183">
        <v>0.38</v>
      </c>
      <c r="AG17" s="186">
        <v>0.9</v>
      </c>
      <c r="AH17" s="236">
        <f t="shared" si="1"/>
        <v>0.27</v>
      </c>
      <c r="AI17"/>
    </row>
    <row r="18" spans="1:35" ht="13.5" thickBot="1">
      <c r="A18" s="69">
        <v>2</v>
      </c>
      <c r="B18" s="362" t="s">
        <v>65</v>
      </c>
      <c r="C18" s="81" t="s">
        <v>63</v>
      </c>
      <c r="D18" s="82"/>
      <c r="E18" s="83" t="s">
        <v>66</v>
      </c>
      <c r="O18" s="204" t="s">
        <v>135</v>
      </c>
      <c r="P18" s="405"/>
      <c r="Q18" s="406" t="s">
        <v>277</v>
      </c>
      <c r="R18" s="405">
        <v>0.05</v>
      </c>
      <c r="S18" s="406" t="s">
        <v>137</v>
      </c>
      <c r="U18" s="171">
        <v>11</v>
      </c>
      <c r="V18" s="175" t="s">
        <v>220</v>
      </c>
      <c r="W18" s="176">
        <v>30.6</v>
      </c>
      <c r="X18" s="177">
        <v>2</v>
      </c>
      <c r="Y18" s="177">
        <v>23.8</v>
      </c>
      <c r="Z18" s="177">
        <v>10</v>
      </c>
      <c r="AA18" s="177"/>
      <c r="AB18" s="177"/>
      <c r="AC18" s="177"/>
      <c r="AD18" s="177"/>
      <c r="AE18" s="177">
        <f t="shared" si="0"/>
        <v>33.599999999999994</v>
      </c>
      <c r="AF18" s="183">
        <v>0.64</v>
      </c>
      <c r="AG18" s="186">
        <v>0.47</v>
      </c>
      <c r="AH18" s="236">
        <f t="shared" si="1"/>
        <v>0.28000000000000003</v>
      </c>
      <c r="AI18"/>
    </row>
    <row r="19" spans="1:35" s="73" customFormat="1" ht="26.25" thickBot="1">
      <c r="A19" s="69">
        <v>3</v>
      </c>
      <c r="B19" s="362" t="s">
        <v>67</v>
      </c>
      <c r="C19" s="81" t="s">
        <v>68</v>
      </c>
      <c r="D19" s="82" t="s">
        <v>69</v>
      </c>
      <c r="E19" s="83"/>
      <c r="F19" s="69"/>
      <c r="G19" s="69"/>
      <c r="H19" s="69"/>
      <c r="I19" s="69"/>
      <c r="J19" s="69"/>
      <c r="K19" s="69"/>
      <c r="L19" s="69"/>
      <c r="M19" s="69"/>
      <c r="O19" s="402" t="s">
        <v>143</v>
      </c>
      <c r="P19" s="403"/>
      <c r="Q19" s="404" t="s">
        <v>277</v>
      </c>
      <c r="R19" s="403">
        <v>0.18</v>
      </c>
      <c r="S19" s="404" t="s">
        <v>156</v>
      </c>
      <c r="U19" s="171">
        <v>12</v>
      </c>
      <c r="V19" s="175" t="s">
        <v>123</v>
      </c>
      <c r="W19" s="176">
        <v>17</v>
      </c>
      <c r="X19" s="177"/>
      <c r="Y19" s="177">
        <v>36.9</v>
      </c>
      <c r="Z19" s="177">
        <v>10.6</v>
      </c>
      <c r="AA19" s="177"/>
      <c r="AB19" s="177"/>
      <c r="AC19" s="177"/>
      <c r="AD19" s="177"/>
      <c r="AE19" s="177">
        <f t="shared" si="0"/>
        <v>35.5</v>
      </c>
      <c r="AF19" s="183">
        <v>0.52</v>
      </c>
      <c r="AG19" s="186">
        <v>0.85</v>
      </c>
      <c r="AH19" s="236">
        <f t="shared" si="1"/>
        <v>0.27</v>
      </c>
      <c r="AI19"/>
    </row>
    <row r="20" spans="1:35" ht="26.25" thickBot="1">
      <c r="A20" s="84">
        <v>4</v>
      </c>
      <c r="B20" s="362" t="s">
        <v>98</v>
      </c>
      <c r="C20" s="85" t="s">
        <v>68</v>
      </c>
      <c r="D20" s="86" t="s">
        <v>97</v>
      </c>
      <c r="E20" s="87"/>
      <c r="O20" s="206" t="s">
        <v>23</v>
      </c>
      <c r="P20" s="376"/>
      <c r="Q20" s="377" t="s">
        <v>277</v>
      </c>
      <c r="R20" s="376">
        <v>0.15</v>
      </c>
      <c r="S20" s="377" t="s">
        <v>138</v>
      </c>
      <c r="U20" s="171">
        <v>13</v>
      </c>
      <c r="V20" s="175" t="s">
        <v>221</v>
      </c>
      <c r="W20" s="176">
        <v>27.5</v>
      </c>
      <c r="X20" s="177"/>
      <c r="Y20" s="177">
        <v>24.2</v>
      </c>
      <c r="Z20" s="177">
        <v>11</v>
      </c>
      <c r="AA20" s="177"/>
      <c r="AB20" s="177"/>
      <c r="AC20" s="177"/>
      <c r="AD20" s="177"/>
      <c r="AE20" s="177">
        <f t="shared" si="0"/>
        <v>37.299999999999997</v>
      </c>
      <c r="AF20" s="183">
        <v>0.56000000000000005</v>
      </c>
      <c r="AG20" s="186">
        <v>0.47</v>
      </c>
      <c r="AH20" s="236">
        <f t="shared" si="1"/>
        <v>0.27</v>
      </c>
      <c r="AI20"/>
    </row>
    <row r="21" spans="1:35" ht="26.25" thickBot="1">
      <c r="A21" s="84"/>
      <c r="B21" s="134"/>
      <c r="C21" s="84"/>
      <c r="D21" s="84"/>
      <c r="E21" s="84"/>
      <c r="O21" s="73"/>
      <c r="P21" s="73"/>
      <c r="Q21" s="73"/>
      <c r="R21" s="73"/>
      <c r="U21" s="171">
        <v>14</v>
      </c>
      <c r="V21" s="175" t="s">
        <v>222</v>
      </c>
      <c r="W21" s="176">
        <v>30</v>
      </c>
      <c r="X21" s="177"/>
      <c r="Y21" s="177">
        <v>36</v>
      </c>
      <c r="Z21" s="177">
        <v>24</v>
      </c>
      <c r="AA21" s="177"/>
      <c r="AB21" s="177"/>
      <c r="AC21" s="177"/>
      <c r="AD21" s="177"/>
      <c r="AE21" s="177">
        <f t="shared" si="0"/>
        <v>10</v>
      </c>
      <c r="AF21" s="183">
        <v>0.69</v>
      </c>
      <c r="AG21" s="186">
        <v>0.85</v>
      </c>
      <c r="AH21" s="236">
        <f t="shared" si="1"/>
        <v>0.39</v>
      </c>
      <c r="AI21"/>
    </row>
    <row r="22" spans="1:35" ht="26.25" thickBot="1">
      <c r="O22" s="303" t="s">
        <v>114</v>
      </c>
      <c r="P22" s="69">
        <v>1</v>
      </c>
      <c r="Q22" s="69" t="s">
        <v>145</v>
      </c>
      <c r="U22" s="171">
        <v>15</v>
      </c>
      <c r="V22" s="175" t="s">
        <v>223</v>
      </c>
      <c r="W22" s="176">
        <v>6</v>
      </c>
      <c r="X22" s="177"/>
      <c r="Y22" s="177">
        <v>67.5</v>
      </c>
      <c r="Z22" s="177">
        <v>2.5</v>
      </c>
      <c r="AA22" s="177"/>
      <c r="AB22" s="177"/>
      <c r="AC22" s="177"/>
      <c r="AD22" s="177"/>
      <c r="AE22" s="177">
        <f t="shared" si="0"/>
        <v>24</v>
      </c>
      <c r="AF22" s="183">
        <v>0.69</v>
      </c>
      <c r="AG22" s="186">
        <v>0.85</v>
      </c>
      <c r="AH22" s="236">
        <f t="shared" si="1"/>
        <v>0.3</v>
      </c>
      <c r="AI22"/>
    </row>
    <row r="23" spans="1:35" ht="13.5" thickBot="1">
      <c r="B23" s="69" t="s">
        <v>53</v>
      </c>
      <c r="O23" s="302">
        <v>1</v>
      </c>
      <c r="P23" s="69">
        <v>2</v>
      </c>
      <c r="Q23" s="69" t="s">
        <v>144</v>
      </c>
      <c r="U23" s="171">
        <v>16</v>
      </c>
      <c r="V23" s="175" t="s">
        <v>224</v>
      </c>
      <c r="W23" s="176">
        <v>23.2</v>
      </c>
      <c r="X23" s="177">
        <v>3.9</v>
      </c>
      <c r="Y23" s="177">
        <v>33.9</v>
      </c>
      <c r="Z23" s="177">
        <v>6.2</v>
      </c>
      <c r="AA23" s="177"/>
      <c r="AB23" s="177"/>
      <c r="AC23" s="177"/>
      <c r="AD23" s="177">
        <v>1.4</v>
      </c>
      <c r="AE23" s="177">
        <f t="shared" si="0"/>
        <v>31.399999999999991</v>
      </c>
      <c r="AF23" s="183">
        <v>0.65</v>
      </c>
      <c r="AG23" s="186">
        <v>0.57999999999999996</v>
      </c>
      <c r="AH23" s="236">
        <f t="shared" si="1"/>
        <v>0.28000000000000003</v>
      </c>
      <c r="AI23"/>
    </row>
    <row r="24" spans="1:35">
      <c r="B24" s="69" t="s">
        <v>54</v>
      </c>
      <c r="S24" s="73"/>
      <c r="U24" s="171">
        <v>17</v>
      </c>
      <c r="V24" s="175" t="s">
        <v>225</v>
      </c>
      <c r="W24" s="176">
        <v>13.7</v>
      </c>
      <c r="X24" s="177">
        <v>2.6</v>
      </c>
      <c r="Y24" s="177">
        <v>43.8</v>
      </c>
      <c r="Z24" s="177">
        <v>13.5</v>
      </c>
      <c r="AA24" s="177"/>
      <c r="AB24" s="177"/>
      <c r="AC24" s="177"/>
      <c r="AD24" s="177">
        <v>1.8</v>
      </c>
      <c r="AE24" s="177">
        <f t="shared" si="0"/>
        <v>24.600000000000009</v>
      </c>
      <c r="AF24" s="183">
        <v>0.21</v>
      </c>
      <c r="AG24" s="186">
        <v>0.5</v>
      </c>
      <c r="AH24" s="236">
        <f t="shared" si="1"/>
        <v>0.31</v>
      </c>
      <c r="AI24"/>
    </row>
    <row r="25" spans="1:35">
      <c r="B25" s="69" t="s">
        <v>55</v>
      </c>
      <c r="O25" s="84"/>
      <c r="P25" s="398"/>
      <c r="Q25" s="398"/>
      <c r="R25" s="399"/>
      <c r="S25" s="399"/>
      <c r="U25" s="171">
        <v>18</v>
      </c>
      <c r="V25" s="175" t="s">
        <v>226</v>
      </c>
      <c r="W25" s="176">
        <v>17.100000000000001</v>
      </c>
      <c r="X25" s="177">
        <v>2.6</v>
      </c>
      <c r="Y25" s="177">
        <v>44.9</v>
      </c>
      <c r="Z25" s="177">
        <v>4.7</v>
      </c>
      <c r="AA25" s="177"/>
      <c r="AB25" s="177"/>
      <c r="AC25" s="177"/>
      <c r="AD25" s="177">
        <v>0.7</v>
      </c>
      <c r="AE25" s="177">
        <f t="shared" si="0"/>
        <v>30</v>
      </c>
      <c r="AF25" s="183">
        <v>0.26</v>
      </c>
      <c r="AG25" s="186">
        <v>0.54</v>
      </c>
      <c r="AH25" s="236">
        <f t="shared" si="1"/>
        <v>0.28000000000000003</v>
      </c>
      <c r="AI25"/>
    </row>
    <row r="26" spans="1:35" ht="13.5" thickBot="1">
      <c r="B26" s="977" t="s">
        <v>70</v>
      </c>
      <c r="C26" s="977"/>
      <c r="D26" s="977"/>
      <c r="E26" s="977"/>
      <c r="F26" s="977"/>
      <c r="G26" s="977"/>
      <c r="H26" s="977"/>
      <c r="O26" s="84"/>
      <c r="P26" s="400"/>
      <c r="Q26" s="398"/>
      <c r="R26" s="400"/>
      <c r="S26" s="398"/>
      <c r="U26" s="171">
        <v>19</v>
      </c>
      <c r="V26" s="175" t="s">
        <v>124</v>
      </c>
      <c r="W26" s="179">
        <v>17</v>
      </c>
      <c r="X26" s="180">
        <v>5.0999999999999996</v>
      </c>
      <c r="Y26" s="180">
        <v>46.9</v>
      </c>
      <c r="Z26" s="180">
        <v>2.4</v>
      </c>
      <c r="AA26" s="180"/>
      <c r="AB26" s="180"/>
      <c r="AC26" s="180"/>
      <c r="AD26" s="180">
        <v>1.9</v>
      </c>
      <c r="AE26" s="180">
        <f t="shared" si="0"/>
        <v>26.699999999999989</v>
      </c>
      <c r="AF26" s="184">
        <v>0.49</v>
      </c>
      <c r="AG26" s="187">
        <v>0.83</v>
      </c>
      <c r="AH26" s="237">
        <f t="shared" si="1"/>
        <v>0.28999999999999998</v>
      </c>
      <c r="AI26"/>
    </row>
    <row r="27" spans="1:35">
      <c r="B27" s="978"/>
      <c r="C27" s="978"/>
      <c r="D27" s="978"/>
      <c r="E27" s="978"/>
      <c r="F27" s="978"/>
      <c r="G27" s="978"/>
      <c r="H27" s="978"/>
      <c r="O27" s="84"/>
      <c r="P27" s="401"/>
      <c r="Q27" s="84"/>
      <c r="R27" s="84"/>
      <c r="S27" s="84"/>
      <c r="U27" s="171"/>
      <c r="V27" s="173"/>
    </row>
    <row r="28" spans="1:35">
      <c r="B28" s="978"/>
      <c r="C28" s="978"/>
      <c r="D28" s="978"/>
      <c r="E28" s="978"/>
      <c r="F28" s="978"/>
      <c r="G28" s="978"/>
      <c r="H28" s="978"/>
      <c r="O28" s="84"/>
      <c r="P28" s="401"/>
      <c r="Q28" s="84"/>
      <c r="R28" s="84"/>
      <c r="S28" s="84"/>
      <c r="V28" s="173"/>
    </row>
    <row r="29" spans="1:35">
      <c r="B29" s="978"/>
      <c r="C29" s="978"/>
      <c r="D29" s="978"/>
      <c r="E29" s="978"/>
      <c r="F29" s="978"/>
      <c r="G29" s="978"/>
      <c r="H29" s="978"/>
      <c r="O29" s="393"/>
      <c r="P29" s="394"/>
      <c r="Q29" s="395"/>
      <c r="R29" s="84"/>
      <c r="W29" s="188">
        <f>AVERAGE(W8:W26)</f>
        <v>17.931578947368422</v>
      </c>
      <c r="X29" s="188">
        <f t="shared" ref="X29:AE29" si="2">AVERAGE(X8:X26)</f>
        <v>2.871428571428571</v>
      </c>
      <c r="Y29" s="188">
        <f t="shared" si="2"/>
        <v>39.521052631578939</v>
      </c>
      <c r="Z29" s="188">
        <f t="shared" si="2"/>
        <v>8.3368421052631572</v>
      </c>
      <c r="AA29" s="188"/>
      <c r="AB29" s="188"/>
      <c r="AC29" s="188"/>
      <c r="AD29" s="188">
        <f t="shared" si="2"/>
        <v>1.1600000000000001</v>
      </c>
      <c r="AE29" s="188">
        <f t="shared" si="2"/>
        <v>31.484210526315792</v>
      </c>
      <c r="AF29" s="188">
        <f>SUM(W29:AE29)</f>
        <v>101.30511278195488</v>
      </c>
    </row>
    <row r="30" spans="1:35">
      <c r="B30" s="978"/>
      <c r="C30" s="978"/>
      <c r="D30" s="978"/>
      <c r="E30" s="978"/>
      <c r="F30" s="978"/>
      <c r="G30" s="978"/>
      <c r="H30" s="978"/>
      <c r="O30" s="393"/>
      <c r="P30" s="394"/>
      <c r="Q30" s="395"/>
      <c r="R30" s="84"/>
      <c r="W30" s="189">
        <f t="shared" ref="W30:AE30" si="3">W29/$AF$29</f>
        <v>0.17700566590319725</v>
      </c>
      <c r="X30" s="189">
        <f t="shared" si="3"/>
        <v>2.8344359850908222E-2</v>
      </c>
      <c r="Y30" s="189">
        <f t="shared" si="3"/>
        <v>0.39011903295189543</v>
      </c>
      <c r="Z30" s="189">
        <f t="shared" si="3"/>
        <v>8.229438649564555E-2</v>
      </c>
      <c r="AA30" s="189">
        <f t="shared" si="3"/>
        <v>0</v>
      </c>
      <c r="AB30" s="189">
        <f t="shared" si="3"/>
        <v>0</v>
      </c>
      <c r="AC30" s="189">
        <f t="shared" si="3"/>
        <v>0</v>
      </c>
      <c r="AD30" s="189">
        <f t="shared" si="3"/>
        <v>1.145055731290422E-2</v>
      </c>
      <c r="AE30" s="189">
        <f t="shared" si="3"/>
        <v>0.31078599748544938</v>
      </c>
    </row>
    <row r="31" spans="1:35" ht="13.5" thickBot="1">
      <c r="O31" s="393"/>
      <c r="P31" s="394"/>
      <c r="Q31" s="395"/>
      <c r="R31" s="84"/>
    </row>
    <row r="32" spans="1:35" ht="13.5" thickBot="1">
      <c r="B32" s="88" t="s">
        <v>71</v>
      </c>
      <c r="O32" s="393"/>
      <c r="P32" s="394"/>
      <c r="Q32" s="395"/>
      <c r="R32" s="84"/>
      <c r="AE32" s="139" t="s">
        <v>178</v>
      </c>
      <c r="AF32" s="244">
        <f>AVERAGE(AF12:AF26,AF8:AF10)</f>
        <v>0.42055555555555557</v>
      </c>
      <c r="AG32" s="265">
        <f>AVERAGE(AG12:AG26,AG8:AG10)</f>
        <v>0.676111111111111</v>
      </c>
      <c r="AH32" s="266">
        <f>AVERAGE(AH8:AH26)</f>
        <v>0.27947368421052637</v>
      </c>
    </row>
    <row r="33" spans="2:18">
      <c r="O33" s="393"/>
      <c r="P33" s="394"/>
      <c r="Q33" s="395"/>
      <c r="R33" s="84"/>
    </row>
    <row r="34" spans="2:18">
      <c r="B34" s="69" t="s">
        <v>72</v>
      </c>
      <c r="O34" s="393"/>
      <c r="P34" s="394"/>
      <c r="Q34" s="395"/>
      <c r="R34" s="84"/>
    </row>
    <row r="35" spans="2:18">
      <c r="O35" s="393"/>
      <c r="P35" s="394"/>
      <c r="Q35" s="395"/>
      <c r="R35" s="84"/>
    </row>
    <row r="36" spans="2:18">
      <c r="B36" s="5" t="s">
        <v>73</v>
      </c>
      <c r="O36" s="393"/>
      <c r="P36" s="394"/>
      <c r="Q36" s="395"/>
      <c r="R36" s="84"/>
    </row>
    <row r="37" spans="2:18" ht="13.5" thickBot="1">
      <c r="O37" s="393"/>
      <c r="P37" s="394"/>
      <c r="Q37" s="395"/>
      <c r="R37" s="84"/>
    </row>
    <row r="38" spans="2:18" ht="14.25">
      <c r="B38" s="89" t="s">
        <v>74</v>
      </c>
      <c r="C38" s="979" t="s">
        <v>75</v>
      </c>
      <c r="D38" s="970"/>
      <c r="O38" s="393"/>
      <c r="P38" s="394"/>
      <c r="Q38" s="395"/>
      <c r="R38" s="84"/>
    </row>
    <row r="39" spans="2:18">
      <c r="B39" s="142">
        <v>35</v>
      </c>
      <c r="C39" s="982">
        <f>LN(2)/B39</f>
        <v>1.980420515885558E-2</v>
      </c>
      <c r="D39" s="983"/>
    </row>
    <row r="40" spans="2:18" ht="27">
      <c r="B40" s="363" t="s">
        <v>76</v>
      </c>
      <c r="C40" s="980" t="s">
        <v>77</v>
      </c>
      <c r="D40" s="981"/>
    </row>
    <row r="41" spans="2:18" ht="13.5" thickBot="1">
      <c r="B41" s="143">
        <v>0.05</v>
      </c>
      <c r="C41" s="975">
        <f>LN(2)/B41</f>
        <v>13.862943611198904</v>
      </c>
      <c r="D41" s="976"/>
    </row>
    <row r="51" spans="2:8">
      <c r="B51"/>
      <c r="C51"/>
      <c r="D51"/>
      <c r="E51"/>
      <c r="F51"/>
      <c r="G51"/>
      <c r="H51"/>
    </row>
    <row r="52" spans="2:8">
      <c r="B52"/>
      <c r="C52"/>
      <c r="D52"/>
      <c r="E52"/>
      <c r="F52"/>
      <c r="G52"/>
      <c r="H52"/>
    </row>
    <row r="53" spans="2:8">
      <c r="B53"/>
      <c r="C53"/>
      <c r="D53"/>
      <c r="E53"/>
      <c r="F53"/>
      <c r="G53"/>
      <c r="H53"/>
    </row>
    <row r="54" spans="2:8">
      <c r="B54"/>
      <c r="C54"/>
      <c r="D54"/>
      <c r="E54"/>
      <c r="F54"/>
      <c r="G54"/>
      <c r="H54"/>
    </row>
    <row r="55" spans="2:8">
      <c r="B55"/>
      <c r="C55"/>
      <c r="D55"/>
      <c r="E55"/>
      <c r="F55"/>
      <c r="G55"/>
      <c r="H55"/>
    </row>
    <row r="56" spans="2:8">
      <c r="B56"/>
      <c r="C56"/>
      <c r="D56"/>
      <c r="E56"/>
      <c r="F56"/>
      <c r="G56"/>
      <c r="H56"/>
    </row>
    <row r="57" spans="2:8">
      <c r="B57"/>
      <c r="C57"/>
      <c r="D57"/>
      <c r="E57"/>
      <c r="F57"/>
      <c r="G57"/>
      <c r="H57"/>
    </row>
    <row r="58" spans="2:8">
      <c r="B58"/>
      <c r="C58"/>
      <c r="D58"/>
      <c r="E58"/>
      <c r="F58"/>
      <c r="G58"/>
      <c r="H58"/>
    </row>
    <row r="59" spans="2:8">
      <c r="B59"/>
      <c r="C59"/>
      <c r="D59"/>
      <c r="E59"/>
      <c r="F59"/>
      <c r="G59"/>
      <c r="H59"/>
    </row>
    <row r="60" spans="2:8">
      <c r="B60"/>
      <c r="C60"/>
      <c r="D60"/>
      <c r="E60"/>
      <c r="F60"/>
      <c r="G60"/>
      <c r="H60"/>
    </row>
    <row r="61" spans="2:8">
      <c r="B61"/>
      <c r="C61"/>
      <c r="D61"/>
      <c r="E61"/>
      <c r="F61"/>
      <c r="G61"/>
      <c r="H61"/>
    </row>
    <row r="62" spans="2:8">
      <c r="B62"/>
      <c r="C62"/>
      <c r="D62"/>
      <c r="E62"/>
      <c r="F62"/>
      <c r="G62"/>
      <c r="H62"/>
    </row>
    <row r="63" spans="2:8">
      <c r="B63"/>
      <c r="C63"/>
      <c r="D63"/>
      <c r="E63"/>
      <c r="F63"/>
      <c r="G63"/>
      <c r="H63"/>
    </row>
    <row r="64" spans="2:8">
      <c r="B64"/>
      <c r="C64"/>
      <c r="D64"/>
      <c r="E64"/>
      <c r="F64"/>
      <c r="G64"/>
      <c r="H64"/>
    </row>
  </sheetData>
  <customSheetViews>
    <customSheetView guid="{B400968E-E9A7-41C3-9739-36597C9C6BC6}" showGridLines="0" showRuler="0">
      <pane ySplit="3" topLeftCell="A4" activePane="bottomLeft" state="frozenSplit"/>
      <selection pane="bottomLeft" activeCell="A4" sqref="A4"/>
      <pageMargins left="0.7" right="0.7" top="0.75" bottom="0.75" header="0.3" footer="0.3"/>
      <headerFooter alignWithMargins="0"/>
    </customSheetView>
  </customSheetViews>
  <mergeCells count="21">
    <mergeCell ref="P4:Q4"/>
    <mergeCell ref="R4:S4"/>
    <mergeCell ref="C41:D41"/>
    <mergeCell ref="B26:H30"/>
    <mergeCell ref="C38:D38"/>
    <mergeCell ref="C40:D40"/>
    <mergeCell ref="C39:D39"/>
    <mergeCell ref="O13:S13"/>
    <mergeCell ref="B2:H3"/>
    <mergeCell ref="D6:E6"/>
    <mergeCell ref="F6:G6"/>
    <mergeCell ref="D5:G5"/>
    <mergeCell ref="H5:K5"/>
    <mergeCell ref="AG5:AG7"/>
    <mergeCell ref="AH5:AH7"/>
    <mergeCell ref="B8:B9"/>
    <mergeCell ref="H6:I6"/>
    <mergeCell ref="J6:K6"/>
    <mergeCell ref="B7:C7"/>
    <mergeCell ref="W6:AE6"/>
    <mergeCell ref="AF5:AF7"/>
  </mergeCells>
  <phoneticPr fontId="16" type="noConversion"/>
  <pageMargins left="0.7" right="0.69" top="1" bottom="1" header="0.5" footer="0.5"/>
  <headerFooter alignWithMargins="0"/>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2:W99"/>
  <sheetViews>
    <sheetView showGridLines="0" topLeftCell="D1" workbookViewId="0">
      <selection activeCell="J30" sqref="J30"/>
    </sheetView>
  </sheetViews>
  <sheetFormatPr defaultColWidth="8.85546875" defaultRowHeight="12.75"/>
  <cols>
    <col min="1" max="1" width="3.42578125" style="772" customWidth="1"/>
    <col min="2" max="2" width="5.28515625" style="772" customWidth="1"/>
    <col min="3" max="4" width="9" style="772" customWidth="1"/>
    <col min="5" max="5" width="7.42578125" style="786" customWidth="1"/>
    <col min="6" max="6" width="10.85546875" style="772" customWidth="1"/>
    <col min="7" max="7" width="10.7109375" style="772" customWidth="1"/>
    <col min="8" max="8" width="10.140625" style="772" customWidth="1"/>
    <col min="9" max="9" width="14.42578125" style="772" customWidth="1"/>
    <col min="10" max="10" width="12" style="772" customWidth="1"/>
    <col min="11" max="11" width="10.28515625" style="772" customWidth="1"/>
    <col min="12" max="12" width="8.85546875" style="777"/>
    <col min="13" max="13" width="2.7109375" style="778" customWidth="1"/>
    <col min="14" max="16384" width="8.85546875" style="777"/>
  </cols>
  <sheetData>
    <row r="2" spans="1:23" ht="15.75">
      <c r="B2" s="773" t="s">
        <v>102</v>
      </c>
      <c r="C2" s="774"/>
      <c r="D2" s="774"/>
      <c r="E2" s="775"/>
      <c r="F2" s="776"/>
      <c r="G2" s="776"/>
      <c r="H2" s="776"/>
      <c r="I2" s="776"/>
      <c r="J2" s="776"/>
      <c r="K2" s="776"/>
    </row>
    <row r="3" spans="1:23" ht="15">
      <c r="B3" s="779" t="str">
        <f>IF(Select2=2,"This sheet applies only to the waste compositon option and can be deleted when the bulk waste option has been chosen","")</f>
        <v/>
      </c>
      <c r="C3" s="774"/>
      <c r="D3" s="774"/>
      <c r="E3" s="775"/>
      <c r="F3" s="776"/>
      <c r="G3" s="776"/>
      <c r="H3" s="776"/>
      <c r="I3" s="776"/>
      <c r="J3" s="776"/>
      <c r="K3" s="776"/>
    </row>
    <row r="4" spans="1:23" ht="16.5" thickBot="1">
      <c r="B4" s="780"/>
      <c r="C4" s="781"/>
      <c r="D4" s="781"/>
      <c r="E4" s="782"/>
      <c r="F4" s="783"/>
      <c r="G4" s="783"/>
      <c r="H4" s="783"/>
      <c r="I4" s="783"/>
      <c r="J4" s="783"/>
      <c r="K4" s="783"/>
    </row>
    <row r="5" spans="1:23" ht="26.25" thickBot="1">
      <c r="B5" s="784"/>
      <c r="C5" s="785"/>
      <c r="D5" s="785"/>
      <c r="F5" s="787"/>
      <c r="G5" s="788"/>
      <c r="H5" s="788"/>
      <c r="I5" s="788"/>
      <c r="J5" s="788"/>
      <c r="K5" s="789" t="s">
        <v>7</v>
      </c>
      <c r="O5" s="784"/>
      <c r="P5" s="785"/>
      <c r="Q5" s="786"/>
      <c r="R5" s="787"/>
      <c r="S5" s="788"/>
      <c r="T5" s="788"/>
      <c r="U5" s="788"/>
      <c r="V5" s="788"/>
      <c r="W5" s="789" t="s">
        <v>7</v>
      </c>
    </row>
    <row r="6" spans="1:23">
      <c r="B6" s="784"/>
      <c r="C6" s="785"/>
      <c r="D6" s="785"/>
      <c r="F6" s="790" t="s">
        <v>9</v>
      </c>
      <c r="G6" s="791"/>
      <c r="H6" s="791"/>
      <c r="I6" s="792"/>
      <c r="J6" s="793" t="s">
        <v>9</v>
      </c>
      <c r="K6" s="794">
        <f>Parameters!O15</f>
        <v>0.38</v>
      </c>
      <c r="O6" s="784"/>
      <c r="P6" s="785"/>
      <c r="Q6" s="786"/>
      <c r="R6" s="790" t="s">
        <v>9</v>
      </c>
      <c r="S6" s="791"/>
      <c r="T6" s="791"/>
      <c r="U6" s="792"/>
      <c r="V6" s="793" t="s">
        <v>9</v>
      </c>
      <c r="W6" s="794">
        <f>Parameters!R15</f>
        <v>0.15</v>
      </c>
    </row>
    <row r="7" spans="1:23" ht="13.5" thickBot="1">
      <c r="B7" s="784"/>
      <c r="C7" s="785"/>
      <c r="D7" s="785"/>
      <c r="F7" s="795" t="s">
        <v>12</v>
      </c>
      <c r="G7" s="796"/>
      <c r="H7" s="796"/>
      <c r="I7" s="797"/>
      <c r="J7" s="798" t="s">
        <v>12</v>
      </c>
      <c r="K7" s="799">
        <f>DOCF</f>
        <v>0.5</v>
      </c>
      <c r="O7" s="784"/>
      <c r="P7" s="785"/>
      <c r="Q7" s="786"/>
      <c r="R7" s="795" t="s">
        <v>12</v>
      </c>
      <c r="S7" s="796"/>
      <c r="T7" s="796"/>
      <c r="U7" s="797"/>
      <c r="V7" s="798" t="s">
        <v>12</v>
      </c>
      <c r="W7" s="799">
        <f>DOCF</f>
        <v>0.5</v>
      </c>
    </row>
    <row r="8" spans="1:23">
      <c r="F8" s="790" t="s">
        <v>192</v>
      </c>
      <c r="G8" s="791"/>
      <c r="H8" s="791"/>
      <c r="I8" s="792"/>
      <c r="J8" s="793" t="s">
        <v>188</v>
      </c>
      <c r="K8" s="800">
        <f>Parameters!O34</f>
        <v>0.4</v>
      </c>
      <c r="O8" s="772"/>
      <c r="P8" s="772"/>
      <c r="Q8" s="786"/>
      <c r="R8" s="790" t="s">
        <v>192</v>
      </c>
      <c r="S8" s="791"/>
      <c r="T8" s="791"/>
      <c r="U8" s="792"/>
      <c r="V8" s="793" t="s">
        <v>188</v>
      </c>
      <c r="W8" s="800">
        <f>Parameters!O34</f>
        <v>0.4</v>
      </c>
    </row>
    <row r="9" spans="1:23" ht="15.75">
      <c r="F9" s="801" t="s">
        <v>190</v>
      </c>
      <c r="G9" s="802"/>
      <c r="H9" s="802"/>
      <c r="I9" s="803"/>
      <c r="J9" s="804" t="s">
        <v>189</v>
      </c>
      <c r="K9" s="805">
        <f>LN(2)/$K$8</f>
        <v>1.732867951399863</v>
      </c>
      <c r="O9" s="772"/>
      <c r="P9" s="772"/>
      <c r="Q9" s="786"/>
      <c r="R9" s="801" t="s">
        <v>190</v>
      </c>
      <c r="S9" s="802"/>
      <c r="T9" s="802"/>
      <c r="U9" s="803"/>
      <c r="V9" s="804" t="s">
        <v>189</v>
      </c>
      <c r="W9" s="805">
        <f>LN(2)/$W$8</f>
        <v>1.732867951399863</v>
      </c>
    </row>
    <row r="10" spans="1:23">
      <c r="F10" s="806" t="s">
        <v>84</v>
      </c>
      <c r="G10" s="807"/>
      <c r="H10" s="807"/>
      <c r="I10" s="808"/>
      <c r="J10" s="809" t="s">
        <v>148</v>
      </c>
      <c r="K10" s="810">
        <f>EXP(-$K$8)</f>
        <v>0.67032004603563933</v>
      </c>
      <c r="O10" s="772"/>
      <c r="P10" s="772"/>
      <c r="Q10" s="786"/>
      <c r="R10" s="806" t="s">
        <v>84</v>
      </c>
      <c r="S10" s="807"/>
      <c r="T10" s="807"/>
      <c r="U10" s="808"/>
      <c r="V10" s="809" t="s">
        <v>148</v>
      </c>
      <c r="W10" s="810">
        <f>EXP(-$W$8)</f>
        <v>0.67032004603563933</v>
      </c>
    </row>
    <row r="11" spans="1:23">
      <c r="F11" s="806" t="s">
        <v>8</v>
      </c>
      <c r="G11" s="807"/>
      <c r="H11" s="807"/>
      <c r="I11" s="808"/>
      <c r="J11" s="809" t="s">
        <v>83</v>
      </c>
      <c r="K11" s="810">
        <v>13</v>
      </c>
      <c r="O11" s="772"/>
      <c r="P11" s="772"/>
      <c r="Q11" s="786"/>
      <c r="R11" s="806" t="s">
        <v>8</v>
      </c>
      <c r="S11" s="807"/>
      <c r="T11" s="807"/>
      <c r="U11" s="808"/>
      <c r="V11" s="809" t="s">
        <v>83</v>
      </c>
      <c r="W11" s="810">
        <v>13</v>
      </c>
    </row>
    <row r="12" spans="1:23" ht="13.5" thickBot="1">
      <c r="F12" s="811" t="s">
        <v>85</v>
      </c>
      <c r="G12" s="812"/>
      <c r="H12" s="812"/>
      <c r="I12" s="813"/>
      <c r="J12" s="814" t="s">
        <v>179</v>
      </c>
      <c r="K12" s="815">
        <f>EXP(-$K$8*((13-K11)/12))</f>
        <v>1</v>
      </c>
      <c r="O12" s="772"/>
      <c r="P12" s="772"/>
      <c r="Q12" s="786"/>
      <c r="R12" s="811" t="s">
        <v>85</v>
      </c>
      <c r="S12" s="812"/>
      <c r="T12" s="812"/>
      <c r="U12" s="813"/>
      <c r="V12" s="814" t="s">
        <v>179</v>
      </c>
      <c r="W12" s="815">
        <f>EXP(-$W$8*((13-W11)/12))</f>
        <v>1</v>
      </c>
    </row>
    <row r="13" spans="1:23" ht="13.5" thickBot="1">
      <c r="C13" s="816"/>
      <c r="D13" s="816"/>
      <c r="F13" s="817" t="s">
        <v>86</v>
      </c>
      <c r="G13" s="818"/>
      <c r="H13" s="818"/>
      <c r="I13" s="819"/>
      <c r="J13" s="820" t="s">
        <v>82</v>
      </c>
      <c r="K13" s="821">
        <f>CH4_fraction</f>
        <v>0.5</v>
      </c>
      <c r="O13" s="772"/>
      <c r="P13" s="816"/>
      <c r="Q13" s="786"/>
      <c r="R13" s="817" t="s">
        <v>86</v>
      </c>
      <c r="S13" s="818"/>
      <c r="T13" s="818"/>
      <c r="U13" s="819"/>
      <c r="V13" s="820" t="s">
        <v>82</v>
      </c>
      <c r="W13" s="821">
        <f>CH4_fraction</f>
        <v>0.5</v>
      </c>
    </row>
    <row r="14" spans="1:23" ht="13.5" thickBot="1">
      <c r="F14" s="822"/>
      <c r="G14" s="822"/>
      <c r="H14" s="822"/>
      <c r="I14" s="822"/>
      <c r="J14" s="822"/>
      <c r="K14" s="822"/>
      <c r="O14" s="772"/>
      <c r="P14" s="772"/>
      <c r="Q14" s="786"/>
      <c r="R14" s="822"/>
      <c r="S14" s="822"/>
      <c r="T14" s="822"/>
      <c r="U14" s="822"/>
      <c r="V14" s="822"/>
      <c r="W14" s="822"/>
    </row>
    <row r="15" spans="1:23" ht="89.25">
      <c r="B15" s="823" t="s">
        <v>1</v>
      </c>
      <c r="C15" s="824" t="s">
        <v>10</v>
      </c>
      <c r="D15" s="825" t="s">
        <v>239</v>
      </c>
      <c r="E15" s="826" t="s">
        <v>11</v>
      </c>
      <c r="F15" s="827" t="s">
        <v>180</v>
      </c>
      <c r="G15" s="827" t="s">
        <v>181</v>
      </c>
      <c r="H15" s="827" t="s">
        <v>182</v>
      </c>
      <c r="I15" s="827" t="s">
        <v>183</v>
      </c>
      <c r="J15" s="827" t="s">
        <v>184</v>
      </c>
      <c r="K15" s="828" t="s">
        <v>185</v>
      </c>
      <c r="O15" s="823" t="s">
        <v>1</v>
      </c>
      <c r="P15" s="824" t="s">
        <v>10</v>
      </c>
      <c r="Q15" s="826" t="s">
        <v>11</v>
      </c>
      <c r="R15" s="827" t="s">
        <v>180</v>
      </c>
      <c r="S15" s="827" t="s">
        <v>181</v>
      </c>
      <c r="T15" s="827" t="s">
        <v>182</v>
      </c>
      <c r="U15" s="827" t="s">
        <v>183</v>
      </c>
      <c r="V15" s="827" t="s">
        <v>184</v>
      </c>
      <c r="W15" s="828" t="s">
        <v>185</v>
      </c>
    </row>
    <row r="16" spans="1:23" ht="45">
      <c r="A16" s="829"/>
      <c r="B16" s="830"/>
      <c r="C16" s="831" t="s">
        <v>186</v>
      </c>
      <c r="D16" s="831" t="s">
        <v>240</v>
      </c>
      <c r="E16" s="832" t="s">
        <v>11</v>
      </c>
      <c r="F16" s="833" t="s">
        <v>254</v>
      </c>
      <c r="G16" s="833" t="s">
        <v>149</v>
      </c>
      <c r="H16" s="833" t="s">
        <v>150</v>
      </c>
      <c r="I16" s="833" t="s">
        <v>151</v>
      </c>
      <c r="J16" s="833" t="s">
        <v>191</v>
      </c>
      <c r="K16" s="834" t="s">
        <v>152</v>
      </c>
      <c r="O16" s="830"/>
      <c r="P16" s="831" t="s">
        <v>186</v>
      </c>
      <c r="Q16" s="832" t="s">
        <v>11</v>
      </c>
      <c r="R16" s="833" t="s">
        <v>187</v>
      </c>
      <c r="S16" s="833" t="s">
        <v>149</v>
      </c>
      <c r="T16" s="833" t="s">
        <v>150</v>
      </c>
      <c r="U16" s="833" t="s">
        <v>151</v>
      </c>
      <c r="V16" s="833" t="s">
        <v>191</v>
      </c>
      <c r="W16" s="834" t="s">
        <v>152</v>
      </c>
    </row>
    <row r="17" spans="2:23" ht="13.5" thickBot="1">
      <c r="B17" s="835"/>
      <c r="C17" s="836" t="s">
        <v>15</v>
      </c>
      <c r="D17" s="837" t="s">
        <v>20</v>
      </c>
      <c r="E17" s="837" t="s">
        <v>20</v>
      </c>
      <c r="F17" s="838" t="s">
        <v>15</v>
      </c>
      <c r="G17" s="838" t="s">
        <v>15</v>
      </c>
      <c r="H17" s="838" t="s">
        <v>15</v>
      </c>
      <c r="I17" s="838" t="s">
        <v>15</v>
      </c>
      <c r="J17" s="838" t="s">
        <v>15</v>
      </c>
      <c r="K17" s="839" t="s">
        <v>15</v>
      </c>
      <c r="O17" s="835"/>
      <c r="P17" s="836" t="s">
        <v>15</v>
      </c>
      <c r="Q17" s="837" t="s">
        <v>20</v>
      </c>
      <c r="R17" s="838" t="s">
        <v>15</v>
      </c>
      <c r="S17" s="838" t="s">
        <v>15</v>
      </c>
      <c r="T17" s="838" t="s">
        <v>15</v>
      </c>
      <c r="U17" s="838" t="s">
        <v>15</v>
      </c>
      <c r="V17" s="838" t="s">
        <v>15</v>
      </c>
      <c r="W17" s="839" t="s">
        <v>15</v>
      </c>
    </row>
    <row r="18" spans="2:23" ht="13.5" thickBot="1">
      <c r="B18" s="840"/>
      <c r="C18" s="841"/>
      <c r="D18" s="841"/>
      <c r="E18" s="842"/>
      <c r="F18" s="843"/>
      <c r="G18" s="844"/>
      <c r="H18" s="844"/>
      <c r="I18" s="844"/>
      <c r="J18" s="844"/>
      <c r="K18" s="845"/>
      <c r="O18" s="840"/>
      <c r="P18" s="841"/>
      <c r="Q18" s="842"/>
      <c r="R18" s="843"/>
      <c r="S18" s="844"/>
      <c r="T18" s="844"/>
      <c r="U18" s="844"/>
      <c r="V18" s="844"/>
      <c r="W18" s="845"/>
    </row>
    <row r="19" spans="2:23">
      <c r="B19" s="846">
        <f>Amnt_Deposited!B14</f>
        <v>2000</v>
      </c>
      <c r="C19" s="847">
        <f>Amnt_Deposited!C14</f>
        <v>12.30701151141</v>
      </c>
      <c r="D19" s="848">
        <f>Dry_Matter_Content!C6</f>
        <v>0.59</v>
      </c>
      <c r="E19" s="849">
        <f>MCF!R18</f>
        <v>1</v>
      </c>
      <c r="F19" s="850">
        <f>C19*D19*$K$6*DOCF*E19</f>
        <v>1.3796159904290608</v>
      </c>
      <c r="G19" s="851">
        <f>F19*$K$12</f>
        <v>1.3796159904290608</v>
      </c>
      <c r="H19" s="851">
        <f>F19*(1-$K$12)</f>
        <v>0</v>
      </c>
      <c r="I19" s="851">
        <f>G19+I18*$K$10</f>
        <v>1.3796159904290608</v>
      </c>
      <c r="J19" s="883">
        <f>I18*(1-$K$10)+H19</f>
        <v>0</v>
      </c>
      <c r="K19" s="884">
        <f>J19*CH4_fraction*conv</f>
        <v>0</v>
      </c>
      <c r="O19" s="846">
        <f>Amnt_Deposited!B14</f>
        <v>2000</v>
      </c>
      <c r="P19" s="853">
        <f>Amnt_Deposited!C14</f>
        <v>12.30701151141</v>
      </c>
      <c r="Q19" s="849">
        <f>MCF!R18</f>
        <v>1</v>
      </c>
      <c r="R19" s="850">
        <f t="shared" ref="R19:R50" si="0">P19*$W$6*DOCF*Q19</f>
        <v>0.92302586335574999</v>
      </c>
      <c r="S19" s="851">
        <f>R19*$W$12</f>
        <v>0.92302586335574999</v>
      </c>
      <c r="T19" s="851">
        <f>R19*(1-$W$12)</f>
        <v>0</v>
      </c>
      <c r="U19" s="851">
        <f>S19+U18*$W$10</f>
        <v>0.92302586335574999</v>
      </c>
      <c r="V19" s="851">
        <f>U18*(1-$W$10)+T19</f>
        <v>0</v>
      </c>
      <c r="W19" s="852">
        <f>V19*CH4_fraction*conv</f>
        <v>0</v>
      </c>
    </row>
    <row r="20" spans="2:23">
      <c r="B20" s="854">
        <f>Amnt_Deposited!B15</f>
        <v>2001</v>
      </c>
      <c r="C20" s="855">
        <f>Amnt_Deposited!C15</f>
        <v>12.464678524649997</v>
      </c>
      <c r="D20" s="856">
        <f>Dry_Matter_Content!C7</f>
        <v>0.59</v>
      </c>
      <c r="E20" s="857">
        <f>MCF!R19</f>
        <v>1</v>
      </c>
      <c r="F20" s="858">
        <f t="shared" ref="F20:F50" si="1">C20*D20*$K$6*DOCF*E20</f>
        <v>1.3972904626132645</v>
      </c>
      <c r="G20" s="858">
        <f t="shared" ref="G20:G50" si="2">F20*$K$12</f>
        <v>1.3972904626132645</v>
      </c>
      <c r="H20" s="858">
        <f t="shared" ref="H20:H50" si="3">F20*(1-$K$12)</f>
        <v>0</v>
      </c>
      <c r="I20" s="858">
        <f t="shared" ref="I20:I50" si="4">G20+I19*$K$10</f>
        <v>2.3220747168291767</v>
      </c>
      <c r="J20" s="885">
        <f>I19*(1-$K$10)+H20</f>
        <v>0.4548317362131486</v>
      </c>
      <c r="K20" s="886">
        <f>J20*CH4_fraction*conv</f>
        <v>0.30322115747543238</v>
      </c>
      <c r="M20" s="860"/>
      <c r="O20" s="854">
        <f>Amnt_Deposited!B15</f>
        <v>2001</v>
      </c>
      <c r="P20" s="861">
        <f>Amnt_Deposited!C15</f>
        <v>12.464678524649997</v>
      </c>
      <c r="Q20" s="857">
        <f>MCF!R19</f>
        <v>1</v>
      </c>
      <c r="R20" s="858">
        <f t="shared" si="0"/>
        <v>0.93485088934874971</v>
      </c>
      <c r="S20" s="858">
        <f>R20*$W$12</f>
        <v>0.93485088934874971</v>
      </c>
      <c r="T20" s="858">
        <f>R20*(1-$W$12)</f>
        <v>0</v>
      </c>
      <c r="U20" s="858">
        <f>S20+U19*$W$10</f>
        <v>1.5535736285654618</v>
      </c>
      <c r="V20" s="858">
        <f>U19*(1-$W$10)+T20</f>
        <v>0.30430312413903793</v>
      </c>
      <c r="W20" s="859">
        <f>V20*CH4_fraction*conv</f>
        <v>0.20286874942602529</v>
      </c>
    </row>
    <row r="21" spans="2:23">
      <c r="B21" s="854">
        <f>Amnt_Deposited!B16</f>
        <v>2002</v>
      </c>
      <c r="C21" s="855">
        <f>Amnt_Deposited!C16</f>
        <v>12.745556924099999</v>
      </c>
      <c r="D21" s="856">
        <f>Dry_Matter_Content!C8</f>
        <v>0.59</v>
      </c>
      <c r="E21" s="857">
        <f>MCF!R20</f>
        <v>1</v>
      </c>
      <c r="F21" s="858">
        <f t="shared" si="1"/>
        <v>1.4287769311916099</v>
      </c>
      <c r="G21" s="858">
        <f t="shared" si="2"/>
        <v>1.4287769311916099</v>
      </c>
      <c r="H21" s="858">
        <f t="shared" si="3"/>
        <v>0</v>
      </c>
      <c r="I21" s="858">
        <f t="shared" si="4"/>
        <v>2.9853101622747378</v>
      </c>
      <c r="J21" s="885">
        <f>I20*(1-$K$10)+H21</f>
        <v>0.76554148574604886</v>
      </c>
      <c r="K21" s="886">
        <f>J21*CH4_fraction*conv</f>
        <v>0.51036099049736583</v>
      </c>
      <c r="O21" s="854">
        <f>Amnt_Deposited!B16</f>
        <v>2002</v>
      </c>
      <c r="P21" s="861">
        <f>Amnt_Deposited!C16</f>
        <v>12.745556924099999</v>
      </c>
      <c r="Q21" s="857">
        <f>MCF!R20</f>
        <v>1</v>
      </c>
      <c r="R21" s="858">
        <f t="shared" si="0"/>
        <v>0.95591676930749991</v>
      </c>
      <c r="S21" s="858">
        <f t="shared" ref="S21:S84" si="5">R21*$W$12</f>
        <v>0.95591676930749991</v>
      </c>
      <c r="T21" s="858">
        <f t="shared" ref="T21:T84" si="6">R21*(1-$W$12)</f>
        <v>0</v>
      </c>
      <c r="U21" s="858">
        <f t="shared" ref="U21:U84" si="7">S21+U20*$W$10</f>
        <v>1.9973083155272555</v>
      </c>
      <c r="V21" s="858">
        <f t="shared" ref="V21:V84" si="8">U20*(1-$W$10)+T21</f>
        <v>0.51218208234570617</v>
      </c>
      <c r="W21" s="859">
        <f t="shared" ref="W21:W84" si="9">V21*CH4_fraction*conv</f>
        <v>0.34145472156380408</v>
      </c>
    </row>
    <row r="22" spans="2:23">
      <c r="B22" s="854">
        <f>Amnt_Deposited!B17</f>
        <v>2003</v>
      </c>
      <c r="C22" s="855">
        <f>Amnt_Deposited!C17</f>
        <v>12.97210494063</v>
      </c>
      <c r="D22" s="856">
        <f>Dry_Matter_Content!C9</f>
        <v>0.59</v>
      </c>
      <c r="E22" s="857">
        <f>MCF!R21</f>
        <v>1</v>
      </c>
      <c r="F22" s="858">
        <f t="shared" si="1"/>
        <v>1.454172963844623</v>
      </c>
      <c r="G22" s="858">
        <f t="shared" si="2"/>
        <v>1.454172963844623</v>
      </c>
      <c r="H22" s="858">
        <f t="shared" si="3"/>
        <v>0</v>
      </c>
      <c r="I22" s="858">
        <f t="shared" si="4"/>
        <v>3.455286209251287</v>
      </c>
      <c r="J22" s="885">
        <f t="shared" ref="J22:J50" si="10">I21*(1-$K$10)+H22</f>
        <v>0.98419691686807365</v>
      </c>
      <c r="K22" s="886">
        <f t="shared" ref="K22:K84" si="11">J22*CH4_fraction*conv</f>
        <v>0.65613127791204906</v>
      </c>
      <c r="N22" s="862"/>
      <c r="O22" s="854">
        <f>Amnt_Deposited!B17</f>
        <v>2003</v>
      </c>
      <c r="P22" s="861">
        <f>Amnt_Deposited!C17</f>
        <v>12.97210494063</v>
      </c>
      <c r="Q22" s="857">
        <f>MCF!R21</f>
        <v>1</v>
      </c>
      <c r="R22" s="858">
        <f t="shared" si="0"/>
        <v>0.97290787054725003</v>
      </c>
      <c r="S22" s="858">
        <f t="shared" si="5"/>
        <v>0.97290787054725003</v>
      </c>
      <c r="T22" s="858">
        <f t="shared" si="6"/>
        <v>0</v>
      </c>
      <c r="U22" s="858">
        <f t="shared" si="7"/>
        <v>2.3117436725588449</v>
      </c>
      <c r="V22" s="858">
        <f t="shared" si="8"/>
        <v>0.65847251351566038</v>
      </c>
      <c r="W22" s="859">
        <f t="shared" si="9"/>
        <v>0.43898167567710689</v>
      </c>
    </row>
    <row r="23" spans="2:23">
      <c r="B23" s="854">
        <f>Amnt_Deposited!B18</f>
        <v>2004</v>
      </c>
      <c r="C23" s="855">
        <f>Amnt_Deposited!C18</f>
        <v>13.041500207009999</v>
      </c>
      <c r="D23" s="856">
        <f>Dry_Matter_Content!C10</f>
        <v>0.59</v>
      </c>
      <c r="E23" s="857">
        <f>MCF!R22</f>
        <v>1</v>
      </c>
      <c r="F23" s="858">
        <f t="shared" si="1"/>
        <v>1.4619521732058207</v>
      </c>
      <c r="G23" s="858">
        <f t="shared" si="2"/>
        <v>1.4619521732058207</v>
      </c>
      <c r="H23" s="858">
        <f t="shared" si="3"/>
        <v>0</v>
      </c>
      <c r="I23" s="858">
        <f t="shared" si="4"/>
        <v>3.7780997840574528</v>
      </c>
      <c r="J23" s="885">
        <f t="shared" si="10"/>
        <v>1.1391385983996547</v>
      </c>
      <c r="K23" s="886">
        <f t="shared" si="11"/>
        <v>0.75942573226643639</v>
      </c>
      <c r="N23" s="862"/>
      <c r="O23" s="854">
        <f>Amnt_Deposited!B18</f>
        <v>2004</v>
      </c>
      <c r="P23" s="861">
        <f>Amnt_Deposited!C18</f>
        <v>13.041500207009999</v>
      </c>
      <c r="Q23" s="857">
        <f>MCF!R22</f>
        <v>1</v>
      </c>
      <c r="R23" s="858">
        <f t="shared" si="0"/>
        <v>0.97811251552574996</v>
      </c>
      <c r="S23" s="858">
        <f t="shared" si="5"/>
        <v>0.97811251552574996</v>
      </c>
      <c r="T23" s="858">
        <f t="shared" si="6"/>
        <v>0</v>
      </c>
      <c r="U23" s="858">
        <f t="shared" si="7"/>
        <v>2.5277206405379928</v>
      </c>
      <c r="V23" s="858">
        <f t="shared" si="8"/>
        <v>0.76213554754660207</v>
      </c>
      <c r="W23" s="859">
        <f t="shared" si="9"/>
        <v>0.50809036503106797</v>
      </c>
    </row>
    <row r="24" spans="2:23">
      <c r="B24" s="854">
        <f>Amnt_Deposited!B19</f>
        <v>2005</v>
      </c>
      <c r="C24" s="855">
        <f>Amnt_Deposited!C19</f>
        <v>14.445650198099999</v>
      </c>
      <c r="D24" s="856">
        <f>Dry_Matter_Content!C11</f>
        <v>0.59</v>
      </c>
      <c r="E24" s="857">
        <f>MCF!R23</f>
        <v>1</v>
      </c>
      <c r="F24" s="858">
        <f t="shared" si="1"/>
        <v>1.6193573872070099</v>
      </c>
      <c r="G24" s="858">
        <f t="shared" si="2"/>
        <v>1.6193573872070099</v>
      </c>
      <c r="H24" s="858">
        <f t="shared" si="3"/>
        <v>0</v>
      </c>
      <c r="I24" s="858">
        <f t="shared" si="4"/>
        <v>4.151893408383641</v>
      </c>
      <c r="J24" s="885">
        <f t="shared" si="10"/>
        <v>1.245563762880822</v>
      </c>
      <c r="K24" s="886">
        <f t="shared" si="11"/>
        <v>0.83037584192054803</v>
      </c>
      <c r="N24" s="862"/>
      <c r="O24" s="854">
        <f>Amnt_Deposited!B19</f>
        <v>2005</v>
      </c>
      <c r="P24" s="861">
        <f>Amnt_Deposited!C19</f>
        <v>14.445650198099999</v>
      </c>
      <c r="Q24" s="857">
        <f>MCF!R23</f>
        <v>1</v>
      </c>
      <c r="R24" s="858">
        <f t="shared" si="0"/>
        <v>1.0834237648574998</v>
      </c>
      <c r="S24" s="858">
        <f t="shared" si="5"/>
        <v>1.0834237648574998</v>
      </c>
      <c r="T24" s="858">
        <f t="shared" si="6"/>
        <v>0</v>
      </c>
      <c r="U24" s="858">
        <f t="shared" si="7"/>
        <v>2.7778055809881632</v>
      </c>
      <c r="V24" s="858">
        <f t="shared" si="8"/>
        <v>0.83333882440732976</v>
      </c>
      <c r="W24" s="859">
        <f t="shared" si="9"/>
        <v>0.55555921627155314</v>
      </c>
    </row>
    <row r="25" spans="2:23">
      <c r="B25" s="854">
        <f>Amnt_Deposited!B20</f>
        <v>2006</v>
      </c>
      <c r="C25" s="855">
        <f>Amnt_Deposited!C20</f>
        <v>14.742803511810001</v>
      </c>
      <c r="D25" s="856">
        <f>Dry_Matter_Content!C12</f>
        <v>0.59</v>
      </c>
      <c r="E25" s="857">
        <f>MCF!R24</f>
        <v>1</v>
      </c>
      <c r="F25" s="858">
        <f t="shared" si="1"/>
        <v>1.6526682736739011</v>
      </c>
      <c r="G25" s="858">
        <f t="shared" si="2"/>
        <v>1.6526682736739011</v>
      </c>
      <c r="H25" s="858">
        <f t="shared" si="3"/>
        <v>0</v>
      </c>
      <c r="I25" s="858">
        <f t="shared" si="4"/>
        <v>4.4357656543166915</v>
      </c>
      <c r="J25" s="885">
        <f t="shared" si="10"/>
        <v>1.3687960277408513</v>
      </c>
      <c r="K25" s="886">
        <f t="shared" si="11"/>
        <v>0.91253068516056746</v>
      </c>
      <c r="N25" s="862"/>
      <c r="O25" s="854">
        <f>Amnt_Deposited!B20</f>
        <v>2006</v>
      </c>
      <c r="P25" s="861">
        <f>Amnt_Deposited!C20</f>
        <v>14.742803511810001</v>
      </c>
      <c r="Q25" s="857">
        <f>MCF!R24</f>
        <v>1</v>
      </c>
      <c r="R25" s="858">
        <f t="shared" si="0"/>
        <v>1.1057102633857501</v>
      </c>
      <c r="S25" s="858">
        <f t="shared" si="5"/>
        <v>1.1057102633857501</v>
      </c>
      <c r="T25" s="858">
        <f t="shared" si="6"/>
        <v>0</v>
      </c>
      <c r="U25" s="858">
        <f t="shared" si="7"/>
        <v>2.9677290283117914</v>
      </c>
      <c r="V25" s="858">
        <f t="shared" si="8"/>
        <v>0.91578681606212176</v>
      </c>
      <c r="W25" s="859">
        <f t="shared" si="9"/>
        <v>0.61052454404141443</v>
      </c>
    </row>
    <row r="26" spans="2:23">
      <c r="B26" s="854">
        <f>Amnt_Deposited!B21</f>
        <v>2007</v>
      </c>
      <c r="C26" s="855">
        <f>Amnt_Deposited!C21</f>
        <v>15.03971481936</v>
      </c>
      <c r="D26" s="856">
        <f>Dry_Matter_Content!C13</f>
        <v>0.59</v>
      </c>
      <c r="E26" s="857">
        <f>MCF!R25</f>
        <v>1</v>
      </c>
      <c r="F26" s="858">
        <f t="shared" si="1"/>
        <v>1.6859520312502558</v>
      </c>
      <c r="G26" s="858">
        <f t="shared" si="2"/>
        <v>1.6859520312502558</v>
      </c>
      <c r="H26" s="858">
        <f t="shared" si="3"/>
        <v>0</v>
      </c>
      <c r="I26" s="858">
        <f t="shared" si="4"/>
        <v>4.659334668855128</v>
      </c>
      <c r="J26" s="885">
        <f t="shared" si="10"/>
        <v>1.462383016711819</v>
      </c>
      <c r="K26" s="886">
        <f t="shared" si="11"/>
        <v>0.97492201114121269</v>
      </c>
      <c r="N26" s="862"/>
      <c r="O26" s="854">
        <f>Amnt_Deposited!B21</f>
        <v>2007</v>
      </c>
      <c r="P26" s="861">
        <f>Amnt_Deposited!C21</f>
        <v>15.03971481936</v>
      </c>
      <c r="Q26" s="857">
        <f>MCF!R25</f>
        <v>1</v>
      </c>
      <c r="R26" s="858">
        <f t="shared" si="0"/>
        <v>1.1279786114520001</v>
      </c>
      <c r="S26" s="858">
        <f t="shared" si="5"/>
        <v>1.1279786114520001</v>
      </c>
      <c r="T26" s="858">
        <f t="shared" si="6"/>
        <v>0</v>
      </c>
      <c r="U26" s="858">
        <f t="shared" si="7"/>
        <v>3.1173068703312632</v>
      </c>
      <c r="V26" s="858">
        <f t="shared" si="8"/>
        <v>0.97840076943252818</v>
      </c>
      <c r="W26" s="859">
        <f t="shared" si="9"/>
        <v>0.65226717962168546</v>
      </c>
    </row>
    <row r="27" spans="2:23">
      <c r="B27" s="854">
        <f>Amnt_Deposited!B22</f>
        <v>2008</v>
      </c>
      <c r="C27" s="855">
        <f>Amnt_Deposited!C22</f>
        <v>15.33456907455</v>
      </c>
      <c r="D27" s="856">
        <f>Dry_Matter_Content!C14</f>
        <v>0.59</v>
      </c>
      <c r="E27" s="857">
        <f>MCF!R26</f>
        <v>1</v>
      </c>
      <c r="F27" s="858">
        <f t="shared" si="1"/>
        <v>1.7190051932570549</v>
      </c>
      <c r="G27" s="858">
        <f t="shared" si="2"/>
        <v>1.7190051932570549</v>
      </c>
      <c r="H27" s="858">
        <f t="shared" si="3"/>
        <v>0</v>
      </c>
      <c r="I27" s="858">
        <f t="shared" si="4"/>
        <v>4.8422506229794742</v>
      </c>
      <c r="J27" s="885">
        <f t="shared" si="10"/>
        <v>1.5360892391327083</v>
      </c>
      <c r="K27" s="886">
        <f t="shared" si="11"/>
        <v>1.0240594927551387</v>
      </c>
      <c r="N27" s="862"/>
      <c r="O27" s="854">
        <f>Amnt_Deposited!B22</f>
        <v>2008</v>
      </c>
      <c r="P27" s="861">
        <f>Amnt_Deposited!C22</f>
        <v>15.33456907455</v>
      </c>
      <c r="Q27" s="857">
        <f>MCF!R26</f>
        <v>1</v>
      </c>
      <c r="R27" s="858">
        <f t="shared" si="0"/>
        <v>1.1500926805912499</v>
      </c>
      <c r="S27" s="858">
        <f t="shared" si="5"/>
        <v>1.1500926805912499</v>
      </c>
      <c r="T27" s="858">
        <f t="shared" si="6"/>
        <v>0</v>
      </c>
      <c r="U27" s="858">
        <f t="shared" si="7"/>
        <v>3.239685965418917</v>
      </c>
      <c r="V27" s="858">
        <f t="shared" si="8"/>
        <v>1.0277135855035961</v>
      </c>
      <c r="W27" s="859">
        <f t="shared" si="9"/>
        <v>0.68514239033573077</v>
      </c>
    </row>
    <row r="28" spans="2:23">
      <c r="B28" s="854">
        <f>Amnt_Deposited!B23</f>
        <v>2009</v>
      </c>
      <c r="C28" s="855">
        <f>Amnt_Deposited!C23</f>
        <v>15.62518822194</v>
      </c>
      <c r="D28" s="856">
        <f>Dry_Matter_Content!C15</f>
        <v>0.59</v>
      </c>
      <c r="E28" s="857">
        <f>MCF!R27</f>
        <v>1</v>
      </c>
      <c r="F28" s="858">
        <f t="shared" si="1"/>
        <v>1.751583599679474</v>
      </c>
      <c r="G28" s="858">
        <f t="shared" si="2"/>
        <v>1.751583599679474</v>
      </c>
      <c r="H28" s="858">
        <f t="shared" si="3"/>
        <v>0</v>
      </c>
      <c r="I28" s="858">
        <f t="shared" si="4"/>
        <v>4.9974412601911782</v>
      </c>
      <c r="J28" s="885">
        <f t="shared" si="10"/>
        <v>1.5963929624677697</v>
      </c>
      <c r="K28" s="886">
        <f t="shared" si="11"/>
        <v>1.0642619749785132</v>
      </c>
      <c r="N28" s="862"/>
      <c r="O28" s="854">
        <f>Amnt_Deposited!B23</f>
        <v>2009</v>
      </c>
      <c r="P28" s="861">
        <f>Amnt_Deposited!C23</f>
        <v>15.62518822194</v>
      </c>
      <c r="Q28" s="857">
        <f>MCF!R27</f>
        <v>1</v>
      </c>
      <c r="R28" s="858">
        <f t="shared" si="0"/>
        <v>1.1718891166454999</v>
      </c>
      <c r="S28" s="858">
        <f t="shared" si="5"/>
        <v>1.1718891166454999</v>
      </c>
      <c r="T28" s="858">
        <f t="shared" si="6"/>
        <v>0</v>
      </c>
      <c r="U28" s="858">
        <f t="shared" si="7"/>
        <v>3.3435155621261226</v>
      </c>
      <c r="V28" s="858">
        <f t="shared" si="8"/>
        <v>1.0680595199382938</v>
      </c>
      <c r="W28" s="859">
        <f t="shared" si="9"/>
        <v>0.71203967995886253</v>
      </c>
    </row>
    <row r="29" spans="2:23">
      <c r="B29" s="854">
        <f>Amnt_Deposited!B24</f>
        <v>2010</v>
      </c>
      <c r="C29" s="855">
        <f>Amnt_Deposited!C24</f>
        <v>16.86719408583</v>
      </c>
      <c r="D29" s="856">
        <f>Dry_Matter_Content!C16</f>
        <v>0.59</v>
      </c>
      <c r="E29" s="857">
        <f>MCF!R28</f>
        <v>1</v>
      </c>
      <c r="F29" s="858">
        <f t="shared" si="1"/>
        <v>1.890812457021543</v>
      </c>
      <c r="G29" s="858">
        <f t="shared" si="2"/>
        <v>1.890812457021543</v>
      </c>
      <c r="H29" s="858">
        <f t="shared" si="3"/>
        <v>0</v>
      </c>
      <c r="I29" s="858">
        <f t="shared" si="4"/>
        <v>5.2406975126132966</v>
      </c>
      <c r="J29" s="885">
        <f t="shared" si="10"/>
        <v>1.6475562045994243</v>
      </c>
      <c r="K29" s="886">
        <f t="shared" si="11"/>
        <v>1.0983708030662829</v>
      </c>
      <c r="O29" s="854">
        <f>Amnt_Deposited!B24</f>
        <v>2010</v>
      </c>
      <c r="P29" s="861">
        <f>Amnt_Deposited!C24</f>
        <v>16.86719408583</v>
      </c>
      <c r="Q29" s="857">
        <f>MCF!R28</f>
        <v>1</v>
      </c>
      <c r="R29" s="858">
        <f t="shared" si="0"/>
        <v>1.2650395564372501</v>
      </c>
      <c r="S29" s="858">
        <f t="shared" si="5"/>
        <v>1.2650395564372501</v>
      </c>
      <c r="T29" s="858">
        <f t="shared" si="6"/>
        <v>0</v>
      </c>
      <c r="U29" s="858">
        <f t="shared" si="7"/>
        <v>3.5062650619625089</v>
      </c>
      <c r="V29" s="858">
        <f t="shared" si="8"/>
        <v>1.1022900566008635</v>
      </c>
      <c r="W29" s="859">
        <f t="shared" si="9"/>
        <v>0.73486003773390896</v>
      </c>
    </row>
    <row r="30" spans="2:23">
      <c r="B30" s="854">
        <f>Amnt_Deposited!B25</f>
        <v>2011</v>
      </c>
      <c r="C30" s="771">
        <f>Amnt_Deposited!C25</f>
        <v>17.309006581679999</v>
      </c>
      <c r="D30" s="856">
        <f>Dry_Matter_Content!C17</f>
        <v>0.59</v>
      </c>
      <c r="E30" s="857">
        <f>MCF!R29</f>
        <v>1</v>
      </c>
      <c r="F30" s="858">
        <f t="shared" si="1"/>
        <v>1.9403396378063278</v>
      </c>
      <c r="G30" s="858">
        <f t="shared" si="2"/>
        <v>1.9403396378063278</v>
      </c>
      <c r="H30" s="858">
        <f t="shared" si="3"/>
        <v>0</v>
      </c>
      <c r="I30" s="858">
        <f t="shared" si="4"/>
        <v>5.4532842357201332</v>
      </c>
      <c r="J30" s="885">
        <f t="shared" si="10"/>
        <v>1.7277529146994912</v>
      </c>
      <c r="K30" s="886">
        <f t="shared" si="11"/>
        <v>1.1518352764663273</v>
      </c>
      <c r="O30" s="854">
        <f>Amnt_Deposited!B25</f>
        <v>2011</v>
      </c>
      <c r="P30" s="861">
        <f>Amnt_Deposited!C25</f>
        <v>17.309006581679999</v>
      </c>
      <c r="Q30" s="857">
        <f>MCF!R29</f>
        <v>1</v>
      </c>
      <c r="R30" s="858">
        <f t="shared" si="0"/>
        <v>1.2981754936259999</v>
      </c>
      <c r="S30" s="858">
        <f t="shared" si="5"/>
        <v>1.2981754936259999</v>
      </c>
      <c r="T30" s="858">
        <f t="shared" si="6"/>
        <v>0</v>
      </c>
      <c r="U30" s="858">
        <f t="shared" si="7"/>
        <v>3.6484952513738627</v>
      </c>
      <c r="V30" s="858">
        <f t="shared" si="8"/>
        <v>1.1559453042146461</v>
      </c>
      <c r="W30" s="859">
        <f t="shared" si="9"/>
        <v>0.77063020280976402</v>
      </c>
    </row>
    <row r="31" spans="2:23">
      <c r="B31" s="854">
        <f>Amnt_Deposited!B26</f>
        <v>2012</v>
      </c>
      <c r="C31" s="771">
        <f>Amnt_Deposited!C26</f>
        <v>17.64442711944</v>
      </c>
      <c r="D31" s="856">
        <f>Dry_Matter_Content!C18</f>
        <v>0.59</v>
      </c>
      <c r="E31" s="857">
        <f>MCF!R30</f>
        <v>1</v>
      </c>
      <c r="F31" s="858">
        <f t="shared" si="1"/>
        <v>1.9779402800892238</v>
      </c>
      <c r="G31" s="858">
        <f t="shared" si="2"/>
        <v>1.9779402800892238</v>
      </c>
      <c r="H31" s="858">
        <f t="shared" si="3"/>
        <v>0</v>
      </c>
      <c r="I31" s="858">
        <f t="shared" si="4"/>
        <v>5.6333860200225701</v>
      </c>
      <c r="J31" s="885">
        <f t="shared" si="10"/>
        <v>1.7978384957867872</v>
      </c>
      <c r="K31" s="886">
        <f t="shared" si="11"/>
        <v>1.1985589971911914</v>
      </c>
      <c r="O31" s="854">
        <f>Amnt_Deposited!B26</f>
        <v>2012</v>
      </c>
      <c r="P31" s="861">
        <f>Amnt_Deposited!C26</f>
        <v>17.64442711944</v>
      </c>
      <c r="Q31" s="857">
        <f>MCF!R30</f>
        <v>1</v>
      </c>
      <c r="R31" s="858">
        <f t="shared" si="0"/>
        <v>1.3233320339579999</v>
      </c>
      <c r="S31" s="858">
        <f t="shared" si="5"/>
        <v>1.3233320339579999</v>
      </c>
      <c r="T31" s="858">
        <f t="shared" si="6"/>
        <v>0</v>
      </c>
      <c r="U31" s="858">
        <f t="shared" si="7"/>
        <v>3.7689915388197388</v>
      </c>
      <c r="V31" s="858">
        <f t="shared" si="8"/>
        <v>1.2028357465121235</v>
      </c>
      <c r="W31" s="859">
        <f t="shared" si="9"/>
        <v>0.80189049767474896</v>
      </c>
    </row>
    <row r="32" spans="2:23">
      <c r="B32" s="854">
        <f>Amnt_Deposited!B27</f>
        <v>2013</v>
      </c>
      <c r="C32" s="771">
        <f>Amnt_Deposited!C27</f>
        <v>17.978698127939996</v>
      </c>
      <c r="D32" s="856">
        <f>Dry_Matter_Content!C19</f>
        <v>0.59</v>
      </c>
      <c r="E32" s="857">
        <f>MCF!R31</f>
        <v>1</v>
      </c>
      <c r="F32" s="858">
        <f t="shared" si="1"/>
        <v>2.0154120601420735</v>
      </c>
      <c r="G32" s="858">
        <f t="shared" si="2"/>
        <v>2.0154120601420735</v>
      </c>
      <c r="H32" s="858">
        <f t="shared" si="3"/>
        <v>0</v>
      </c>
      <c r="I32" s="858">
        <f t="shared" si="4"/>
        <v>5.7915836364201301</v>
      </c>
      <c r="J32" s="885">
        <f t="shared" si="10"/>
        <v>1.8572144437445139</v>
      </c>
      <c r="K32" s="886">
        <f t="shared" si="11"/>
        <v>1.2381429624963425</v>
      </c>
      <c r="O32" s="854">
        <f>Amnt_Deposited!B27</f>
        <v>2013</v>
      </c>
      <c r="P32" s="861">
        <f>Amnt_Deposited!C27</f>
        <v>17.978698127939996</v>
      </c>
      <c r="Q32" s="857">
        <f>MCF!R31</f>
        <v>1</v>
      </c>
      <c r="R32" s="858">
        <f t="shared" si="0"/>
        <v>1.3484023595954997</v>
      </c>
      <c r="S32" s="858">
        <f t="shared" si="5"/>
        <v>1.3484023595954997</v>
      </c>
      <c r="T32" s="858">
        <f t="shared" si="6"/>
        <v>0</v>
      </c>
      <c r="U32" s="858">
        <f t="shared" si="7"/>
        <v>3.8748329414050819</v>
      </c>
      <c r="V32" s="858">
        <f t="shared" si="8"/>
        <v>1.2425609570101563</v>
      </c>
      <c r="W32" s="859">
        <f t="shared" si="9"/>
        <v>0.82837397134010415</v>
      </c>
    </row>
    <row r="33" spans="2:23">
      <c r="B33" s="854">
        <f>Amnt_Deposited!B28</f>
        <v>2014</v>
      </c>
      <c r="C33" s="771">
        <f>Amnt_Deposited!C28</f>
        <v>18.304619923919997</v>
      </c>
      <c r="D33" s="856">
        <f>Dry_Matter_Content!C20</f>
        <v>0.59</v>
      </c>
      <c r="E33" s="857">
        <f>MCF!R32</f>
        <v>1</v>
      </c>
      <c r="F33" s="858">
        <f t="shared" si="1"/>
        <v>2.0519478934714317</v>
      </c>
      <c r="G33" s="858">
        <f t="shared" si="2"/>
        <v>2.0519478934714317</v>
      </c>
      <c r="H33" s="858">
        <f t="shared" si="3"/>
        <v>0</v>
      </c>
      <c r="I33" s="858">
        <f t="shared" si="4"/>
        <v>5.9341625032558287</v>
      </c>
      <c r="J33" s="885">
        <f t="shared" si="10"/>
        <v>1.909369026635733</v>
      </c>
      <c r="K33" s="886">
        <f t="shared" si="11"/>
        <v>1.2729126844238219</v>
      </c>
      <c r="O33" s="854">
        <f>Amnt_Deposited!B28</f>
        <v>2014</v>
      </c>
      <c r="P33" s="861">
        <f>Amnt_Deposited!C28</f>
        <v>18.304619923919997</v>
      </c>
      <c r="Q33" s="857">
        <f>MCF!R32</f>
        <v>1</v>
      </c>
      <c r="R33" s="858">
        <f t="shared" si="0"/>
        <v>1.3728464942939997</v>
      </c>
      <c r="S33" s="858">
        <f t="shared" si="5"/>
        <v>1.3728464942939997</v>
      </c>
      <c r="T33" s="858">
        <f t="shared" si="6"/>
        <v>0</v>
      </c>
      <c r="U33" s="858">
        <f t="shared" si="7"/>
        <v>3.9702246899570657</v>
      </c>
      <c r="V33" s="858">
        <f t="shared" si="8"/>
        <v>1.2774547457420156</v>
      </c>
      <c r="W33" s="859">
        <f t="shared" si="9"/>
        <v>0.85163649716134371</v>
      </c>
    </row>
    <row r="34" spans="2:23">
      <c r="B34" s="854">
        <f>Amnt_Deposited!B29</f>
        <v>2015</v>
      </c>
      <c r="C34" s="771">
        <f>Amnt_Deposited!C29</f>
        <v>18.621587491979998</v>
      </c>
      <c r="D34" s="856">
        <f>Dry_Matter_Content!C21</f>
        <v>0.59</v>
      </c>
      <c r="E34" s="857">
        <f>MCF!R33</f>
        <v>1</v>
      </c>
      <c r="F34" s="858">
        <f t="shared" si="1"/>
        <v>2.0874799578509577</v>
      </c>
      <c r="G34" s="858">
        <f t="shared" si="2"/>
        <v>2.0874799578509577</v>
      </c>
      <c r="H34" s="858">
        <f t="shared" si="3"/>
        <v>0</v>
      </c>
      <c r="I34" s="858">
        <f t="shared" si="4"/>
        <v>6.0652680402163694</v>
      </c>
      <c r="J34" s="885">
        <f t="shared" si="10"/>
        <v>1.9563744208904168</v>
      </c>
      <c r="K34" s="886">
        <f t="shared" si="11"/>
        <v>1.3042496139269444</v>
      </c>
      <c r="O34" s="854">
        <f>Amnt_Deposited!B29</f>
        <v>2015</v>
      </c>
      <c r="P34" s="861">
        <f>Amnt_Deposited!C29</f>
        <v>18.621587491979998</v>
      </c>
      <c r="Q34" s="857">
        <f>MCF!R33</f>
        <v>1</v>
      </c>
      <c r="R34" s="858">
        <f t="shared" si="0"/>
        <v>1.3966190618984997</v>
      </c>
      <c r="S34" s="858">
        <f t="shared" si="5"/>
        <v>1.3966190618984997</v>
      </c>
      <c r="T34" s="858">
        <f t="shared" si="6"/>
        <v>0</v>
      </c>
      <c r="U34" s="858">
        <f t="shared" si="7"/>
        <v>4.0579402588423514</v>
      </c>
      <c r="V34" s="858">
        <f t="shared" si="8"/>
        <v>1.3089034930132135</v>
      </c>
      <c r="W34" s="859">
        <f t="shared" si="9"/>
        <v>0.8726023286754756</v>
      </c>
    </row>
    <row r="35" spans="2:23">
      <c r="B35" s="854">
        <f>Amnt_Deposited!B30</f>
        <v>2016</v>
      </c>
      <c r="C35" s="771">
        <f>Amnt_Deposited!C30</f>
        <v>18.936013995359996</v>
      </c>
      <c r="D35" s="856">
        <f>Dry_Matter_Content!C22</f>
        <v>0.59</v>
      </c>
      <c r="E35" s="857">
        <f>MCF!R34</f>
        <v>1</v>
      </c>
      <c r="F35" s="858">
        <f t="shared" si="1"/>
        <v>2.1227271688798557</v>
      </c>
      <c r="G35" s="858">
        <f t="shared" si="2"/>
        <v>2.1227271688798557</v>
      </c>
      <c r="H35" s="858">
        <f t="shared" si="3"/>
        <v>0</v>
      </c>
      <c r="I35" s="858">
        <f t="shared" si="4"/>
        <v>6.1883979208161843</v>
      </c>
      <c r="J35" s="885">
        <f t="shared" si="10"/>
        <v>1.9995972882800408</v>
      </c>
      <c r="K35" s="886">
        <f t="shared" si="11"/>
        <v>1.3330648588533605</v>
      </c>
      <c r="O35" s="854">
        <f>Amnt_Deposited!B30</f>
        <v>2016</v>
      </c>
      <c r="P35" s="861">
        <f>Amnt_Deposited!C30</f>
        <v>18.936013995359996</v>
      </c>
      <c r="Q35" s="857">
        <f>MCF!R34</f>
        <v>1</v>
      </c>
      <c r="R35" s="858">
        <f t="shared" si="0"/>
        <v>1.4202010496519997</v>
      </c>
      <c r="S35" s="858">
        <f t="shared" si="5"/>
        <v>1.4202010496519997</v>
      </c>
      <c r="T35" s="858">
        <f t="shared" si="6"/>
        <v>0</v>
      </c>
      <c r="U35" s="858">
        <f t="shared" si="7"/>
        <v>4.1403197507690788</v>
      </c>
      <c r="V35" s="858">
        <f t="shared" si="8"/>
        <v>1.3378215577252723</v>
      </c>
      <c r="W35" s="859">
        <f t="shared" si="9"/>
        <v>0.89188103848351485</v>
      </c>
    </row>
    <row r="36" spans="2:23">
      <c r="B36" s="854">
        <f>Amnt_Deposited!B31</f>
        <v>2017</v>
      </c>
      <c r="C36" s="771">
        <f>Amnt_Deposited!C31</f>
        <v>18.919986822939013</v>
      </c>
      <c r="D36" s="856">
        <f>Dry_Matter_Content!C23</f>
        <v>0.59</v>
      </c>
      <c r="E36" s="857">
        <f>MCF!R35</f>
        <v>1</v>
      </c>
      <c r="F36" s="858">
        <f t="shared" si="1"/>
        <v>2.1209305228514634</v>
      </c>
      <c r="G36" s="858">
        <f t="shared" si="2"/>
        <v>2.1209305228514634</v>
      </c>
      <c r="H36" s="858">
        <f t="shared" si="3"/>
        <v>0</v>
      </c>
      <c r="I36" s="858">
        <f t="shared" si="4"/>
        <v>6.2691377020198225</v>
      </c>
      <c r="J36" s="885">
        <f t="shared" si="10"/>
        <v>2.0401907416478249</v>
      </c>
      <c r="K36" s="886">
        <f t="shared" si="11"/>
        <v>1.3601271610985499</v>
      </c>
      <c r="O36" s="854">
        <f>Amnt_Deposited!B31</f>
        <v>2017</v>
      </c>
      <c r="P36" s="861">
        <f>Amnt_Deposited!C31</f>
        <v>18.919986822939013</v>
      </c>
      <c r="Q36" s="857">
        <f>MCF!R35</f>
        <v>1</v>
      </c>
      <c r="R36" s="858">
        <f t="shared" si="0"/>
        <v>1.4189990117204259</v>
      </c>
      <c r="S36" s="858">
        <f t="shared" si="5"/>
        <v>1.4189990117204259</v>
      </c>
      <c r="T36" s="858">
        <f t="shared" si="6"/>
        <v>0</v>
      </c>
      <c r="U36" s="858">
        <f t="shared" si="7"/>
        <v>4.1943383376582215</v>
      </c>
      <c r="V36" s="858">
        <f t="shared" si="8"/>
        <v>1.3649804248312831</v>
      </c>
      <c r="W36" s="859">
        <f t="shared" si="9"/>
        <v>0.90998694988752205</v>
      </c>
    </row>
    <row r="37" spans="2:23">
      <c r="B37" s="854">
        <f>Amnt_Deposited!B32</f>
        <v>2018</v>
      </c>
      <c r="C37" s="771">
        <f>Amnt_Deposited!C32</f>
        <v>19.792691545762334</v>
      </c>
      <c r="D37" s="856">
        <f>Dry_Matter_Content!C24</f>
        <v>0.59</v>
      </c>
      <c r="E37" s="857">
        <f>MCF!R36</f>
        <v>1</v>
      </c>
      <c r="F37" s="858">
        <f t="shared" si="1"/>
        <v>2.2187607222799577</v>
      </c>
      <c r="G37" s="858">
        <f t="shared" si="2"/>
        <v>2.2187607222799577</v>
      </c>
      <c r="H37" s="858">
        <f t="shared" si="3"/>
        <v>0</v>
      </c>
      <c r="I37" s="858">
        <f t="shared" si="4"/>
        <v>6.4210893953016477</v>
      </c>
      <c r="J37" s="885">
        <f t="shared" si="10"/>
        <v>2.0668090289981329</v>
      </c>
      <c r="K37" s="886">
        <f t="shared" si="11"/>
        <v>1.3778726859987551</v>
      </c>
      <c r="O37" s="854">
        <f>Amnt_Deposited!B32</f>
        <v>2018</v>
      </c>
      <c r="P37" s="861">
        <f>Amnt_Deposited!C32</f>
        <v>19.792691545762334</v>
      </c>
      <c r="Q37" s="857">
        <f>MCF!R36</f>
        <v>1</v>
      </c>
      <c r="R37" s="858">
        <f t="shared" si="0"/>
        <v>1.484451865932175</v>
      </c>
      <c r="S37" s="858">
        <f t="shared" si="5"/>
        <v>1.484451865932175</v>
      </c>
      <c r="T37" s="858">
        <f t="shared" si="6"/>
        <v>0</v>
      </c>
      <c r="U37" s="858">
        <f t="shared" si="7"/>
        <v>4.2960009335202809</v>
      </c>
      <c r="V37" s="858">
        <f t="shared" si="8"/>
        <v>1.3827892700701154</v>
      </c>
      <c r="W37" s="859">
        <f t="shared" si="9"/>
        <v>0.92185951338007688</v>
      </c>
    </row>
    <row r="38" spans="2:23">
      <c r="B38" s="854">
        <f>Amnt_Deposited!B33</f>
        <v>2019</v>
      </c>
      <c r="C38" s="771">
        <f>Amnt_Deposited!C33</f>
        <v>20.691848665790705</v>
      </c>
      <c r="D38" s="856">
        <f>Dry_Matter_Content!C25</f>
        <v>0.59</v>
      </c>
      <c r="E38" s="857">
        <f>MCF!R37</f>
        <v>1</v>
      </c>
      <c r="F38" s="858">
        <f t="shared" si="1"/>
        <v>2.319556235435138</v>
      </c>
      <c r="G38" s="858">
        <f t="shared" si="2"/>
        <v>2.319556235435138</v>
      </c>
      <c r="H38" s="858">
        <f t="shared" si="3"/>
        <v>0</v>
      </c>
      <c r="I38" s="858">
        <f t="shared" si="4"/>
        <v>6.6237411744926948</v>
      </c>
      <c r="J38" s="885">
        <f t="shared" si="10"/>
        <v>2.1169044562440917</v>
      </c>
      <c r="K38" s="886">
        <f t="shared" si="11"/>
        <v>1.4112696374960612</v>
      </c>
      <c r="O38" s="854">
        <f>Amnt_Deposited!B33</f>
        <v>2019</v>
      </c>
      <c r="P38" s="861">
        <f>Amnt_Deposited!C33</f>
        <v>20.691848665790705</v>
      </c>
      <c r="Q38" s="857">
        <f>MCF!R37</f>
        <v>1</v>
      </c>
      <c r="R38" s="858">
        <f t="shared" si="0"/>
        <v>1.5518886499343028</v>
      </c>
      <c r="S38" s="858">
        <f t="shared" si="5"/>
        <v>1.5518886499343028</v>
      </c>
      <c r="T38" s="858">
        <f t="shared" si="6"/>
        <v>0</v>
      </c>
      <c r="U38" s="858">
        <f t="shared" si="7"/>
        <v>4.4315841934607665</v>
      </c>
      <c r="V38" s="858">
        <f t="shared" si="8"/>
        <v>1.4163053899938167</v>
      </c>
      <c r="W38" s="859">
        <f t="shared" si="9"/>
        <v>0.94420359332921111</v>
      </c>
    </row>
    <row r="39" spans="2:23">
      <c r="B39" s="854">
        <f>Amnt_Deposited!B34</f>
        <v>2020</v>
      </c>
      <c r="C39" s="771">
        <f>Amnt_Deposited!C34</f>
        <v>21.617749858621725</v>
      </c>
      <c r="D39" s="856">
        <f>Dry_Matter_Content!C26</f>
        <v>0.59</v>
      </c>
      <c r="E39" s="857">
        <f>MCF!R38</f>
        <v>1</v>
      </c>
      <c r="F39" s="858">
        <f t="shared" si="1"/>
        <v>2.423349759151495</v>
      </c>
      <c r="G39" s="858">
        <f t="shared" si="2"/>
        <v>2.423349759151495</v>
      </c>
      <c r="H39" s="858">
        <f t="shared" si="3"/>
        <v>0</v>
      </c>
      <c r="I39" s="858">
        <f t="shared" si="4"/>
        <v>6.8633762481655971</v>
      </c>
      <c r="J39" s="885">
        <f t="shared" si="10"/>
        <v>2.1837146854785918</v>
      </c>
      <c r="K39" s="886">
        <f t="shared" si="11"/>
        <v>1.4558097903190612</v>
      </c>
      <c r="O39" s="854">
        <f>Amnt_Deposited!B34</f>
        <v>2020</v>
      </c>
      <c r="P39" s="861">
        <f>Amnt_Deposited!C34</f>
        <v>21.617749858621725</v>
      </c>
      <c r="Q39" s="857">
        <f>MCF!R38</f>
        <v>1</v>
      </c>
      <c r="R39" s="858">
        <f t="shared" si="0"/>
        <v>1.6213312393966293</v>
      </c>
      <c r="S39" s="858">
        <f t="shared" si="5"/>
        <v>1.6213312393966293</v>
      </c>
      <c r="T39" s="858">
        <f t="shared" si="6"/>
        <v>0</v>
      </c>
      <c r="U39" s="858">
        <f t="shared" si="7"/>
        <v>4.5919109599680619</v>
      </c>
      <c r="V39" s="858">
        <f t="shared" si="8"/>
        <v>1.4610044728893339</v>
      </c>
      <c r="W39" s="859">
        <f t="shared" si="9"/>
        <v>0.97400298192622259</v>
      </c>
    </row>
    <row r="40" spans="2:23">
      <c r="B40" s="854">
        <f>Amnt_Deposited!B35</f>
        <v>2021</v>
      </c>
      <c r="C40" s="771">
        <f>Amnt_Deposited!C35</f>
        <v>22.570643603046403</v>
      </c>
      <c r="D40" s="856">
        <f>Dry_Matter_Content!C27</f>
        <v>0.59</v>
      </c>
      <c r="E40" s="857">
        <f>MCF!R39</f>
        <v>1</v>
      </c>
      <c r="F40" s="858">
        <f t="shared" si="1"/>
        <v>2.5301691479015016</v>
      </c>
      <c r="G40" s="858">
        <f t="shared" si="2"/>
        <v>2.5301691479015016</v>
      </c>
      <c r="H40" s="858">
        <f t="shared" si="3"/>
        <v>0</v>
      </c>
      <c r="I40" s="858">
        <f t="shared" si="4"/>
        <v>7.1308278305317785</v>
      </c>
      <c r="J40" s="885">
        <f t="shared" si="10"/>
        <v>2.2627175655353207</v>
      </c>
      <c r="K40" s="886">
        <f t="shared" si="11"/>
        <v>1.508478377023547</v>
      </c>
      <c r="O40" s="854">
        <f>Amnt_Deposited!B35</f>
        <v>2021</v>
      </c>
      <c r="P40" s="861">
        <f>Amnt_Deposited!C35</f>
        <v>22.570643603046403</v>
      </c>
      <c r="Q40" s="857">
        <f>MCF!R39</f>
        <v>1</v>
      </c>
      <c r="R40" s="858">
        <f t="shared" si="0"/>
        <v>1.6927982702284801</v>
      </c>
      <c r="S40" s="858">
        <f t="shared" si="5"/>
        <v>1.6927982702284801</v>
      </c>
      <c r="T40" s="858">
        <f t="shared" si="6"/>
        <v>0</v>
      </c>
      <c r="U40" s="858">
        <f t="shared" si="7"/>
        <v>4.7708482363058282</v>
      </c>
      <c r="V40" s="858">
        <f t="shared" si="8"/>
        <v>1.5138609938907139</v>
      </c>
      <c r="W40" s="859">
        <f t="shared" si="9"/>
        <v>1.0092406625938093</v>
      </c>
    </row>
    <row r="41" spans="2:23">
      <c r="B41" s="854">
        <f>Amnt_Deposited!B36</f>
        <v>2022</v>
      </c>
      <c r="C41" s="771">
        <f>Amnt_Deposited!C36</f>
        <v>23.550729431883614</v>
      </c>
      <c r="D41" s="856">
        <f>Dry_Matter_Content!C28</f>
        <v>0.59</v>
      </c>
      <c r="E41" s="857">
        <f>MCF!R40</f>
        <v>1</v>
      </c>
      <c r="F41" s="858">
        <f t="shared" si="1"/>
        <v>2.6400367693141531</v>
      </c>
      <c r="G41" s="858">
        <f t="shared" si="2"/>
        <v>2.6400367693141531</v>
      </c>
      <c r="H41" s="858">
        <f t="shared" si="3"/>
        <v>0</v>
      </c>
      <c r="I41" s="858">
        <f t="shared" si="4"/>
        <v>7.4199736089484327</v>
      </c>
      <c r="J41" s="885">
        <f t="shared" si="10"/>
        <v>2.3508909908974984</v>
      </c>
      <c r="K41" s="886">
        <f t="shared" si="11"/>
        <v>1.5672606605983321</v>
      </c>
      <c r="O41" s="854">
        <f>Amnt_Deposited!B36</f>
        <v>2022</v>
      </c>
      <c r="P41" s="861">
        <f>Amnt_Deposited!C36</f>
        <v>23.550729431883614</v>
      </c>
      <c r="Q41" s="857">
        <f>MCF!R40</f>
        <v>1</v>
      </c>
      <c r="R41" s="858">
        <f t="shared" si="0"/>
        <v>1.766304707391271</v>
      </c>
      <c r="S41" s="858">
        <f t="shared" si="5"/>
        <v>1.766304707391271</v>
      </c>
      <c r="T41" s="858">
        <f t="shared" si="6"/>
        <v>0</v>
      </c>
      <c r="U41" s="858">
        <f t="shared" si="7"/>
        <v>4.9642999167808428</v>
      </c>
      <c r="V41" s="858">
        <f t="shared" si="8"/>
        <v>1.5728530269162568</v>
      </c>
      <c r="W41" s="859">
        <f t="shared" si="9"/>
        <v>1.0485686846108377</v>
      </c>
    </row>
    <row r="42" spans="2:23">
      <c r="B42" s="854">
        <f>Amnt_Deposited!B37</f>
        <v>2023</v>
      </c>
      <c r="C42" s="771">
        <f>Amnt_Deposited!C37</f>
        <v>24.558151645456444</v>
      </c>
      <c r="D42" s="856">
        <f>Dry_Matter_Content!C29</f>
        <v>0.59</v>
      </c>
      <c r="E42" s="857">
        <f>MCF!R41</f>
        <v>1</v>
      </c>
      <c r="F42" s="858">
        <f t="shared" si="1"/>
        <v>2.7529687994556675</v>
      </c>
      <c r="G42" s="858">
        <f t="shared" si="2"/>
        <v>2.7529687994556675</v>
      </c>
      <c r="H42" s="858">
        <f t="shared" si="3"/>
        <v>0</v>
      </c>
      <c r="I42" s="858">
        <f t="shared" si="4"/>
        <v>7.7267258505892098</v>
      </c>
      <c r="J42" s="885">
        <f t="shared" si="10"/>
        <v>2.4462165578148904</v>
      </c>
      <c r="K42" s="886">
        <f t="shared" si="11"/>
        <v>1.6308110385432601</v>
      </c>
      <c r="O42" s="854">
        <f>Amnt_Deposited!B37</f>
        <v>2023</v>
      </c>
      <c r="P42" s="861">
        <f>Amnt_Deposited!C37</f>
        <v>24.558151645456444</v>
      </c>
      <c r="Q42" s="857">
        <f>MCF!R41</f>
        <v>1</v>
      </c>
      <c r="R42" s="858">
        <f t="shared" si="0"/>
        <v>1.8418613734092333</v>
      </c>
      <c r="S42" s="858">
        <f t="shared" si="5"/>
        <v>1.8418613734092333</v>
      </c>
      <c r="T42" s="858">
        <f t="shared" si="6"/>
        <v>0</v>
      </c>
      <c r="U42" s="858">
        <f t="shared" si="7"/>
        <v>5.169531122160488</v>
      </c>
      <c r="V42" s="858">
        <f t="shared" si="8"/>
        <v>1.6366301680295878</v>
      </c>
      <c r="W42" s="859">
        <f t="shared" si="9"/>
        <v>1.0910867786863918</v>
      </c>
    </row>
    <row r="43" spans="2:23">
      <c r="B43" s="854">
        <f>Amnt_Deposited!B38</f>
        <v>2024</v>
      </c>
      <c r="C43" s="771">
        <f>Amnt_Deposited!C38</f>
        <v>25.592992442183192</v>
      </c>
      <c r="D43" s="856">
        <f>Dry_Matter_Content!C30</f>
        <v>0.59</v>
      </c>
      <c r="E43" s="857">
        <f>MCF!R42</f>
        <v>1</v>
      </c>
      <c r="F43" s="858">
        <f t="shared" si="1"/>
        <v>2.8689744527687355</v>
      </c>
      <c r="G43" s="858">
        <f t="shared" si="2"/>
        <v>2.8689744527687355</v>
      </c>
      <c r="H43" s="858">
        <f t="shared" si="3"/>
        <v>0</v>
      </c>
      <c r="I43" s="858">
        <f t="shared" si="4"/>
        <v>8.0483536806404583</v>
      </c>
      <c r="J43" s="885">
        <f t="shared" si="10"/>
        <v>2.5473466227174861</v>
      </c>
      <c r="K43" s="886">
        <f t="shared" si="11"/>
        <v>1.6982310818116573</v>
      </c>
      <c r="O43" s="854">
        <f>Amnt_Deposited!B38</f>
        <v>2024</v>
      </c>
      <c r="P43" s="861">
        <f>Amnt_Deposited!C38</f>
        <v>25.592992442183192</v>
      </c>
      <c r="Q43" s="857">
        <f>MCF!R42</f>
        <v>1</v>
      </c>
      <c r="R43" s="858">
        <f t="shared" si="0"/>
        <v>1.9194744331637392</v>
      </c>
      <c r="S43" s="858">
        <f t="shared" si="5"/>
        <v>1.9194744331637392</v>
      </c>
      <c r="T43" s="858">
        <f t="shared" si="6"/>
        <v>0</v>
      </c>
      <c r="U43" s="858">
        <f t="shared" si="7"/>
        <v>5.3847147729530276</v>
      </c>
      <c r="V43" s="858">
        <f t="shared" si="8"/>
        <v>1.7042907823711995</v>
      </c>
      <c r="W43" s="859">
        <f t="shared" si="9"/>
        <v>1.1361938549141328</v>
      </c>
    </row>
    <row r="44" spans="2:23">
      <c r="B44" s="854">
        <f>Amnt_Deposited!B39</f>
        <v>2025</v>
      </c>
      <c r="C44" s="771">
        <f>Amnt_Deposited!C39</f>
        <v>26.655264417042574</v>
      </c>
      <c r="D44" s="856">
        <f>Dry_Matter_Content!C31</f>
        <v>0.59</v>
      </c>
      <c r="E44" s="857">
        <f>MCF!R43</f>
        <v>1</v>
      </c>
      <c r="F44" s="858">
        <f t="shared" si="1"/>
        <v>2.9880551411504723</v>
      </c>
      <c r="G44" s="858">
        <f t="shared" si="2"/>
        <v>2.9880551411504723</v>
      </c>
      <c r="H44" s="858">
        <f t="shared" si="3"/>
        <v>0</v>
      </c>
      <c r="I44" s="858">
        <f t="shared" si="4"/>
        <v>8.3830279508684917</v>
      </c>
      <c r="J44" s="885">
        <f t="shared" si="10"/>
        <v>2.6533808709224389</v>
      </c>
      <c r="K44" s="886">
        <f t="shared" si="11"/>
        <v>1.7689205806149593</v>
      </c>
      <c r="O44" s="854">
        <f>Amnt_Deposited!B39</f>
        <v>2025</v>
      </c>
      <c r="P44" s="861">
        <f>Amnt_Deposited!C39</f>
        <v>26.655264417042574</v>
      </c>
      <c r="Q44" s="857">
        <f>MCF!R43</f>
        <v>1</v>
      </c>
      <c r="R44" s="858">
        <f t="shared" si="0"/>
        <v>1.999144831278193</v>
      </c>
      <c r="S44" s="858">
        <f t="shared" si="5"/>
        <v>1.999144831278193</v>
      </c>
      <c r="T44" s="858">
        <f t="shared" si="6"/>
        <v>0</v>
      </c>
      <c r="U44" s="858">
        <f t="shared" si="7"/>
        <v>5.608627085772854</v>
      </c>
      <c r="V44" s="858">
        <f t="shared" si="8"/>
        <v>1.775232518458367</v>
      </c>
      <c r="W44" s="859">
        <f t="shared" si="9"/>
        <v>1.1834883456389114</v>
      </c>
    </row>
    <row r="45" spans="2:23">
      <c r="B45" s="854">
        <f>Amnt_Deposited!B40</f>
        <v>2026</v>
      </c>
      <c r="C45" s="771">
        <f>Amnt_Deposited!C40</f>
        <v>27.744902374661791</v>
      </c>
      <c r="D45" s="856">
        <f>Dry_Matter_Content!C32</f>
        <v>0.59</v>
      </c>
      <c r="E45" s="857">
        <f>MCF!R44</f>
        <v>1</v>
      </c>
      <c r="F45" s="858">
        <f t="shared" si="1"/>
        <v>3.1102035561995862</v>
      </c>
      <c r="G45" s="858">
        <f t="shared" si="2"/>
        <v>3.1102035561995862</v>
      </c>
      <c r="H45" s="858">
        <f t="shared" si="3"/>
        <v>0</v>
      </c>
      <c r="I45" s="858">
        <f t="shared" si="4"/>
        <v>8.7295152381438044</v>
      </c>
      <c r="J45" s="885">
        <f t="shared" si="10"/>
        <v>2.7637162689242731</v>
      </c>
      <c r="K45" s="886">
        <f t="shared" si="11"/>
        <v>1.8424775126161821</v>
      </c>
      <c r="O45" s="854">
        <f>Amnt_Deposited!B40</f>
        <v>2026</v>
      </c>
      <c r="P45" s="861">
        <f>Amnt_Deposited!C40</f>
        <v>27.744902374661791</v>
      </c>
      <c r="Q45" s="857">
        <f>MCF!R44</f>
        <v>1</v>
      </c>
      <c r="R45" s="858">
        <f t="shared" si="0"/>
        <v>2.0808676780996342</v>
      </c>
      <c r="S45" s="858">
        <f t="shared" si="5"/>
        <v>2.0808676780996342</v>
      </c>
      <c r="T45" s="858">
        <f t="shared" si="6"/>
        <v>0</v>
      </c>
      <c r="U45" s="858">
        <f t="shared" si="7"/>
        <v>5.8404428444316272</v>
      </c>
      <c r="V45" s="858">
        <f t="shared" si="8"/>
        <v>1.8490519194408608</v>
      </c>
      <c r="W45" s="859">
        <f t="shared" si="9"/>
        <v>1.2327012796272405</v>
      </c>
    </row>
    <row r="46" spans="2:23">
      <c r="B46" s="854">
        <f>Amnt_Deposited!B41</f>
        <v>2027</v>
      </c>
      <c r="C46" s="771">
        <f>Amnt_Deposited!C41</f>
        <v>28.861754399444397</v>
      </c>
      <c r="D46" s="856">
        <f>Dry_Matter_Content!C33</f>
        <v>0.59</v>
      </c>
      <c r="E46" s="857">
        <f>MCF!R45</f>
        <v>1</v>
      </c>
      <c r="F46" s="858">
        <f t="shared" si="1"/>
        <v>3.2354026681777168</v>
      </c>
      <c r="G46" s="858">
        <f t="shared" si="2"/>
        <v>3.2354026681777168</v>
      </c>
      <c r="H46" s="858">
        <f t="shared" si="3"/>
        <v>0</v>
      </c>
      <c r="I46" s="858">
        <f t="shared" si="4"/>
        <v>9.0869717244790866</v>
      </c>
      <c r="J46" s="885">
        <f t="shared" si="10"/>
        <v>2.8779461818424346</v>
      </c>
      <c r="K46" s="886">
        <f t="shared" si="11"/>
        <v>1.9186307878949562</v>
      </c>
      <c r="O46" s="854">
        <f>Amnt_Deposited!B41</f>
        <v>2027</v>
      </c>
      <c r="P46" s="861">
        <f>Amnt_Deposited!C41</f>
        <v>28.861754399444397</v>
      </c>
      <c r="Q46" s="857">
        <f>MCF!R45</f>
        <v>1</v>
      </c>
      <c r="R46" s="858">
        <f t="shared" si="0"/>
        <v>2.1646315799583298</v>
      </c>
      <c r="S46" s="858">
        <f t="shared" si="5"/>
        <v>2.1646315799583298</v>
      </c>
      <c r="T46" s="858">
        <f t="shared" si="6"/>
        <v>0</v>
      </c>
      <c r="U46" s="858">
        <f t="shared" si="7"/>
        <v>6.079597496306258</v>
      </c>
      <c r="V46" s="858">
        <f t="shared" si="8"/>
        <v>1.9254769280836985</v>
      </c>
      <c r="W46" s="859">
        <f t="shared" si="9"/>
        <v>1.2836512853891322</v>
      </c>
    </row>
    <row r="47" spans="2:23">
      <c r="B47" s="854">
        <f>Amnt_Deposited!B42</f>
        <v>2028</v>
      </c>
      <c r="C47" s="771">
        <f>Amnt_Deposited!C42</f>
        <v>30.005572120476643</v>
      </c>
      <c r="D47" s="856">
        <f>Dry_Matter_Content!C34</f>
        <v>0.59</v>
      </c>
      <c r="E47" s="857">
        <f>MCF!R46</f>
        <v>1</v>
      </c>
      <c r="F47" s="858">
        <f t="shared" si="1"/>
        <v>3.3636246347054315</v>
      </c>
      <c r="G47" s="858">
        <f t="shared" si="2"/>
        <v>3.3636246347054315</v>
      </c>
      <c r="H47" s="858">
        <f t="shared" si="3"/>
        <v>0</v>
      </c>
      <c r="I47" s="858">
        <f t="shared" si="4"/>
        <v>9.4548039393828063</v>
      </c>
      <c r="J47" s="885">
        <f t="shared" si="10"/>
        <v>2.9957924198017123</v>
      </c>
      <c r="K47" s="886">
        <f t="shared" si="11"/>
        <v>1.9971949465344747</v>
      </c>
      <c r="O47" s="854">
        <f>Amnt_Deposited!B42</f>
        <v>2028</v>
      </c>
      <c r="P47" s="861">
        <f>Amnt_Deposited!C42</f>
        <v>30.005572120476643</v>
      </c>
      <c r="Q47" s="857">
        <f>MCF!R46</f>
        <v>1</v>
      </c>
      <c r="R47" s="858">
        <f t="shared" si="0"/>
        <v>2.2504179090357481</v>
      </c>
      <c r="S47" s="858">
        <f t="shared" si="5"/>
        <v>2.2504179090357481</v>
      </c>
      <c r="T47" s="858">
        <f t="shared" si="6"/>
        <v>0</v>
      </c>
      <c r="U47" s="858">
        <f t="shared" si="7"/>
        <v>6.325693982637917</v>
      </c>
      <c r="V47" s="858">
        <f t="shared" si="8"/>
        <v>2.0043214227040895</v>
      </c>
      <c r="W47" s="859">
        <f t="shared" si="9"/>
        <v>1.3362142818027263</v>
      </c>
    </row>
    <row r="48" spans="2:23">
      <c r="B48" s="854">
        <f>Amnt_Deposited!B43</f>
        <v>2029</v>
      </c>
      <c r="C48" s="771">
        <f>Amnt_Deposited!C43</f>
        <v>31.176000103898911</v>
      </c>
      <c r="D48" s="856">
        <f>Dry_Matter_Content!C35</f>
        <v>0.59</v>
      </c>
      <c r="E48" s="857">
        <f>MCF!R47</f>
        <v>1</v>
      </c>
      <c r="F48" s="858">
        <f t="shared" si="1"/>
        <v>3.4948296116470678</v>
      </c>
      <c r="G48" s="858">
        <f t="shared" si="2"/>
        <v>3.4948296116470678</v>
      </c>
      <c r="H48" s="858">
        <f t="shared" si="3"/>
        <v>0</v>
      </c>
      <c r="I48" s="858">
        <f t="shared" si="4"/>
        <v>9.8325742235520952</v>
      </c>
      <c r="J48" s="885">
        <f t="shared" si="10"/>
        <v>3.1170593274777794</v>
      </c>
      <c r="K48" s="886">
        <f t="shared" si="11"/>
        <v>2.0780395516518526</v>
      </c>
      <c r="O48" s="854">
        <f>Amnt_Deposited!B43</f>
        <v>2029</v>
      </c>
      <c r="P48" s="861">
        <f>Amnt_Deposited!C43</f>
        <v>31.176000103898911</v>
      </c>
      <c r="Q48" s="857">
        <f>MCF!R47</f>
        <v>1</v>
      </c>
      <c r="R48" s="858">
        <f t="shared" si="0"/>
        <v>2.3382000077924183</v>
      </c>
      <c r="S48" s="858">
        <f t="shared" si="5"/>
        <v>2.3382000077924183</v>
      </c>
      <c r="T48" s="858">
        <f t="shared" si="6"/>
        <v>0</v>
      </c>
      <c r="U48" s="858">
        <f t="shared" si="7"/>
        <v>6.5784394894416334</v>
      </c>
      <c r="V48" s="858">
        <f t="shared" si="8"/>
        <v>2.085454500988702</v>
      </c>
      <c r="W48" s="859">
        <f t="shared" si="9"/>
        <v>1.3903030006591346</v>
      </c>
    </row>
    <row r="49" spans="2:23">
      <c r="B49" s="854">
        <f>Amnt_Deposited!B44</f>
        <v>2030</v>
      </c>
      <c r="C49" s="771">
        <f>Amnt_Deposited!C44</f>
        <v>32.395445280000004</v>
      </c>
      <c r="D49" s="856">
        <f>Dry_Matter_Content!C36</f>
        <v>0.59</v>
      </c>
      <c r="E49" s="857">
        <f>MCF!R48</f>
        <v>1</v>
      </c>
      <c r="F49" s="858">
        <f t="shared" si="1"/>
        <v>3.6315294158880005</v>
      </c>
      <c r="G49" s="858">
        <f t="shared" si="2"/>
        <v>3.6315294158880005</v>
      </c>
      <c r="H49" s="858">
        <f t="shared" si="3"/>
        <v>0</v>
      </c>
      <c r="I49" s="858">
        <f t="shared" si="4"/>
        <v>10.222501022068281</v>
      </c>
      <c r="J49" s="885">
        <f t="shared" si="10"/>
        <v>3.241602617371814</v>
      </c>
      <c r="K49" s="886">
        <f t="shared" si="11"/>
        <v>2.1610684115812093</v>
      </c>
      <c r="O49" s="854">
        <f>Amnt_Deposited!B44</f>
        <v>2030</v>
      </c>
      <c r="P49" s="861">
        <f>Amnt_Deposited!C44</f>
        <v>32.395445280000004</v>
      </c>
      <c r="Q49" s="857">
        <f>MCF!R48</f>
        <v>1</v>
      </c>
      <c r="R49" s="858">
        <f t="shared" si="0"/>
        <v>2.4296583960000002</v>
      </c>
      <c r="S49" s="858">
        <f t="shared" si="5"/>
        <v>2.4296583960000002</v>
      </c>
      <c r="T49" s="858">
        <f t="shared" si="6"/>
        <v>0</v>
      </c>
      <c r="U49" s="858">
        <f t="shared" si="7"/>
        <v>6.8393182574051838</v>
      </c>
      <c r="V49" s="858">
        <f t="shared" si="8"/>
        <v>2.1687796280364502</v>
      </c>
      <c r="W49" s="859">
        <f t="shared" si="9"/>
        <v>1.4458530853576335</v>
      </c>
    </row>
    <row r="50" spans="2:23">
      <c r="B50" s="854">
        <f>Amnt_Deposited!B45</f>
        <v>2031</v>
      </c>
      <c r="C50" s="861">
        <f>Amnt_Deposited!C45</f>
        <v>0</v>
      </c>
      <c r="D50" s="856">
        <f>Dry_Matter_Content!C37</f>
        <v>0.59</v>
      </c>
      <c r="E50" s="857">
        <f>MCF!R49</f>
        <v>1</v>
      </c>
      <c r="F50" s="858">
        <f t="shared" si="1"/>
        <v>0</v>
      </c>
      <c r="G50" s="858">
        <f t="shared" si="2"/>
        <v>0</v>
      </c>
      <c r="H50" s="858">
        <f t="shared" si="3"/>
        <v>0</v>
      </c>
      <c r="I50" s="858">
        <f t="shared" si="4"/>
        <v>6.8523473557121797</v>
      </c>
      <c r="J50" s="858">
        <f t="shared" si="10"/>
        <v>3.3701536663561007</v>
      </c>
      <c r="K50" s="859">
        <f t="shared" si="11"/>
        <v>2.2467691109040668</v>
      </c>
      <c r="O50" s="854">
        <f>Amnt_Deposited!B45</f>
        <v>2031</v>
      </c>
      <c r="P50" s="861">
        <f>Amnt_Deposited!C45</f>
        <v>0</v>
      </c>
      <c r="Q50" s="857">
        <f>MCF!R49</f>
        <v>1</v>
      </c>
      <c r="R50" s="858">
        <f t="shared" si="0"/>
        <v>0</v>
      </c>
      <c r="S50" s="858">
        <f t="shared" si="5"/>
        <v>0</v>
      </c>
      <c r="T50" s="858">
        <f t="shared" si="6"/>
        <v>0</v>
      </c>
      <c r="U50" s="858">
        <f t="shared" si="7"/>
        <v>4.5845321291562318</v>
      </c>
      <c r="V50" s="858">
        <f t="shared" si="8"/>
        <v>2.2547861282489525</v>
      </c>
      <c r="W50" s="859">
        <f t="shared" si="9"/>
        <v>1.5031907521659682</v>
      </c>
    </row>
    <row r="51" spans="2:23">
      <c r="B51" s="854">
        <f>Amnt_Deposited!B46</f>
        <v>2032</v>
      </c>
      <c r="C51" s="861">
        <f>Amnt_Deposited!C46</f>
        <v>0</v>
      </c>
      <c r="D51" s="856">
        <f>Dry_Matter_Content!C38</f>
        <v>0.59</v>
      </c>
      <c r="E51" s="857">
        <f>MCF!R50</f>
        <v>1</v>
      </c>
      <c r="F51" s="858">
        <f t="shared" ref="F51:F82" si="12">C51*D51*$K$6*DOCF*E51</f>
        <v>0</v>
      </c>
      <c r="G51" s="858">
        <f t="shared" ref="G51:G82" si="13">F51*$K$12</f>
        <v>0</v>
      </c>
      <c r="H51" s="858">
        <f t="shared" ref="H51:H82" si="14">F51*(1-$K$12)</f>
        <v>0</v>
      </c>
      <c r="I51" s="858">
        <f t="shared" ref="I51:I82" si="15">G51+I50*$K$10</f>
        <v>4.5932657949331794</v>
      </c>
      <c r="J51" s="858">
        <f t="shared" ref="J51:J82" si="16">I50*(1-$K$10)+H51</f>
        <v>2.2590815607789998</v>
      </c>
      <c r="K51" s="859">
        <f t="shared" si="11"/>
        <v>1.5060543738526664</v>
      </c>
      <c r="O51" s="854">
        <f>Amnt_Deposited!B46</f>
        <v>2032</v>
      </c>
      <c r="P51" s="861">
        <f>Amnt_Deposited!C46</f>
        <v>0</v>
      </c>
      <c r="Q51" s="857">
        <f>MCF!R50</f>
        <v>1</v>
      </c>
      <c r="R51" s="858">
        <f t="shared" ref="R51:R82" si="17">P51*$W$6*DOCF*Q51</f>
        <v>0</v>
      </c>
      <c r="S51" s="858">
        <f t="shared" si="5"/>
        <v>0</v>
      </c>
      <c r="T51" s="858">
        <f t="shared" si="6"/>
        <v>0</v>
      </c>
      <c r="U51" s="858">
        <f t="shared" si="7"/>
        <v>3.0731037878678729</v>
      </c>
      <c r="V51" s="858">
        <f t="shared" si="8"/>
        <v>1.5114283412883589</v>
      </c>
      <c r="W51" s="859">
        <f t="shared" si="9"/>
        <v>1.0076188941922393</v>
      </c>
    </row>
    <row r="52" spans="2:23">
      <c r="B52" s="854">
        <f>Amnt_Deposited!B47</f>
        <v>2033</v>
      </c>
      <c r="C52" s="861">
        <f>Amnt_Deposited!C47</f>
        <v>0</v>
      </c>
      <c r="D52" s="856">
        <f>Dry_Matter_Content!C39</f>
        <v>0.59</v>
      </c>
      <c r="E52" s="857">
        <f>MCF!R51</f>
        <v>1</v>
      </c>
      <c r="F52" s="858">
        <f t="shared" si="12"/>
        <v>0</v>
      </c>
      <c r="G52" s="858">
        <f t="shared" si="13"/>
        <v>0</v>
      </c>
      <c r="H52" s="858">
        <f t="shared" si="14"/>
        <v>0</v>
      </c>
      <c r="I52" s="858">
        <f t="shared" si="15"/>
        <v>3.0789581391135363</v>
      </c>
      <c r="J52" s="858">
        <f t="shared" si="16"/>
        <v>1.5143076558196431</v>
      </c>
      <c r="K52" s="859">
        <f t="shared" si="11"/>
        <v>1.0095384372130953</v>
      </c>
      <c r="O52" s="854">
        <f>Amnt_Deposited!B47</f>
        <v>2033</v>
      </c>
      <c r="P52" s="861">
        <f>Amnt_Deposited!C47</f>
        <v>0</v>
      </c>
      <c r="Q52" s="857">
        <f>MCF!R51</f>
        <v>1</v>
      </c>
      <c r="R52" s="858">
        <f t="shared" si="17"/>
        <v>0</v>
      </c>
      <c r="S52" s="858">
        <f t="shared" si="5"/>
        <v>0</v>
      </c>
      <c r="T52" s="858">
        <f t="shared" si="6"/>
        <v>0</v>
      </c>
      <c r="U52" s="858">
        <f t="shared" si="7"/>
        <v>2.05996307255589</v>
      </c>
      <c r="V52" s="858">
        <f t="shared" si="8"/>
        <v>1.0131407153119827</v>
      </c>
      <c r="W52" s="859">
        <f t="shared" si="9"/>
        <v>0.67542714354132172</v>
      </c>
    </row>
    <row r="53" spans="2:23">
      <c r="B53" s="854">
        <f>Amnt_Deposited!B48</f>
        <v>2034</v>
      </c>
      <c r="C53" s="861">
        <f>Amnt_Deposited!C48</f>
        <v>0</v>
      </c>
      <c r="D53" s="856">
        <f>Dry_Matter_Content!C40</f>
        <v>0.59</v>
      </c>
      <c r="E53" s="857">
        <f>MCF!R52</f>
        <v>1</v>
      </c>
      <c r="F53" s="858">
        <f t="shared" si="12"/>
        <v>0</v>
      </c>
      <c r="G53" s="858">
        <f t="shared" si="13"/>
        <v>0</v>
      </c>
      <c r="H53" s="858">
        <f t="shared" si="14"/>
        <v>0</v>
      </c>
      <c r="I53" s="858">
        <f t="shared" si="15"/>
        <v>2.0638873615523923</v>
      </c>
      <c r="J53" s="858">
        <f t="shared" si="16"/>
        <v>1.0150707775611443</v>
      </c>
      <c r="K53" s="859">
        <f t="shared" si="11"/>
        <v>0.67671385170742948</v>
      </c>
      <c r="O53" s="854">
        <f>Amnt_Deposited!B48</f>
        <v>2034</v>
      </c>
      <c r="P53" s="861">
        <f>Amnt_Deposited!C48</f>
        <v>0</v>
      </c>
      <c r="Q53" s="857">
        <f>MCF!R52</f>
        <v>1</v>
      </c>
      <c r="R53" s="858">
        <f t="shared" si="17"/>
        <v>0</v>
      </c>
      <c r="S53" s="858">
        <f t="shared" si="5"/>
        <v>0</v>
      </c>
      <c r="T53" s="858">
        <f t="shared" si="6"/>
        <v>0</v>
      </c>
      <c r="U53" s="858">
        <f t="shared" si="7"/>
        <v>1.3808345416273813</v>
      </c>
      <c r="V53" s="858">
        <f t="shared" si="8"/>
        <v>0.67912853092850878</v>
      </c>
      <c r="W53" s="859">
        <f t="shared" si="9"/>
        <v>0.45275235395233915</v>
      </c>
    </row>
    <row r="54" spans="2:23">
      <c r="B54" s="854">
        <f>Amnt_Deposited!B49</f>
        <v>2035</v>
      </c>
      <c r="C54" s="861">
        <f>Amnt_Deposited!C49</f>
        <v>0</v>
      </c>
      <c r="D54" s="856">
        <f>Dry_Matter_Content!C41</f>
        <v>0.59</v>
      </c>
      <c r="E54" s="857">
        <f>MCF!R53</f>
        <v>1</v>
      </c>
      <c r="F54" s="858">
        <f t="shared" si="12"/>
        <v>0</v>
      </c>
      <c r="G54" s="858">
        <f t="shared" si="13"/>
        <v>0</v>
      </c>
      <c r="H54" s="858">
        <f t="shared" si="14"/>
        <v>0</v>
      </c>
      <c r="I54" s="858">
        <f t="shared" si="15"/>
        <v>1.3834650712081737</v>
      </c>
      <c r="J54" s="858">
        <f t="shared" si="16"/>
        <v>0.68042229034421853</v>
      </c>
      <c r="K54" s="859">
        <f t="shared" si="11"/>
        <v>0.453614860229479</v>
      </c>
      <c r="O54" s="854">
        <f>Amnt_Deposited!B49</f>
        <v>2035</v>
      </c>
      <c r="P54" s="861">
        <f>Amnt_Deposited!C49</f>
        <v>0</v>
      </c>
      <c r="Q54" s="857">
        <f>MCF!R53</f>
        <v>1</v>
      </c>
      <c r="R54" s="858">
        <f t="shared" si="17"/>
        <v>0</v>
      </c>
      <c r="S54" s="858">
        <f t="shared" si="5"/>
        <v>0</v>
      </c>
      <c r="T54" s="858">
        <f t="shared" si="6"/>
        <v>0</v>
      </c>
      <c r="U54" s="858">
        <f t="shared" si="7"/>
        <v>0.92560107351126719</v>
      </c>
      <c r="V54" s="858">
        <f t="shared" si="8"/>
        <v>0.45523346811611415</v>
      </c>
      <c r="W54" s="859">
        <f t="shared" si="9"/>
        <v>0.3034889787440761</v>
      </c>
    </row>
    <row r="55" spans="2:23">
      <c r="B55" s="854">
        <f>Amnt_Deposited!B50</f>
        <v>2036</v>
      </c>
      <c r="C55" s="861">
        <f>Amnt_Deposited!C50</f>
        <v>0</v>
      </c>
      <c r="D55" s="856">
        <f>Dry_Matter_Content!C42</f>
        <v>0.59</v>
      </c>
      <c r="E55" s="857">
        <f>MCF!R54</f>
        <v>1</v>
      </c>
      <c r="F55" s="858">
        <f t="shared" si="12"/>
        <v>0</v>
      </c>
      <c r="G55" s="858">
        <f t="shared" si="13"/>
        <v>0</v>
      </c>
      <c r="H55" s="858">
        <f t="shared" si="14"/>
        <v>0</v>
      </c>
      <c r="I55" s="858">
        <f t="shared" si="15"/>
        <v>0.92736437022096208</v>
      </c>
      <c r="J55" s="858">
        <f t="shared" si="16"/>
        <v>0.45610070098721167</v>
      </c>
      <c r="K55" s="859">
        <f t="shared" si="11"/>
        <v>0.30406713399147445</v>
      </c>
      <c r="O55" s="854">
        <f>Amnt_Deposited!B50</f>
        <v>2036</v>
      </c>
      <c r="P55" s="861">
        <f>Amnt_Deposited!C50</f>
        <v>0</v>
      </c>
      <c r="Q55" s="857">
        <f>MCF!R54</f>
        <v>1</v>
      </c>
      <c r="R55" s="858">
        <f t="shared" si="17"/>
        <v>0</v>
      </c>
      <c r="S55" s="858">
        <f t="shared" si="5"/>
        <v>0</v>
      </c>
      <c r="T55" s="858">
        <f t="shared" si="6"/>
        <v>0</v>
      </c>
      <c r="U55" s="858">
        <f t="shared" si="7"/>
        <v>0.62044895420670976</v>
      </c>
      <c r="V55" s="858">
        <f t="shared" si="8"/>
        <v>0.30515211930455738</v>
      </c>
      <c r="W55" s="859">
        <f t="shared" si="9"/>
        <v>0.20343474620303825</v>
      </c>
    </row>
    <row r="56" spans="2:23">
      <c r="B56" s="854">
        <f>Amnt_Deposited!B51</f>
        <v>2037</v>
      </c>
      <c r="C56" s="861">
        <f>Amnt_Deposited!C51</f>
        <v>0</v>
      </c>
      <c r="D56" s="856">
        <f>Dry_Matter_Content!C43</f>
        <v>0.59</v>
      </c>
      <c r="E56" s="857">
        <f>MCF!R55</f>
        <v>1</v>
      </c>
      <c r="F56" s="858">
        <f t="shared" si="12"/>
        <v>0</v>
      </c>
      <c r="G56" s="858">
        <f t="shared" si="13"/>
        <v>0</v>
      </c>
      <c r="H56" s="858">
        <f t="shared" si="14"/>
        <v>0</v>
      </c>
      <c r="I56" s="858">
        <f t="shared" si="15"/>
        <v>0.62163092733832692</v>
      </c>
      <c r="J56" s="858">
        <f t="shared" si="16"/>
        <v>0.3057334428826351</v>
      </c>
      <c r="K56" s="859">
        <f t="shared" si="11"/>
        <v>0.20382229525509005</v>
      </c>
      <c r="O56" s="854">
        <f>Amnt_Deposited!B51</f>
        <v>2037</v>
      </c>
      <c r="P56" s="861">
        <f>Amnt_Deposited!C51</f>
        <v>0</v>
      </c>
      <c r="Q56" s="857">
        <f>MCF!R55</f>
        <v>1</v>
      </c>
      <c r="R56" s="858">
        <f t="shared" si="17"/>
        <v>0</v>
      </c>
      <c r="S56" s="858">
        <f t="shared" si="5"/>
        <v>0</v>
      </c>
      <c r="T56" s="858">
        <f t="shared" si="6"/>
        <v>0</v>
      </c>
      <c r="U56" s="858">
        <f t="shared" si="7"/>
        <v>0.41589937154660594</v>
      </c>
      <c r="V56" s="858">
        <f t="shared" si="8"/>
        <v>0.20454958266010378</v>
      </c>
      <c r="W56" s="859">
        <f t="shared" si="9"/>
        <v>0.13636638844006918</v>
      </c>
    </row>
    <row r="57" spans="2:23">
      <c r="B57" s="854">
        <f>Amnt_Deposited!B52</f>
        <v>2038</v>
      </c>
      <c r="C57" s="861">
        <f>Amnt_Deposited!C52</f>
        <v>0</v>
      </c>
      <c r="D57" s="856">
        <f>Dry_Matter_Content!C44</f>
        <v>0.59</v>
      </c>
      <c r="E57" s="857">
        <f>MCF!R56</f>
        <v>1</v>
      </c>
      <c r="F57" s="858">
        <f t="shared" si="12"/>
        <v>0</v>
      </c>
      <c r="G57" s="858">
        <f t="shared" si="13"/>
        <v>0</v>
      </c>
      <c r="H57" s="858">
        <f t="shared" si="14"/>
        <v>0</v>
      </c>
      <c r="I57" s="858">
        <f t="shared" si="15"/>
        <v>0.41669167183060446</v>
      </c>
      <c r="J57" s="858">
        <f t="shared" si="16"/>
        <v>0.20493925550772246</v>
      </c>
      <c r="K57" s="859">
        <f t="shared" si="11"/>
        <v>0.13662617033848162</v>
      </c>
      <c r="O57" s="854">
        <f>Amnt_Deposited!B52</f>
        <v>2038</v>
      </c>
      <c r="P57" s="861">
        <f>Amnt_Deposited!C52</f>
        <v>0</v>
      </c>
      <c r="Q57" s="857">
        <f>MCF!R56</f>
        <v>1</v>
      </c>
      <c r="R57" s="858">
        <f t="shared" si="17"/>
        <v>0</v>
      </c>
      <c r="S57" s="858">
        <f t="shared" si="5"/>
        <v>0</v>
      </c>
      <c r="T57" s="858">
        <f t="shared" si="6"/>
        <v>0</v>
      </c>
      <c r="U57" s="858">
        <f t="shared" si="7"/>
        <v>0.27878568588131436</v>
      </c>
      <c r="V57" s="858">
        <f t="shared" si="8"/>
        <v>0.13711368566529158</v>
      </c>
      <c r="W57" s="859">
        <f t="shared" si="9"/>
        <v>9.1409123776861056E-2</v>
      </c>
    </row>
    <row r="58" spans="2:23">
      <c r="B58" s="854">
        <f>Amnt_Deposited!B53</f>
        <v>2039</v>
      </c>
      <c r="C58" s="861">
        <f>Amnt_Deposited!C53</f>
        <v>0</v>
      </c>
      <c r="D58" s="856">
        <f>Dry_Matter_Content!C45</f>
        <v>0.59</v>
      </c>
      <c r="E58" s="857">
        <f>MCF!R57</f>
        <v>1</v>
      </c>
      <c r="F58" s="858">
        <f t="shared" si="12"/>
        <v>0</v>
      </c>
      <c r="G58" s="858">
        <f t="shared" si="13"/>
        <v>0</v>
      </c>
      <c r="H58" s="858">
        <f t="shared" si="14"/>
        <v>0</v>
      </c>
      <c r="I58" s="858">
        <f t="shared" si="15"/>
        <v>0.27931678064415827</v>
      </c>
      <c r="J58" s="858">
        <f t="shared" si="16"/>
        <v>0.13737489118644616</v>
      </c>
      <c r="K58" s="859">
        <f t="shared" si="11"/>
        <v>9.1583260790964099E-2</v>
      </c>
      <c r="O58" s="854">
        <f>Amnt_Deposited!B53</f>
        <v>2039</v>
      </c>
      <c r="P58" s="861">
        <f>Amnt_Deposited!C53</f>
        <v>0</v>
      </c>
      <c r="Q58" s="857">
        <f>MCF!R57</f>
        <v>1</v>
      </c>
      <c r="R58" s="858">
        <f t="shared" si="17"/>
        <v>0</v>
      </c>
      <c r="S58" s="858">
        <f t="shared" si="5"/>
        <v>0</v>
      </c>
      <c r="T58" s="858">
        <f t="shared" si="6"/>
        <v>0</v>
      </c>
      <c r="U58" s="858">
        <f t="shared" si="7"/>
        <v>0.18687563379403993</v>
      </c>
      <c r="V58" s="858">
        <f t="shared" si="8"/>
        <v>9.191005208727443E-2</v>
      </c>
      <c r="W58" s="859">
        <f t="shared" si="9"/>
        <v>6.1273368058182953E-2</v>
      </c>
    </row>
    <row r="59" spans="2:23">
      <c r="B59" s="854">
        <f>Amnt_Deposited!B54</f>
        <v>2040</v>
      </c>
      <c r="C59" s="861">
        <f>Amnt_Deposited!C54</f>
        <v>0</v>
      </c>
      <c r="D59" s="856">
        <f>Dry_Matter_Content!C46</f>
        <v>0.59</v>
      </c>
      <c r="E59" s="857">
        <f>MCF!R58</f>
        <v>1</v>
      </c>
      <c r="F59" s="858">
        <f t="shared" si="12"/>
        <v>0</v>
      </c>
      <c r="G59" s="858">
        <f t="shared" si="13"/>
        <v>0</v>
      </c>
      <c r="H59" s="858">
        <f t="shared" si="14"/>
        <v>0</v>
      </c>
      <c r="I59" s="858">
        <f t="shared" si="15"/>
        <v>0.18723163725991873</v>
      </c>
      <c r="J59" s="858">
        <f t="shared" si="16"/>
        <v>9.2085143384239523E-2</v>
      </c>
      <c r="K59" s="859">
        <f t="shared" si="11"/>
        <v>6.1390095589493016E-2</v>
      </c>
      <c r="O59" s="854">
        <f>Amnt_Deposited!B54</f>
        <v>2040</v>
      </c>
      <c r="P59" s="861">
        <f>Amnt_Deposited!C54</f>
        <v>0</v>
      </c>
      <c r="Q59" s="857">
        <f>MCF!R58</f>
        <v>1</v>
      </c>
      <c r="R59" s="858">
        <f t="shared" si="17"/>
        <v>0</v>
      </c>
      <c r="S59" s="858">
        <f t="shared" si="5"/>
        <v>0</v>
      </c>
      <c r="T59" s="858">
        <f t="shared" si="6"/>
        <v>0</v>
      </c>
      <c r="U59" s="858">
        <f t="shared" si="7"/>
        <v>0.12526648344776012</v>
      </c>
      <c r="V59" s="858">
        <f t="shared" si="8"/>
        <v>6.1609150346279805E-2</v>
      </c>
      <c r="W59" s="859">
        <f t="shared" si="9"/>
        <v>4.1072766897519868E-2</v>
      </c>
    </row>
    <row r="60" spans="2:23">
      <c r="B60" s="854">
        <f>Amnt_Deposited!B55</f>
        <v>2041</v>
      </c>
      <c r="C60" s="861">
        <f>Amnt_Deposited!C55</f>
        <v>0</v>
      </c>
      <c r="D60" s="856">
        <f>Dry_Matter_Content!C47</f>
        <v>0.59</v>
      </c>
      <c r="E60" s="857">
        <f>MCF!R59</f>
        <v>1</v>
      </c>
      <c r="F60" s="858">
        <f t="shared" si="12"/>
        <v>0</v>
      </c>
      <c r="G60" s="858">
        <f t="shared" si="13"/>
        <v>0</v>
      </c>
      <c r="H60" s="858">
        <f t="shared" si="14"/>
        <v>0</v>
      </c>
      <c r="I60" s="858">
        <f t="shared" si="15"/>
        <v>0.12550511970739686</v>
      </c>
      <c r="J60" s="858">
        <f t="shared" si="16"/>
        <v>6.1726517552521884E-2</v>
      </c>
      <c r="K60" s="859">
        <f t="shared" si="11"/>
        <v>4.1151011701681256E-2</v>
      </c>
      <c r="O60" s="854">
        <f>Amnt_Deposited!B55</f>
        <v>2041</v>
      </c>
      <c r="P60" s="861">
        <f>Amnt_Deposited!C55</f>
        <v>0</v>
      </c>
      <c r="Q60" s="857">
        <f>MCF!R59</f>
        <v>1</v>
      </c>
      <c r="R60" s="858">
        <f t="shared" si="17"/>
        <v>0</v>
      </c>
      <c r="S60" s="858">
        <f t="shared" si="5"/>
        <v>0</v>
      </c>
      <c r="T60" s="858">
        <f t="shared" si="6"/>
        <v>0</v>
      </c>
      <c r="U60" s="858">
        <f t="shared" si="7"/>
        <v>8.3968634951425217E-2</v>
      </c>
      <c r="V60" s="858">
        <f t="shared" si="8"/>
        <v>4.1297848496334902E-2</v>
      </c>
      <c r="W60" s="859">
        <f t="shared" si="9"/>
        <v>2.7531898997556599E-2</v>
      </c>
    </row>
    <row r="61" spans="2:23">
      <c r="B61" s="854">
        <f>Amnt_Deposited!B56</f>
        <v>2042</v>
      </c>
      <c r="C61" s="861">
        <f>Amnt_Deposited!C56</f>
        <v>0</v>
      </c>
      <c r="D61" s="856">
        <f>Dry_Matter_Content!C48</f>
        <v>0.59</v>
      </c>
      <c r="E61" s="857">
        <f>MCF!R60</f>
        <v>1</v>
      </c>
      <c r="F61" s="858">
        <f t="shared" si="12"/>
        <v>0</v>
      </c>
      <c r="G61" s="858">
        <f t="shared" si="13"/>
        <v>0</v>
      </c>
      <c r="H61" s="858">
        <f t="shared" si="14"/>
        <v>0</v>
      </c>
      <c r="I61" s="858">
        <f t="shared" si="15"/>
        <v>8.4128597619970685E-2</v>
      </c>
      <c r="J61" s="858">
        <f t="shared" si="16"/>
        <v>4.1376522087426169E-2</v>
      </c>
      <c r="K61" s="859">
        <f t="shared" si="11"/>
        <v>2.7584348058284112E-2</v>
      </c>
      <c r="O61" s="854">
        <f>Amnt_Deposited!B56</f>
        <v>2042</v>
      </c>
      <c r="P61" s="861">
        <f>Amnt_Deposited!C56</f>
        <v>0</v>
      </c>
      <c r="Q61" s="857">
        <f>MCF!R60</f>
        <v>1</v>
      </c>
      <c r="R61" s="858">
        <f t="shared" si="17"/>
        <v>0</v>
      </c>
      <c r="S61" s="858">
        <f t="shared" si="5"/>
        <v>0</v>
      </c>
      <c r="T61" s="858">
        <f t="shared" si="6"/>
        <v>0</v>
      </c>
      <c r="U61" s="858">
        <f t="shared" si="7"/>
        <v>5.6285859246189146E-2</v>
      </c>
      <c r="V61" s="858">
        <f t="shared" si="8"/>
        <v>2.7682775705236071E-2</v>
      </c>
      <c r="W61" s="859">
        <f t="shared" si="9"/>
        <v>1.8455183803490711E-2</v>
      </c>
    </row>
    <row r="62" spans="2:23">
      <c r="B62" s="854">
        <f>Amnt_Deposited!B57</f>
        <v>2043</v>
      </c>
      <c r="C62" s="861">
        <f>Amnt_Deposited!C57</f>
        <v>0</v>
      </c>
      <c r="D62" s="856">
        <f>Dry_Matter_Content!C49</f>
        <v>0.59</v>
      </c>
      <c r="E62" s="857">
        <f>MCF!R61</f>
        <v>1</v>
      </c>
      <c r="F62" s="858">
        <f t="shared" si="12"/>
        <v>0</v>
      </c>
      <c r="G62" s="858">
        <f t="shared" si="13"/>
        <v>0</v>
      </c>
      <c r="H62" s="858">
        <f t="shared" si="14"/>
        <v>0</v>
      </c>
      <c r="I62" s="858">
        <f t="shared" si="15"/>
        <v>5.639308542953253E-2</v>
      </c>
      <c r="J62" s="858">
        <f t="shared" si="16"/>
        <v>2.7735512190438159E-2</v>
      </c>
      <c r="K62" s="859">
        <f t="shared" si="11"/>
        <v>1.8490341460292103E-2</v>
      </c>
      <c r="O62" s="854">
        <f>Amnt_Deposited!B57</f>
        <v>2043</v>
      </c>
      <c r="P62" s="861">
        <f>Amnt_Deposited!C57</f>
        <v>0</v>
      </c>
      <c r="Q62" s="857">
        <f>MCF!R61</f>
        <v>1</v>
      </c>
      <c r="R62" s="858">
        <f t="shared" si="17"/>
        <v>0</v>
      </c>
      <c r="S62" s="858">
        <f t="shared" si="5"/>
        <v>0</v>
      </c>
      <c r="T62" s="858">
        <f t="shared" si="6"/>
        <v>0</v>
      </c>
      <c r="U62" s="858">
        <f t="shared" si="7"/>
        <v>3.7729539761061026E-2</v>
      </c>
      <c r="V62" s="858">
        <f t="shared" si="8"/>
        <v>1.8556319485128123E-2</v>
      </c>
      <c r="W62" s="859">
        <f t="shared" si="9"/>
        <v>1.2370879656752081E-2</v>
      </c>
    </row>
    <row r="63" spans="2:23">
      <c r="B63" s="854">
        <f>Amnt_Deposited!B58</f>
        <v>2044</v>
      </c>
      <c r="C63" s="861">
        <f>Amnt_Deposited!C58</f>
        <v>0</v>
      </c>
      <c r="D63" s="856">
        <f>Dry_Matter_Content!C50</f>
        <v>0.59</v>
      </c>
      <c r="E63" s="857">
        <f>MCF!R62</f>
        <v>1</v>
      </c>
      <c r="F63" s="858">
        <f t="shared" si="12"/>
        <v>0</v>
      </c>
      <c r="G63" s="858">
        <f t="shared" si="13"/>
        <v>0</v>
      </c>
      <c r="H63" s="858">
        <f t="shared" si="14"/>
        <v>0</v>
      </c>
      <c r="I63" s="858">
        <f t="shared" si="15"/>
        <v>3.7801415621215986E-2</v>
      </c>
      <c r="J63" s="858">
        <f t="shared" si="16"/>
        <v>1.8591669808316544E-2</v>
      </c>
      <c r="K63" s="859">
        <f t="shared" si="11"/>
        <v>1.2394446538877696E-2</v>
      </c>
      <c r="O63" s="854">
        <f>Amnt_Deposited!B58</f>
        <v>2044</v>
      </c>
      <c r="P63" s="861">
        <f>Amnt_Deposited!C58</f>
        <v>0</v>
      </c>
      <c r="Q63" s="857">
        <f>MCF!R62</f>
        <v>1</v>
      </c>
      <c r="R63" s="858">
        <f t="shared" si="17"/>
        <v>0</v>
      </c>
      <c r="S63" s="858">
        <f t="shared" si="5"/>
        <v>0</v>
      </c>
      <c r="T63" s="858">
        <f t="shared" si="6"/>
        <v>0</v>
      </c>
      <c r="U63" s="858">
        <f t="shared" si="7"/>
        <v>2.5290866829537913E-2</v>
      </c>
      <c r="V63" s="858">
        <f t="shared" si="8"/>
        <v>1.2438672931523115E-2</v>
      </c>
      <c r="W63" s="859">
        <f t="shared" si="9"/>
        <v>8.2924486210154101E-3</v>
      </c>
    </row>
    <row r="64" spans="2:23">
      <c r="B64" s="854">
        <f>Amnt_Deposited!B59</f>
        <v>2045</v>
      </c>
      <c r="C64" s="861">
        <f>Amnt_Deposited!C59</f>
        <v>0</v>
      </c>
      <c r="D64" s="856">
        <f>Dry_Matter_Content!C51</f>
        <v>0.59</v>
      </c>
      <c r="E64" s="857">
        <f>MCF!R63</f>
        <v>1</v>
      </c>
      <c r="F64" s="858">
        <f t="shared" si="12"/>
        <v>0</v>
      </c>
      <c r="G64" s="858">
        <f t="shared" si="13"/>
        <v>0</v>
      </c>
      <c r="H64" s="858">
        <f t="shared" si="14"/>
        <v>0</v>
      </c>
      <c r="I64" s="858">
        <f t="shared" si="15"/>
        <v>2.5339046659425834E-2</v>
      </c>
      <c r="J64" s="858">
        <f t="shared" si="16"/>
        <v>1.2462368961790151E-2</v>
      </c>
      <c r="K64" s="859">
        <f t="shared" si="11"/>
        <v>8.3082459745267671E-3</v>
      </c>
      <c r="O64" s="854">
        <f>Amnt_Deposited!B59</f>
        <v>2045</v>
      </c>
      <c r="P64" s="861">
        <f>Amnt_Deposited!C59</f>
        <v>0</v>
      </c>
      <c r="Q64" s="857">
        <f>MCF!R63</f>
        <v>1</v>
      </c>
      <c r="R64" s="858">
        <f t="shared" si="17"/>
        <v>0</v>
      </c>
      <c r="S64" s="858">
        <f t="shared" si="5"/>
        <v>0</v>
      </c>
      <c r="T64" s="858">
        <f t="shared" si="6"/>
        <v>0</v>
      </c>
      <c r="U64" s="858">
        <f t="shared" si="7"/>
        <v>1.6952975017457076E-2</v>
      </c>
      <c r="V64" s="858">
        <f t="shared" si="8"/>
        <v>8.3378918120808349E-3</v>
      </c>
      <c r="W64" s="859">
        <f t="shared" si="9"/>
        <v>5.5585945413872233E-3</v>
      </c>
    </row>
    <row r="65" spans="2:23">
      <c r="B65" s="854">
        <f>Amnt_Deposited!B60</f>
        <v>2046</v>
      </c>
      <c r="C65" s="861">
        <f>Amnt_Deposited!C60</f>
        <v>0</v>
      </c>
      <c r="D65" s="856">
        <f>Dry_Matter_Content!C52</f>
        <v>0.59</v>
      </c>
      <c r="E65" s="857">
        <f>MCF!R64</f>
        <v>1</v>
      </c>
      <c r="F65" s="858">
        <f t="shared" si="12"/>
        <v>0</v>
      </c>
      <c r="G65" s="858">
        <f t="shared" si="13"/>
        <v>0</v>
      </c>
      <c r="H65" s="858">
        <f t="shared" si="14"/>
        <v>0</v>
      </c>
      <c r="I65" s="858">
        <f t="shared" si="15"/>
        <v>1.6985270923245539E-2</v>
      </c>
      <c r="J65" s="858">
        <f t="shared" si="16"/>
        <v>8.3537757361802963E-3</v>
      </c>
      <c r="K65" s="859">
        <f t="shared" si="11"/>
        <v>5.5691838241201976E-3</v>
      </c>
      <c r="O65" s="854">
        <f>Amnt_Deposited!B60</f>
        <v>2046</v>
      </c>
      <c r="P65" s="861">
        <f>Amnt_Deposited!C60</f>
        <v>0</v>
      </c>
      <c r="Q65" s="857">
        <f>MCF!R64</f>
        <v>1</v>
      </c>
      <c r="R65" s="858">
        <f t="shared" si="17"/>
        <v>0</v>
      </c>
      <c r="S65" s="858">
        <f t="shared" si="5"/>
        <v>0</v>
      </c>
      <c r="T65" s="858">
        <f t="shared" si="6"/>
        <v>0</v>
      </c>
      <c r="U65" s="858">
        <f t="shared" si="7"/>
        <v>1.1363918994142871E-2</v>
      </c>
      <c r="V65" s="858">
        <f t="shared" si="8"/>
        <v>5.5890560233142058E-3</v>
      </c>
      <c r="W65" s="859">
        <f t="shared" si="9"/>
        <v>3.7260373488761369E-3</v>
      </c>
    </row>
    <row r="66" spans="2:23">
      <c r="B66" s="854">
        <f>Amnt_Deposited!B61</f>
        <v>2047</v>
      </c>
      <c r="C66" s="861">
        <f>Amnt_Deposited!C61</f>
        <v>0</v>
      </c>
      <c r="D66" s="856">
        <f>Dry_Matter_Content!C53</f>
        <v>0.59</v>
      </c>
      <c r="E66" s="857">
        <f>MCF!R65</f>
        <v>1</v>
      </c>
      <c r="F66" s="858">
        <f t="shared" si="12"/>
        <v>0</v>
      </c>
      <c r="G66" s="858">
        <f t="shared" si="13"/>
        <v>0</v>
      </c>
      <c r="H66" s="858">
        <f t="shared" si="14"/>
        <v>0</v>
      </c>
      <c r="I66" s="858">
        <f t="shared" si="15"/>
        <v>1.1385567587197757E-2</v>
      </c>
      <c r="J66" s="858">
        <f t="shared" si="16"/>
        <v>5.5997033360477835E-3</v>
      </c>
      <c r="K66" s="859">
        <f t="shared" si="11"/>
        <v>3.733135557365189E-3</v>
      </c>
      <c r="O66" s="854">
        <f>Amnt_Deposited!B61</f>
        <v>2047</v>
      </c>
      <c r="P66" s="861">
        <f>Amnt_Deposited!C61</f>
        <v>0</v>
      </c>
      <c r="Q66" s="857">
        <f>MCF!R65</f>
        <v>1</v>
      </c>
      <c r="R66" s="858">
        <f t="shared" si="17"/>
        <v>0</v>
      </c>
      <c r="S66" s="858">
        <f t="shared" si="5"/>
        <v>0</v>
      </c>
      <c r="T66" s="858">
        <f t="shared" si="6"/>
        <v>0</v>
      </c>
      <c r="U66" s="858">
        <f t="shared" si="7"/>
        <v>7.6174627032991257E-3</v>
      </c>
      <c r="V66" s="858">
        <f t="shared" si="8"/>
        <v>3.7464562908437458E-3</v>
      </c>
      <c r="W66" s="859">
        <f t="shared" si="9"/>
        <v>2.4976375272291636E-3</v>
      </c>
    </row>
    <row r="67" spans="2:23">
      <c r="B67" s="854">
        <f>Amnt_Deposited!B62</f>
        <v>2048</v>
      </c>
      <c r="C67" s="861">
        <f>Amnt_Deposited!C62</f>
        <v>0</v>
      </c>
      <c r="D67" s="856">
        <f>Dry_Matter_Content!C54</f>
        <v>0.59</v>
      </c>
      <c r="E67" s="857">
        <f>MCF!R66</f>
        <v>1</v>
      </c>
      <c r="F67" s="858">
        <f t="shared" si="12"/>
        <v>0</v>
      </c>
      <c r="G67" s="858">
        <f t="shared" si="13"/>
        <v>0</v>
      </c>
      <c r="H67" s="858">
        <f t="shared" si="14"/>
        <v>0</v>
      </c>
      <c r="I67" s="858">
        <f t="shared" si="15"/>
        <v>7.6319741891922831E-3</v>
      </c>
      <c r="J67" s="858">
        <f t="shared" si="16"/>
        <v>3.7535933980054736E-3</v>
      </c>
      <c r="K67" s="859">
        <f t="shared" si="11"/>
        <v>2.5023955986703157E-3</v>
      </c>
      <c r="O67" s="854">
        <f>Amnt_Deposited!B62</f>
        <v>2048</v>
      </c>
      <c r="P67" s="861">
        <f>Amnt_Deposited!C62</f>
        <v>0</v>
      </c>
      <c r="Q67" s="857">
        <f>MCF!R66</f>
        <v>1</v>
      </c>
      <c r="R67" s="858">
        <f t="shared" si="17"/>
        <v>0</v>
      </c>
      <c r="S67" s="858">
        <f t="shared" si="5"/>
        <v>0</v>
      </c>
      <c r="T67" s="858">
        <f t="shared" si="6"/>
        <v>0</v>
      </c>
      <c r="U67" s="858">
        <f t="shared" si="7"/>
        <v>5.1061379499502358E-3</v>
      </c>
      <c r="V67" s="858">
        <f t="shared" si="8"/>
        <v>2.5113247533488903E-3</v>
      </c>
      <c r="W67" s="859">
        <f t="shared" si="9"/>
        <v>1.6742165022325935E-3</v>
      </c>
    </row>
    <row r="68" spans="2:23">
      <c r="B68" s="854">
        <f>Amnt_Deposited!B63</f>
        <v>2049</v>
      </c>
      <c r="C68" s="861">
        <f>Amnt_Deposited!C63</f>
        <v>0</v>
      </c>
      <c r="D68" s="856">
        <f>Dry_Matter_Content!C55</f>
        <v>0.59</v>
      </c>
      <c r="E68" s="857">
        <f>MCF!R67</f>
        <v>1</v>
      </c>
      <c r="F68" s="858">
        <f t="shared" si="12"/>
        <v>0</v>
      </c>
      <c r="G68" s="858">
        <f t="shared" si="13"/>
        <v>0</v>
      </c>
      <c r="H68" s="858">
        <f t="shared" si="14"/>
        <v>0</v>
      </c>
      <c r="I68" s="858">
        <f t="shared" si="15"/>
        <v>5.1158652898421822E-3</v>
      </c>
      <c r="J68" s="858">
        <f t="shared" si="16"/>
        <v>2.5161088993501009E-3</v>
      </c>
      <c r="K68" s="859">
        <f t="shared" si="11"/>
        <v>1.6774059329000672E-3</v>
      </c>
      <c r="O68" s="854">
        <f>Amnt_Deposited!B63</f>
        <v>2049</v>
      </c>
      <c r="P68" s="861">
        <f>Amnt_Deposited!C63</f>
        <v>0</v>
      </c>
      <c r="Q68" s="857">
        <f>MCF!R67</f>
        <v>1</v>
      </c>
      <c r="R68" s="858">
        <f t="shared" si="17"/>
        <v>0</v>
      </c>
      <c r="S68" s="858">
        <f t="shared" si="5"/>
        <v>0</v>
      </c>
      <c r="T68" s="858">
        <f t="shared" si="6"/>
        <v>0</v>
      </c>
      <c r="U68" s="858">
        <f t="shared" si="7"/>
        <v>3.4227466256749671E-3</v>
      </c>
      <c r="V68" s="858">
        <f t="shared" si="8"/>
        <v>1.6833913242752688E-3</v>
      </c>
      <c r="W68" s="859">
        <f t="shared" si="9"/>
        <v>1.1222608828501792E-3</v>
      </c>
    </row>
    <row r="69" spans="2:23">
      <c r="B69" s="854">
        <f>Amnt_Deposited!B64</f>
        <v>2050</v>
      </c>
      <c r="C69" s="861">
        <f>Amnt_Deposited!C64</f>
        <v>0</v>
      </c>
      <c r="D69" s="856">
        <f>Dry_Matter_Content!C56</f>
        <v>0.59</v>
      </c>
      <c r="E69" s="857">
        <f>MCF!R68</f>
        <v>1</v>
      </c>
      <c r="F69" s="858">
        <f t="shared" si="12"/>
        <v>0</v>
      </c>
      <c r="G69" s="858">
        <f t="shared" si="13"/>
        <v>0</v>
      </c>
      <c r="H69" s="858">
        <f t="shared" si="14"/>
        <v>0</v>
      </c>
      <c r="I69" s="858">
        <f t="shared" si="15"/>
        <v>3.4292670565991409E-3</v>
      </c>
      <c r="J69" s="858">
        <f t="shared" si="16"/>
        <v>1.6865982332430413E-3</v>
      </c>
      <c r="K69" s="859">
        <f t="shared" si="11"/>
        <v>1.1243988221620275E-3</v>
      </c>
      <c r="O69" s="854">
        <f>Amnt_Deposited!B64</f>
        <v>2050</v>
      </c>
      <c r="P69" s="861">
        <f>Amnt_Deposited!C64</f>
        <v>0</v>
      </c>
      <c r="Q69" s="857">
        <f>MCF!R68</f>
        <v>1</v>
      </c>
      <c r="R69" s="858">
        <f t="shared" si="17"/>
        <v>0</v>
      </c>
      <c r="S69" s="858">
        <f t="shared" si="5"/>
        <v>0</v>
      </c>
      <c r="T69" s="858">
        <f t="shared" si="6"/>
        <v>0</v>
      </c>
      <c r="U69" s="858">
        <f t="shared" si="7"/>
        <v>2.2943356756907731E-3</v>
      </c>
      <c r="V69" s="858">
        <f t="shared" si="8"/>
        <v>1.128410949984194E-3</v>
      </c>
      <c r="W69" s="859">
        <f t="shared" si="9"/>
        <v>7.522739666561293E-4</v>
      </c>
    </row>
    <row r="70" spans="2:23">
      <c r="B70" s="854">
        <f>Amnt_Deposited!B65</f>
        <v>2051</v>
      </c>
      <c r="C70" s="861">
        <f>Amnt_Deposited!C65</f>
        <v>0</v>
      </c>
      <c r="D70" s="856">
        <f>Dry_Matter_Content!C57</f>
        <v>0.59</v>
      </c>
      <c r="E70" s="857">
        <f>MCF!R69</f>
        <v>1</v>
      </c>
      <c r="F70" s="858">
        <f t="shared" si="12"/>
        <v>0</v>
      </c>
      <c r="G70" s="858">
        <f t="shared" si="13"/>
        <v>0</v>
      </c>
      <c r="H70" s="858">
        <f t="shared" si="14"/>
        <v>0</v>
      </c>
      <c r="I70" s="858">
        <f t="shared" si="15"/>
        <v>2.2987064512480374E-3</v>
      </c>
      <c r="J70" s="858">
        <f t="shared" si="16"/>
        <v>1.1305606053511033E-3</v>
      </c>
      <c r="K70" s="859">
        <f t="shared" si="11"/>
        <v>7.5370707023406883E-4</v>
      </c>
      <c r="O70" s="854">
        <f>Amnt_Deposited!B65</f>
        <v>2051</v>
      </c>
      <c r="P70" s="861">
        <f>Amnt_Deposited!C65</f>
        <v>0</v>
      </c>
      <c r="Q70" s="857">
        <f>MCF!R69</f>
        <v>1</v>
      </c>
      <c r="R70" s="858">
        <f t="shared" si="17"/>
        <v>0</v>
      </c>
      <c r="S70" s="858">
        <f t="shared" si="5"/>
        <v>0</v>
      </c>
      <c r="T70" s="858">
        <f t="shared" si="6"/>
        <v>0</v>
      </c>
      <c r="U70" s="858">
        <f t="shared" si="7"/>
        <v>1.5379391957502486E-3</v>
      </c>
      <c r="V70" s="858">
        <f t="shared" si="8"/>
        <v>7.5639647994052439E-4</v>
      </c>
      <c r="W70" s="859">
        <f t="shared" si="9"/>
        <v>5.0426431996034959E-4</v>
      </c>
    </row>
    <row r="71" spans="2:23">
      <c r="B71" s="854">
        <f>Amnt_Deposited!B66</f>
        <v>2052</v>
      </c>
      <c r="C71" s="861">
        <f>Amnt_Deposited!C66</f>
        <v>0</v>
      </c>
      <c r="D71" s="856">
        <f>Dry_Matter_Content!C58</f>
        <v>0.59</v>
      </c>
      <c r="E71" s="857">
        <f>MCF!R70</f>
        <v>1</v>
      </c>
      <c r="F71" s="858">
        <f t="shared" si="12"/>
        <v>0</v>
      </c>
      <c r="G71" s="858">
        <f t="shared" si="13"/>
        <v>0</v>
      </c>
      <c r="H71" s="858">
        <f t="shared" si="14"/>
        <v>0</v>
      </c>
      <c r="I71" s="858">
        <f t="shared" si="15"/>
        <v>1.5408690142230056E-3</v>
      </c>
      <c r="J71" s="858">
        <f t="shared" si="16"/>
        <v>7.5783743702503186E-4</v>
      </c>
      <c r="K71" s="859">
        <f t="shared" si="11"/>
        <v>5.0522495801668787E-4</v>
      </c>
      <c r="O71" s="854">
        <f>Amnt_Deposited!B66</f>
        <v>2052</v>
      </c>
      <c r="P71" s="861">
        <f>Amnt_Deposited!C66</f>
        <v>0</v>
      </c>
      <c r="Q71" s="857">
        <f>MCF!R70</f>
        <v>1</v>
      </c>
      <c r="R71" s="858">
        <f t="shared" si="17"/>
        <v>0</v>
      </c>
      <c r="S71" s="858">
        <f t="shared" si="5"/>
        <v>0</v>
      </c>
      <c r="T71" s="858">
        <f t="shared" si="6"/>
        <v>0</v>
      </c>
      <c r="U71" s="858">
        <f t="shared" si="7"/>
        <v>1.0309114724953207E-3</v>
      </c>
      <c r="V71" s="858">
        <f t="shared" si="8"/>
        <v>5.070277232549278E-4</v>
      </c>
      <c r="W71" s="859">
        <f t="shared" si="9"/>
        <v>3.3801848216995185E-4</v>
      </c>
    </row>
    <row r="72" spans="2:23">
      <c r="B72" s="854">
        <f>Amnt_Deposited!B67</f>
        <v>2053</v>
      </c>
      <c r="C72" s="861">
        <f>Amnt_Deposited!C67</f>
        <v>0</v>
      </c>
      <c r="D72" s="856">
        <f>Dry_Matter_Content!C59</f>
        <v>0.59</v>
      </c>
      <c r="E72" s="857">
        <f>MCF!R71</f>
        <v>1</v>
      </c>
      <c r="F72" s="858">
        <f t="shared" si="12"/>
        <v>0</v>
      </c>
      <c r="G72" s="858">
        <f t="shared" si="13"/>
        <v>0</v>
      </c>
      <c r="H72" s="858">
        <f t="shared" si="14"/>
        <v>0</v>
      </c>
      <c r="I72" s="858">
        <f t="shared" si="15"/>
        <v>1.0328753885488554E-3</v>
      </c>
      <c r="J72" s="858">
        <f t="shared" si="16"/>
        <v>5.0799362567415028E-4</v>
      </c>
      <c r="K72" s="859">
        <f t="shared" si="11"/>
        <v>3.3866241711610017E-4</v>
      </c>
      <c r="O72" s="854">
        <f>Amnt_Deposited!B67</f>
        <v>2053</v>
      </c>
      <c r="P72" s="861">
        <f>Amnt_Deposited!C67</f>
        <v>0</v>
      </c>
      <c r="Q72" s="857">
        <f>MCF!R71</f>
        <v>1</v>
      </c>
      <c r="R72" s="858">
        <f t="shared" si="17"/>
        <v>0</v>
      </c>
      <c r="S72" s="858">
        <f t="shared" si="5"/>
        <v>0</v>
      </c>
      <c r="T72" s="858">
        <f t="shared" si="6"/>
        <v>0</v>
      </c>
      <c r="U72" s="858">
        <f t="shared" si="7"/>
        <v>6.9104062570173204E-4</v>
      </c>
      <c r="V72" s="858">
        <f t="shared" si="8"/>
        <v>3.3987084679358857E-4</v>
      </c>
      <c r="W72" s="859">
        <f t="shared" si="9"/>
        <v>2.2658056452905904E-4</v>
      </c>
    </row>
    <row r="73" spans="2:23">
      <c r="B73" s="854">
        <f>Amnt_Deposited!B68</f>
        <v>2054</v>
      </c>
      <c r="C73" s="861">
        <f>Amnt_Deposited!C68</f>
        <v>0</v>
      </c>
      <c r="D73" s="856">
        <f>Dry_Matter_Content!C60</f>
        <v>0.59</v>
      </c>
      <c r="E73" s="857">
        <f>MCF!R72</f>
        <v>1</v>
      </c>
      <c r="F73" s="858">
        <f t="shared" si="12"/>
        <v>0</v>
      </c>
      <c r="G73" s="858">
        <f t="shared" si="13"/>
        <v>0</v>
      </c>
      <c r="H73" s="858">
        <f t="shared" si="14"/>
        <v>0</v>
      </c>
      <c r="I73" s="858">
        <f t="shared" si="15"/>
        <v>6.9235707800114753E-4</v>
      </c>
      <c r="J73" s="858">
        <f t="shared" si="16"/>
        <v>3.4051831054770777E-4</v>
      </c>
      <c r="K73" s="859">
        <f t="shared" si="11"/>
        <v>2.2701220703180518E-4</v>
      </c>
      <c r="O73" s="854">
        <f>Amnt_Deposited!B68</f>
        <v>2054</v>
      </c>
      <c r="P73" s="861">
        <f>Amnt_Deposited!C68</f>
        <v>0</v>
      </c>
      <c r="Q73" s="857">
        <f>MCF!R72</f>
        <v>1</v>
      </c>
      <c r="R73" s="858">
        <f t="shared" si="17"/>
        <v>0</v>
      </c>
      <c r="S73" s="858">
        <f t="shared" si="5"/>
        <v>0</v>
      </c>
      <c r="T73" s="858">
        <f t="shared" si="6"/>
        <v>0</v>
      </c>
      <c r="U73" s="858">
        <f t="shared" si="7"/>
        <v>4.6321838403288204E-4</v>
      </c>
      <c r="V73" s="858">
        <f t="shared" si="8"/>
        <v>2.2782224166885003E-4</v>
      </c>
      <c r="W73" s="859">
        <f t="shared" si="9"/>
        <v>1.518814944459E-4</v>
      </c>
    </row>
    <row r="74" spans="2:23">
      <c r="B74" s="854">
        <f>Amnt_Deposited!B69</f>
        <v>2055</v>
      </c>
      <c r="C74" s="861">
        <f>Amnt_Deposited!C69</f>
        <v>0</v>
      </c>
      <c r="D74" s="856">
        <f>Dry_Matter_Content!C61</f>
        <v>0.59</v>
      </c>
      <c r="E74" s="857">
        <f>MCF!R73</f>
        <v>1</v>
      </c>
      <c r="F74" s="858">
        <f t="shared" si="12"/>
        <v>0</v>
      </c>
      <c r="G74" s="858">
        <f t="shared" si="13"/>
        <v>0</v>
      </c>
      <c r="H74" s="858">
        <f t="shared" si="14"/>
        <v>0</v>
      </c>
      <c r="I74" s="858">
        <f t="shared" si="15"/>
        <v>4.6410082839882995E-4</v>
      </c>
      <c r="J74" s="858">
        <f t="shared" si="16"/>
        <v>2.2825624960231758E-4</v>
      </c>
      <c r="K74" s="859">
        <f t="shared" si="11"/>
        <v>1.5217083306821172E-4</v>
      </c>
      <c r="O74" s="854">
        <f>Amnt_Deposited!B69</f>
        <v>2055</v>
      </c>
      <c r="P74" s="861">
        <f>Amnt_Deposited!C69</f>
        <v>0</v>
      </c>
      <c r="Q74" s="857">
        <f>MCF!R73</f>
        <v>1</v>
      </c>
      <c r="R74" s="858">
        <f t="shared" si="17"/>
        <v>0</v>
      </c>
      <c r="S74" s="858">
        <f t="shared" si="5"/>
        <v>0</v>
      </c>
      <c r="T74" s="858">
        <f t="shared" si="6"/>
        <v>0</v>
      </c>
      <c r="U74" s="858">
        <f t="shared" si="7"/>
        <v>3.1050456850947595E-4</v>
      </c>
      <c r="V74" s="858">
        <f t="shared" si="8"/>
        <v>1.5271381552340609E-4</v>
      </c>
      <c r="W74" s="859">
        <f t="shared" si="9"/>
        <v>1.0180921034893739E-4</v>
      </c>
    </row>
    <row r="75" spans="2:23">
      <c r="B75" s="854">
        <f>Amnt_Deposited!B70</f>
        <v>2056</v>
      </c>
      <c r="C75" s="861">
        <f>Amnt_Deposited!C70</f>
        <v>0</v>
      </c>
      <c r="D75" s="856">
        <f>Dry_Matter_Content!C62</f>
        <v>0.59</v>
      </c>
      <c r="E75" s="857">
        <f>MCF!R74</f>
        <v>1</v>
      </c>
      <c r="F75" s="858">
        <f t="shared" si="12"/>
        <v>0</v>
      </c>
      <c r="G75" s="858">
        <f t="shared" si="13"/>
        <v>0</v>
      </c>
      <c r="H75" s="858">
        <f t="shared" si="14"/>
        <v>0</v>
      </c>
      <c r="I75" s="858">
        <f t="shared" si="15"/>
        <v>3.1109608865748204E-4</v>
      </c>
      <c r="J75" s="858">
        <f t="shared" si="16"/>
        <v>1.5300473974134792E-4</v>
      </c>
      <c r="K75" s="859">
        <f t="shared" si="11"/>
        <v>1.0200315982756528E-4</v>
      </c>
      <c r="O75" s="854">
        <f>Amnt_Deposited!B70</f>
        <v>2056</v>
      </c>
      <c r="P75" s="861">
        <f>Amnt_Deposited!C70</f>
        <v>0</v>
      </c>
      <c r="Q75" s="857">
        <f>MCF!R74</f>
        <v>1</v>
      </c>
      <c r="R75" s="858">
        <f t="shared" si="17"/>
        <v>0</v>
      </c>
      <c r="S75" s="858">
        <f t="shared" si="5"/>
        <v>0</v>
      </c>
      <c r="T75" s="858">
        <f t="shared" si="6"/>
        <v>0</v>
      </c>
      <c r="U75" s="858">
        <f t="shared" si="7"/>
        <v>2.0813743665754826E-4</v>
      </c>
      <c r="V75" s="858">
        <f t="shared" si="8"/>
        <v>1.0236713185192771E-4</v>
      </c>
      <c r="W75" s="859">
        <f t="shared" si="9"/>
        <v>6.8244754567951802E-5</v>
      </c>
    </row>
    <row r="76" spans="2:23">
      <c r="B76" s="854">
        <f>Amnt_Deposited!B71</f>
        <v>2057</v>
      </c>
      <c r="C76" s="861">
        <f>Amnt_Deposited!C71</f>
        <v>0</v>
      </c>
      <c r="D76" s="856">
        <f>Dry_Matter_Content!C63</f>
        <v>0.59</v>
      </c>
      <c r="E76" s="857">
        <f>MCF!R75</f>
        <v>1</v>
      </c>
      <c r="F76" s="858">
        <f t="shared" si="12"/>
        <v>0</v>
      </c>
      <c r="G76" s="858">
        <f t="shared" si="13"/>
        <v>0</v>
      </c>
      <c r="H76" s="858">
        <f t="shared" si="14"/>
        <v>0</v>
      </c>
      <c r="I76" s="858">
        <f t="shared" si="15"/>
        <v>2.0853394447039068E-4</v>
      </c>
      <c r="J76" s="858">
        <f t="shared" si="16"/>
        <v>1.0256214418709134E-4</v>
      </c>
      <c r="K76" s="859">
        <f t="shared" si="11"/>
        <v>6.8374762791394223E-5</v>
      </c>
      <c r="O76" s="854">
        <f>Amnt_Deposited!B71</f>
        <v>2057</v>
      </c>
      <c r="P76" s="861">
        <f>Amnt_Deposited!C71</f>
        <v>0</v>
      </c>
      <c r="Q76" s="857">
        <f>MCF!R75</f>
        <v>1</v>
      </c>
      <c r="R76" s="858">
        <f t="shared" si="17"/>
        <v>0</v>
      </c>
      <c r="S76" s="858">
        <f t="shared" si="5"/>
        <v>0</v>
      </c>
      <c r="T76" s="858">
        <f t="shared" si="6"/>
        <v>0</v>
      </c>
      <c r="U76" s="858">
        <f t="shared" si="7"/>
        <v>1.3951869612202771E-4</v>
      </c>
      <c r="V76" s="858">
        <f t="shared" si="8"/>
        <v>6.8618740535520545E-5</v>
      </c>
      <c r="W76" s="859">
        <f t="shared" si="9"/>
        <v>4.5745827023680363E-5</v>
      </c>
    </row>
    <row r="77" spans="2:23">
      <c r="B77" s="854">
        <f>Amnt_Deposited!B72</f>
        <v>2058</v>
      </c>
      <c r="C77" s="861">
        <f>Amnt_Deposited!C72</f>
        <v>0</v>
      </c>
      <c r="D77" s="856">
        <f>Dry_Matter_Content!C64</f>
        <v>0.59</v>
      </c>
      <c r="E77" s="857">
        <f>MCF!R76</f>
        <v>1</v>
      </c>
      <c r="F77" s="858">
        <f t="shared" si="12"/>
        <v>0</v>
      </c>
      <c r="G77" s="858">
        <f t="shared" si="13"/>
        <v>0</v>
      </c>
      <c r="H77" s="858">
        <f t="shared" si="14"/>
        <v>0</v>
      </c>
      <c r="I77" s="858">
        <f t="shared" si="15"/>
        <v>1.3978448325738574E-4</v>
      </c>
      <c r="J77" s="858">
        <f t="shared" si="16"/>
        <v>6.874946121300495E-5</v>
      </c>
      <c r="K77" s="859">
        <f t="shared" si="11"/>
        <v>4.58329741420033E-5</v>
      </c>
      <c r="O77" s="854">
        <f>Amnt_Deposited!B72</f>
        <v>2058</v>
      </c>
      <c r="P77" s="861">
        <f>Amnt_Deposited!C72</f>
        <v>0</v>
      </c>
      <c r="Q77" s="857">
        <f>MCF!R76</f>
        <v>1</v>
      </c>
      <c r="R77" s="858">
        <f t="shared" si="17"/>
        <v>0</v>
      </c>
      <c r="S77" s="858">
        <f t="shared" si="5"/>
        <v>0</v>
      </c>
      <c r="T77" s="858">
        <f t="shared" si="6"/>
        <v>0</v>
      </c>
      <c r="U77" s="858">
        <f t="shared" si="7"/>
        <v>9.3522178807349993E-5</v>
      </c>
      <c r="V77" s="858">
        <f t="shared" si="8"/>
        <v>4.5996517314677719E-5</v>
      </c>
      <c r="W77" s="859">
        <f t="shared" si="9"/>
        <v>3.0664344876451808E-5</v>
      </c>
    </row>
    <row r="78" spans="2:23">
      <c r="B78" s="854">
        <f>Amnt_Deposited!B73</f>
        <v>2059</v>
      </c>
      <c r="C78" s="861">
        <f>Amnt_Deposited!C73</f>
        <v>0</v>
      </c>
      <c r="D78" s="856">
        <f>Dry_Matter_Content!C65</f>
        <v>0.59</v>
      </c>
      <c r="E78" s="857">
        <f>MCF!R77</f>
        <v>1</v>
      </c>
      <c r="F78" s="858">
        <f t="shared" si="12"/>
        <v>0</v>
      </c>
      <c r="G78" s="858">
        <f t="shared" si="13"/>
        <v>0</v>
      </c>
      <c r="H78" s="858">
        <f t="shared" si="14"/>
        <v>0</v>
      </c>
      <c r="I78" s="858">
        <f t="shared" si="15"/>
        <v>9.3700341252158869E-5</v>
      </c>
      <c r="J78" s="858">
        <f t="shared" si="16"/>
        <v>4.6084142005226874E-5</v>
      </c>
      <c r="K78" s="859">
        <f t="shared" si="11"/>
        <v>3.0722761336817911E-5</v>
      </c>
      <c r="O78" s="854">
        <f>Amnt_Deposited!B73</f>
        <v>2059</v>
      </c>
      <c r="P78" s="861">
        <f>Amnt_Deposited!C73</f>
        <v>0</v>
      </c>
      <c r="Q78" s="857">
        <f>MCF!R77</f>
        <v>1</v>
      </c>
      <c r="R78" s="858">
        <f t="shared" si="17"/>
        <v>0</v>
      </c>
      <c r="S78" s="858">
        <f t="shared" si="5"/>
        <v>0</v>
      </c>
      <c r="T78" s="858">
        <f t="shared" si="6"/>
        <v>0</v>
      </c>
      <c r="U78" s="858">
        <f t="shared" si="7"/>
        <v>6.2689791203496135E-5</v>
      </c>
      <c r="V78" s="858">
        <f t="shared" si="8"/>
        <v>3.0832387603853851E-5</v>
      </c>
      <c r="W78" s="859">
        <f t="shared" si="9"/>
        <v>2.0554925069235901E-5</v>
      </c>
    </row>
    <row r="79" spans="2:23">
      <c r="B79" s="854">
        <f>Amnt_Deposited!B74</f>
        <v>2060</v>
      </c>
      <c r="C79" s="861">
        <f>Amnt_Deposited!C74</f>
        <v>0</v>
      </c>
      <c r="D79" s="856">
        <f>Dry_Matter_Content!C66</f>
        <v>0.59</v>
      </c>
      <c r="E79" s="857">
        <f>MCF!R78</f>
        <v>1</v>
      </c>
      <c r="F79" s="858">
        <f t="shared" si="12"/>
        <v>0</v>
      </c>
      <c r="G79" s="858">
        <f t="shared" si="13"/>
        <v>0</v>
      </c>
      <c r="H79" s="858">
        <f t="shared" si="14"/>
        <v>0</v>
      </c>
      <c r="I79" s="858">
        <f t="shared" si="15"/>
        <v>6.2809217061702245E-5</v>
      </c>
      <c r="J79" s="858">
        <f t="shared" si="16"/>
        <v>3.0891124190456624E-5</v>
      </c>
      <c r="K79" s="859">
        <f t="shared" si="11"/>
        <v>2.0594082793637749E-5</v>
      </c>
      <c r="O79" s="854">
        <f>Amnt_Deposited!B74</f>
        <v>2060</v>
      </c>
      <c r="P79" s="861">
        <f>Amnt_Deposited!C74</f>
        <v>0</v>
      </c>
      <c r="Q79" s="857">
        <f>MCF!R78</f>
        <v>1</v>
      </c>
      <c r="R79" s="858">
        <f t="shared" si="17"/>
        <v>0</v>
      </c>
      <c r="S79" s="858">
        <f t="shared" si="5"/>
        <v>0</v>
      </c>
      <c r="T79" s="858">
        <f t="shared" si="6"/>
        <v>0</v>
      </c>
      <c r="U79" s="858">
        <f t="shared" si="7"/>
        <v>4.2022223725492144E-5</v>
      </c>
      <c r="V79" s="858">
        <f t="shared" si="8"/>
        <v>2.0667567478003987E-5</v>
      </c>
      <c r="W79" s="859">
        <f t="shared" si="9"/>
        <v>1.3778378318669324E-5</v>
      </c>
    </row>
    <row r="80" spans="2:23">
      <c r="B80" s="854">
        <f>Amnt_Deposited!B75</f>
        <v>2061</v>
      </c>
      <c r="C80" s="861">
        <f>Amnt_Deposited!C75</f>
        <v>0</v>
      </c>
      <c r="D80" s="856">
        <f>Dry_Matter_Content!C67</f>
        <v>0.59</v>
      </c>
      <c r="E80" s="857">
        <f>MCF!R79</f>
        <v>1</v>
      </c>
      <c r="F80" s="858">
        <f t="shared" si="12"/>
        <v>0</v>
      </c>
      <c r="G80" s="858">
        <f t="shared" si="13"/>
        <v>0</v>
      </c>
      <c r="H80" s="858">
        <f t="shared" si="14"/>
        <v>0</v>
      </c>
      <c r="I80" s="858">
        <f t="shared" si="15"/>
        <v>4.210227727226271E-5</v>
      </c>
      <c r="J80" s="858">
        <f t="shared" si="16"/>
        <v>2.0706939789439531E-5</v>
      </c>
      <c r="K80" s="859">
        <f t="shared" si="11"/>
        <v>1.380462652629302E-5</v>
      </c>
      <c r="O80" s="854">
        <f>Amnt_Deposited!B75</f>
        <v>2061</v>
      </c>
      <c r="P80" s="861">
        <f>Amnt_Deposited!C75</f>
        <v>0</v>
      </c>
      <c r="Q80" s="857">
        <f>MCF!R79</f>
        <v>1</v>
      </c>
      <c r="R80" s="858">
        <f t="shared" si="17"/>
        <v>0</v>
      </c>
      <c r="S80" s="858">
        <f t="shared" si="5"/>
        <v>0</v>
      </c>
      <c r="T80" s="858">
        <f t="shared" si="6"/>
        <v>0</v>
      </c>
      <c r="U80" s="858">
        <f t="shared" si="7"/>
        <v>2.816833894219183E-5</v>
      </c>
      <c r="V80" s="858">
        <f t="shared" si="8"/>
        <v>1.3853884783300316E-5</v>
      </c>
      <c r="W80" s="859">
        <f t="shared" si="9"/>
        <v>9.235923188866877E-6</v>
      </c>
    </row>
    <row r="81" spans="2:23">
      <c r="B81" s="854">
        <f>Amnt_Deposited!B76</f>
        <v>2062</v>
      </c>
      <c r="C81" s="861">
        <f>Amnt_Deposited!C76</f>
        <v>0</v>
      </c>
      <c r="D81" s="856">
        <f>Dry_Matter_Content!C68</f>
        <v>0.59</v>
      </c>
      <c r="E81" s="857">
        <f>MCF!R80</f>
        <v>1</v>
      </c>
      <c r="F81" s="858">
        <f t="shared" si="12"/>
        <v>0</v>
      </c>
      <c r="G81" s="858">
        <f t="shared" si="13"/>
        <v>0</v>
      </c>
      <c r="H81" s="858">
        <f t="shared" si="14"/>
        <v>0</v>
      </c>
      <c r="I81" s="858">
        <f t="shared" si="15"/>
        <v>2.8222000439348392E-5</v>
      </c>
      <c r="J81" s="858">
        <f t="shared" si="16"/>
        <v>1.3880276832914318E-5</v>
      </c>
      <c r="K81" s="859">
        <f t="shared" si="11"/>
        <v>9.2535178886095445E-6</v>
      </c>
      <c r="O81" s="854">
        <f>Amnt_Deposited!B76</f>
        <v>2062</v>
      </c>
      <c r="P81" s="861">
        <f>Amnt_Deposited!C76</f>
        <v>0</v>
      </c>
      <c r="Q81" s="857">
        <f>MCF!R80</f>
        <v>1</v>
      </c>
      <c r="R81" s="858">
        <f t="shared" si="17"/>
        <v>0</v>
      </c>
      <c r="S81" s="858">
        <f t="shared" si="5"/>
        <v>0</v>
      </c>
      <c r="T81" s="858">
        <f t="shared" si="6"/>
        <v>0</v>
      </c>
      <c r="U81" s="858">
        <f t="shared" si="7"/>
        <v>1.8881802256477519E-5</v>
      </c>
      <c r="V81" s="858">
        <f t="shared" si="8"/>
        <v>9.2865366857143113E-6</v>
      </c>
      <c r="W81" s="859">
        <f t="shared" si="9"/>
        <v>6.1910244571428739E-6</v>
      </c>
    </row>
    <row r="82" spans="2:23">
      <c r="B82" s="854">
        <f>Amnt_Deposited!B77</f>
        <v>2063</v>
      </c>
      <c r="C82" s="861">
        <f>Amnt_Deposited!C77</f>
        <v>0</v>
      </c>
      <c r="D82" s="856">
        <f>Dry_Matter_Content!C69</f>
        <v>0.59</v>
      </c>
      <c r="E82" s="857">
        <f>MCF!R81</f>
        <v>1</v>
      </c>
      <c r="F82" s="858">
        <f t="shared" si="12"/>
        <v>0</v>
      </c>
      <c r="G82" s="858">
        <f t="shared" si="13"/>
        <v>0</v>
      </c>
      <c r="H82" s="858">
        <f t="shared" si="14"/>
        <v>0</v>
      </c>
      <c r="I82" s="858">
        <f t="shared" si="15"/>
        <v>1.8917772633721849E-5</v>
      </c>
      <c r="J82" s="858">
        <f t="shared" si="16"/>
        <v>9.3042278056265449E-6</v>
      </c>
      <c r="K82" s="859">
        <f t="shared" si="11"/>
        <v>6.2028185370843627E-6</v>
      </c>
      <c r="O82" s="854">
        <f>Amnt_Deposited!B77</f>
        <v>2063</v>
      </c>
      <c r="P82" s="861">
        <f>Amnt_Deposited!C77</f>
        <v>0</v>
      </c>
      <c r="Q82" s="857">
        <f>MCF!R81</f>
        <v>1</v>
      </c>
      <c r="R82" s="858">
        <f t="shared" si="17"/>
        <v>0</v>
      </c>
      <c r="S82" s="858">
        <f t="shared" si="5"/>
        <v>0</v>
      </c>
      <c r="T82" s="858">
        <f t="shared" si="6"/>
        <v>0</v>
      </c>
      <c r="U82" s="858">
        <f t="shared" si="7"/>
        <v>1.2656850557797849E-5</v>
      </c>
      <c r="V82" s="858">
        <f t="shared" si="8"/>
        <v>6.2249516986796698E-6</v>
      </c>
      <c r="W82" s="859">
        <f t="shared" si="9"/>
        <v>4.1499677991197796E-6</v>
      </c>
    </row>
    <row r="83" spans="2:23">
      <c r="B83" s="854">
        <f>Amnt_Deposited!B78</f>
        <v>2064</v>
      </c>
      <c r="C83" s="861">
        <f>Amnt_Deposited!C78</f>
        <v>0</v>
      </c>
      <c r="D83" s="856">
        <f>Dry_Matter_Content!C70</f>
        <v>0.59</v>
      </c>
      <c r="E83" s="857">
        <f>MCF!R82</f>
        <v>1</v>
      </c>
      <c r="F83" s="858">
        <f t="shared" ref="F83:F99" si="18">C83*D83*$K$6*DOCF*E83</f>
        <v>0</v>
      </c>
      <c r="G83" s="858">
        <f t="shared" ref="G83:G99" si="19">F83*$K$12</f>
        <v>0</v>
      </c>
      <c r="H83" s="858">
        <f t="shared" ref="H83:H99" si="20">F83*(1-$K$12)</f>
        <v>0</v>
      </c>
      <c r="I83" s="858">
        <f t="shared" ref="I83:I99" si="21">G83+I82*$K$10</f>
        <v>1.2680962222728188E-5</v>
      </c>
      <c r="J83" s="858">
        <f t="shared" ref="J83:J99" si="22">I82*(1-$K$10)+H83</f>
        <v>6.2368104109936616E-6</v>
      </c>
      <c r="K83" s="859">
        <f t="shared" si="11"/>
        <v>4.1578736073291071E-6</v>
      </c>
      <c r="O83" s="854">
        <f>Amnt_Deposited!B78</f>
        <v>2064</v>
      </c>
      <c r="P83" s="861">
        <f>Amnt_Deposited!C78</f>
        <v>0</v>
      </c>
      <c r="Q83" s="857">
        <f>MCF!R82</f>
        <v>1</v>
      </c>
      <c r="R83" s="858">
        <f t="shared" ref="R83:R99" si="23">P83*$W$6*DOCF*Q83</f>
        <v>0</v>
      </c>
      <c r="S83" s="858">
        <f t="shared" si="5"/>
        <v>0</v>
      </c>
      <c r="T83" s="858">
        <f t="shared" si="6"/>
        <v>0</v>
      </c>
      <c r="U83" s="858">
        <f t="shared" si="7"/>
        <v>8.4841406485692619E-6</v>
      </c>
      <c r="V83" s="858">
        <f t="shared" si="8"/>
        <v>4.1727099092285872E-6</v>
      </c>
      <c r="W83" s="859">
        <f t="shared" si="9"/>
        <v>2.7818066061523912E-6</v>
      </c>
    </row>
    <row r="84" spans="2:23">
      <c r="B84" s="854">
        <f>Amnt_Deposited!B79</f>
        <v>2065</v>
      </c>
      <c r="C84" s="861">
        <f>Amnt_Deposited!C79</f>
        <v>0</v>
      </c>
      <c r="D84" s="856">
        <f>Dry_Matter_Content!C71</f>
        <v>0.59</v>
      </c>
      <c r="E84" s="857">
        <f>MCF!R83</f>
        <v>1</v>
      </c>
      <c r="F84" s="858">
        <f t="shared" si="18"/>
        <v>0</v>
      </c>
      <c r="G84" s="858">
        <f t="shared" si="19"/>
        <v>0</v>
      </c>
      <c r="H84" s="858">
        <f t="shared" si="20"/>
        <v>0</v>
      </c>
      <c r="I84" s="858">
        <f t="shared" si="21"/>
        <v>8.5003031809153621E-6</v>
      </c>
      <c r="J84" s="858">
        <f t="shared" si="22"/>
        <v>4.180659041812826E-6</v>
      </c>
      <c r="K84" s="859">
        <f t="shared" si="11"/>
        <v>2.787106027875217E-6</v>
      </c>
      <c r="O84" s="854">
        <f>Amnt_Deposited!B79</f>
        <v>2065</v>
      </c>
      <c r="P84" s="861">
        <f>Amnt_Deposited!C79</f>
        <v>0</v>
      </c>
      <c r="Q84" s="857">
        <f>MCF!R83</f>
        <v>1</v>
      </c>
      <c r="R84" s="858">
        <f t="shared" si="23"/>
        <v>0</v>
      </c>
      <c r="S84" s="858">
        <f t="shared" si="5"/>
        <v>0</v>
      </c>
      <c r="T84" s="858">
        <f t="shared" si="6"/>
        <v>0</v>
      </c>
      <c r="U84" s="858">
        <f t="shared" si="7"/>
        <v>5.687089550121787E-6</v>
      </c>
      <c r="V84" s="858">
        <f t="shared" si="8"/>
        <v>2.7970510984474754E-6</v>
      </c>
      <c r="W84" s="859">
        <f t="shared" si="9"/>
        <v>1.8647007322983168E-6</v>
      </c>
    </row>
    <row r="85" spans="2:23">
      <c r="B85" s="854">
        <f>Amnt_Deposited!B80</f>
        <v>2066</v>
      </c>
      <c r="C85" s="861">
        <f>Amnt_Deposited!C80</f>
        <v>0</v>
      </c>
      <c r="D85" s="856">
        <f>Dry_Matter_Content!C72</f>
        <v>0.59</v>
      </c>
      <c r="E85" s="857">
        <f>MCF!R84</f>
        <v>1</v>
      </c>
      <c r="F85" s="858">
        <f t="shared" si="18"/>
        <v>0</v>
      </c>
      <c r="G85" s="858">
        <f t="shared" si="19"/>
        <v>0</v>
      </c>
      <c r="H85" s="858">
        <f t="shared" si="20"/>
        <v>0</v>
      </c>
      <c r="I85" s="858">
        <f t="shared" si="21"/>
        <v>5.6979236195480773E-6</v>
      </c>
      <c r="J85" s="858">
        <f t="shared" si="22"/>
        <v>2.8023795613672853E-6</v>
      </c>
      <c r="K85" s="859">
        <f t="shared" ref="K85:K99" si="24">J85*CH4_fraction*conv</f>
        <v>1.8682530409115234E-6</v>
      </c>
      <c r="O85" s="854">
        <f>Amnt_Deposited!B80</f>
        <v>2066</v>
      </c>
      <c r="P85" s="861">
        <f>Amnt_Deposited!C80</f>
        <v>0</v>
      </c>
      <c r="Q85" s="857">
        <f>MCF!R84</f>
        <v>1</v>
      </c>
      <c r="R85" s="858">
        <f t="shared" si="23"/>
        <v>0</v>
      </c>
      <c r="S85" s="858">
        <f t="shared" ref="S85:S98" si="25">R85*$W$12</f>
        <v>0</v>
      </c>
      <c r="T85" s="858">
        <f t="shared" ref="T85:T98" si="26">R85*(1-$W$12)</f>
        <v>0</v>
      </c>
      <c r="U85" s="858">
        <f t="shared" ref="U85:U98" si="27">S85+U84*$W$10</f>
        <v>3.8121701290464395E-6</v>
      </c>
      <c r="V85" s="858">
        <f t="shared" ref="V85:V98" si="28">U84*(1-$W$10)+T85</f>
        <v>1.8749194210753475E-6</v>
      </c>
      <c r="W85" s="859">
        <f t="shared" ref="W85:W99" si="29">V85*CH4_fraction*conv</f>
        <v>1.2499462807168982E-6</v>
      </c>
    </row>
    <row r="86" spans="2:23">
      <c r="B86" s="854">
        <f>Amnt_Deposited!B81</f>
        <v>2067</v>
      </c>
      <c r="C86" s="861">
        <f>Amnt_Deposited!C81</f>
        <v>0</v>
      </c>
      <c r="D86" s="856">
        <f>Dry_Matter_Content!C73</f>
        <v>0.59</v>
      </c>
      <c r="E86" s="857">
        <f>MCF!R85</f>
        <v>1</v>
      </c>
      <c r="F86" s="858">
        <f t="shared" si="18"/>
        <v>0</v>
      </c>
      <c r="G86" s="858">
        <f t="shared" si="19"/>
        <v>0</v>
      </c>
      <c r="H86" s="858">
        <f t="shared" si="20"/>
        <v>0</v>
      </c>
      <c r="I86" s="858">
        <f t="shared" si="21"/>
        <v>3.8194324229630234E-6</v>
      </c>
      <c r="J86" s="858">
        <f t="shared" si="22"/>
        <v>1.8784911965850534E-6</v>
      </c>
      <c r="K86" s="859">
        <f t="shared" si="24"/>
        <v>1.2523274643900355E-6</v>
      </c>
      <c r="O86" s="854">
        <f>Amnt_Deposited!B81</f>
        <v>2067</v>
      </c>
      <c r="P86" s="861">
        <f>Amnt_Deposited!C81</f>
        <v>0</v>
      </c>
      <c r="Q86" s="857">
        <f>MCF!R85</f>
        <v>1</v>
      </c>
      <c r="R86" s="858">
        <f t="shared" si="23"/>
        <v>0</v>
      </c>
      <c r="S86" s="858">
        <f t="shared" si="25"/>
        <v>0</v>
      </c>
      <c r="T86" s="858">
        <f t="shared" si="26"/>
        <v>0</v>
      </c>
      <c r="U86" s="858">
        <f t="shared" si="27"/>
        <v>2.5553740563980983E-6</v>
      </c>
      <c r="V86" s="858">
        <f t="shared" si="28"/>
        <v>1.256796072648341E-6</v>
      </c>
      <c r="W86" s="859">
        <f t="shared" si="29"/>
        <v>8.3786404843222723E-7</v>
      </c>
    </row>
    <row r="87" spans="2:23">
      <c r="B87" s="854">
        <f>Amnt_Deposited!B82</f>
        <v>2068</v>
      </c>
      <c r="C87" s="861">
        <f>Amnt_Deposited!C82</f>
        <v>0</v>
      </c>
      <c r="D87" s="856">
        <f>Dry_Matter_Content!C74</f>
        <v>0.59</v>
      </c>
      <c r="E87" s="857">
        <f>MCF!R86</f>
        <v>1</v>
      </c>
      <c r="F87" s="858">
        <f t="shared" si="18"/>
        <v>0</v>
      </c>
      <c r="G87" s="858">
        <f t="shared" si="19"/>
        <v>0</v>
      </c>
      <c r="H87" s="858">
        <f t="shared" si="20"/>
        <v>0</v>
      </c>
      <c r="I87" s="858">
        <f t="shared" si="21"/>
        <v>2.5602421175905872E-6</v>
      </c>
      <c r="J87" s="858">
        <f t="shared" si="22"/>
        <v>1.2591903053724362E-6</v>
      </c>
      <c r="K87" s="859">
        <f t="shared" si="24"/>
        <v>8.3946020358162409E-7</v>
      </c>
      <c r="O87" s="854">
        <f>Amnt_Deposited!B82</f>
        <v>2068</v>
      </c>
      <c r="P87" s="861">
        <f>Amnt_Deposited!C82</f>
        <v>0</v>
      </c>
      <c r="Q87" s="857">
        <f>MCF!R86</f>
        <v>1</v>
      </c>
      <c r="R87" s="858">
        <f t="shared" si="23"/>
        <v>0</v>
      </c>
      <c r="S87" s="858">
        <f t="shared" si="25"/>
        <v>0</v>
      </c>
      <c r="T87" s="858">
        <f t="shared" si="26"/>
        <v>0</v>
      </c>
      <c r="U87" s="858">
        <f t="shared" si="27"/>
        <v>1.7129184551230517E-6</v>
      </c>
      <c r="V87" s="858">
        <f t="shared" si="28"/>
        <v>8.424556012750466E-7</v>
      </c>
      <c r="W87" s="859">
        <f t="shared" si="29"/>
        <v>5.6163706751669766E-7</v>
      </c>
    </row>
    <row r="88" spans="2:23">
      <c r="B88" s="854">
        <f>Amnt_Deposited!B83</f>
        <v>2069</v>
      </c>
      <c r="C88" s="861">
        <f>Amnt_Deposited!C83</f>
        <v>0</v>
      </c>
      <c r="D88" s="856">
        <f>Dry_Matter_Content!C75</f>
        <v>0.59</v>
      </c>
      <c r="E88" s="857">
        <f>MCF!R87</f>
        <v>1</v>
      </c>
      <c r="F88" s="858">
        <f t="shared" si="18"/>
        <v>0</v>
      </c>
      <c r="G88" s="858">
        <f t="shared" si="19"/>
        <v>0</v>
      </c>
      <c r="H88" s="858">
        <f t="shared" si="20"/>
        <v>0</v>
      </c>
      <c r="I88" s="858">
        <f t="shared" si="21"/>
        <v>1.7161816141257052E-6</v>
      </c>
      <c r="J88" s="858">
        <f t="shared" si="22"/>
        <v>8.4406050346488204E-7</v>
      </c>
      <c r="K88" s="859">
        <f t="shared" si="24"/>
        <v>5.6270700230992133E-7</v>
      </c>
      <c r="O88" s="854">
        <f>Amnt_Deposited!B83</f>
        <v>2069</v>
      </c>
      <c r="P88" s="861">
        <f>Amnt_Deposited!C83</f>
        <v>0</v>
      </c>
      <c r="Q88" s="857">
        <f>MCF!R87</f>
        <v>1</v>
      </c>
      <c r="R88" s="858">
        <f t="shared" si="23"/>
        <v>0</v>
      </c>
      <c r="S88" s="858">
        <f t="shared" si="25"/>
        <v>0</v>
      </c>
      <c r="T88" s="858">
        <f t="shared" si="26"/>
        <v>0</v>
      </c>
      <c r="U88" s="858">
        <f t="shared" si="27"/>
        <v>1.1482035776933801E-6</v>
      </c>
      <c r="V88" s="858">
        <f t="shared" si="28"/>
        <v>5.6471487742967148E-7</v>
      </c>
      <c r="W88" s="859">
        <f t="shared" si="29"/>
        <v>3.7647658495311428E-7</v>
      </c>
    </row>
    <row r="89" spans="2:23">
      <c r="B89" s="854">
        <f>Amnt_Deposited!B84</f>
        <v>2070</v>
      </c>
      <c r="C89" s="861">
        <f>Amnt_Deposited!C84</f>
        <v>0</v>
      </c>
      <c r="D89" s="856">
        <f>Dry_Matter_Content!C76</f>
        <v>0.59</v>
      </c>
      <c r="E89" s="857">
        <f>MCF!R88</f>
        <v>1</v>
      </c>
      <c r="F89" s="858">
        <f t="shared" si="18"/>
        <v>0</v>
      </c>
      <c r="G89" s="858">
        <f t="shared" si="19"/>
        <v>0</v>
      </c>
      <c r="H89" s="858">
        <f t="shared" si="20"/>
        <v>0</v>
      </c>
      <c r="I89" s="858">
        <f t="shared" si="21"/>
        <v>1.1503909385862605E-6</v>
      </c>
      <c r="J89" s="858">
        <f t="shared" si="22"/>
        <v>5.6579067553944468E-7</v>
      </c>
      <c r="K89" s="859">
        <f t="shared" si="24"/>
        <v>3.7719378369296312E-7</v>
      </c>
      <c r="O89" s="854">
        <f>Amnt_Deposited!B84</f>
        <v>2070</v>
      </c>
      <c r="P89" s="861">
        <f>Amnt_Deposited!C84</f>
        <v>0</v>
      </c>
      <c r="Q89" s="857">
        <f>MCF!R88</f>
        <v>1</v>
      </c>
      <c r="R89" s="858">
        <f t="shared" si="23"/>
        <v>0</v>
      </c>
      <c r="S89" s="858">
        <f t="shared" si="25"/>
        <v>0</v>
      </c>
      <c r="T89" s="858">
        <f t="shared" si="26"/>
        <v>0</v>
      </c>
      <c r="U89" s="858">
        <f t="shared" si="27"/>
        <v>7.6966387505771232E-7</v>
      </c>
      <c r="V89" s="858">
        <f t="shared" si="28"/>
        <v>3.7853970263566776E-7</v>
      </c>
      <c r="W89" s="859">
        <f t="shared" si="29"/>
        <v>2.5235980175711181E-7</v>
      </c>
    </row>
    <row r="90" spans="2:23">
      <c r="B90" s="854">
        <f>Amnt_Deposited!B85</f>
        <v>2071</v>
      </c>
      <c r="C90" s="861">
        <f>Amnt_Deposited!C85</f>
        <v>0</v>
      </c>
      <c r="D90" s="856">
        <f>Dry_Matter_Content!C77</f>
        <v>0.59</v>
      </c>
      <c r="E90" s="857">
        <f>MCF!R89</f>
        <v>1</v>
      </c>
      <c r="F90" s="858">
        <f t="shared" si="18"/>
        <v>0</v>
      </c>
      <c r="G90" s="858">
        <f t="shared" si="19"/>
        <v>0</v>
      </c>
      <c r="H90" s="858">
        <f t="shared" si="20"/>
        <v>0</v>
      </c>
      <c r="I90" s="858">
        <f t="shared" si="21"/>
        <v>7.7113010691212442E-7</v>
      </c>
      <c r="J90" s="858">
        <f t="shared" si="22"/>
        <v>3.7926083167413602E-7</v>
      </c>
      <c r="K90" s="859">
        <f t="shared" si="24"/>
        <v>2.5284055444942401E-7</v>
      </c>
      <c r="O90" s="854">
        <f>Amnt_Deposited!B85</f>
        <v>2071</v>
      </c>
      <c r="P90" s="861">
        <f>Amnt_Deposited!C85</f>
        <v>0</v>
      </c>
      <c r="Q90" s="857">
        <f>MCF!R89</f>
        <v>1</v>
      </c>
      <c r="R90" s="858">
        <f t="shared" si="23"/>
        <v>0</v>
      </c>
      <c r="S90" s="858">
        <f t="shared" si="25"/>
        <v>0</v>
      </c>
      <c r="T90" s="858">
        <f t="shared" si="26"/>
        <v>0</v>
      </c>
      <c r="U90" s="858">
        <f t="shared" si="27"/>
        <v>5.1592112416065428E-7</v>
      </c>
      <c r="V90" s="858">
        <f t="shared" si="28"/>
        <v>2.5374275089705804E-7</v>
      </c>
      <c r="W90" s="859">
        <f t="shared" si="29"/>
        <v>1.6916183393137201E-7</v>
      </c>
    </row>
    <row r="91" spans="2:23">
      <c r="B91" s="854">
        <f>Amnt_Deposited!B86</f>
        <v>2072</v>
      </c>
      <c r="C91" s="861">
        <f>Amnt_Deposited!C86</f>
        <v>0</v>
      </c>
      <c r="D91" s="856">
        <f>Dry_Matter_Content!C78</f>
        <v>0.59</v>
      </c>
      <c r="E91" s="857">
        <f>MCF!R90</f>
        <v>1</v>
      </c>
      <c r="F91" s="858">
        <f t="shared" si="18"/>
        <v>0</v>
      </c>
      <c r="G91" s="858">
        <f t="shared" si="19"/>
        <v>0</v>
      </c>
      <c r="H91" s="858">
        <f t="shared" si="20"/>
        <v>0</v>
      </c>
      <c r="I91" s="858">
        <f t="shared" si="21"/>
        <v>5.1690396876480275E-7</v>
      </c>
      <c r="J91" s="858">
        <f t="shared" si="22"/>
        <v>2.5422613814732173E-7</v>
      </c>
      <c r="K91" s="859">
        <f t="shared" si="24"/>
        <v>1.6948409209821448E-7</v>
      </c>
      <c r="O91" s="854">
        <f>Amnt_Deposited!B86</f>
        <v>2072</v>
      </c>
      <c r="P91" s="861">
        <f>Amnt_Deposited!C86</f>
        <v>0</v>
      </c>
      <c r="Q91" s="857">
        <f>MCF!R90</f>
        <v>1</v>
      </c>
      <c r="R91" s="858">
        <f t="shared" si="23"/>
        <v>0</v>
      </c>
      <c r="S91" s="858">
        <f t="shared" si="25"/>
        <v>0</v>
      </c>
      <c r="T91" s="858">
        <f t="shared" si="26"/>
        <v>0</v>
      </c>
      <c r="U91" s="858">
        <f t="shared" si="27"/>
        <v>3.4583227169812858E-7</v>
      </c>
      <c r="V91" s="858">
        <f t="shared" si="28"/>
        <v>1.700888524625257E-7</v>
      </c>
      <c r="W91" s="859">
        <f t="shared" si="29"/>
        <v>1.1339256830835047E-7</v>
      </c>
    </row>
    <row r="92" spans="2:23">
      <c r="B92" s="854">
        <f>Amnt_Deposited!B87</f>
        <v>2073</v>
      </c>
      <c r="C92" s="861">
        <f>Amnt_Deposited!C87</f>
        <v>0</v>
      </c>
      <c r="D92" s="856">
        <f>Dry_Matter_Content!C79</f>
        <v>0.59</v>
      </c>
      <c r="E92" s="857">
        <f>MCF!R91</f>
        <v>1</v>
      </c>
      <c r="F92" s="858">
        <f t="shared" si="18"/>
        <v>0</v>
      </c>
      <c r="G92" s="858">
        <f t="shared" si="19"/>
        <v>0</v>
      </c>
      <c r="H92" s="858">
        <f t="shared" si="20"/>
        <v>0</v>
      </c>
      <c r="I92" s="858">
        <f t="shared" si="21"/>
        <v>3.4649109213842722E-7</v>
      </c>
      <c r="J92" s="858">
        <f t="shared" si="22"/>
        <v>1.704128766263755E-7</v>
      </c>
      <c r="K92" s="859">
        <f t="shared" si="24"/>
        <v>1.1360858441758366E-7</v>
      </c>
      <c r="O92" s="854">
        <f>Amnt_Deposited!B87</f>
        <v>2073</v>
      </c>
      <c r="P92" s="861">
        <f>Amnt_Deposited!C87</f>
        <v>0</v>
      </c>
      <c r="Q92" s="857">
        <f>MCF!R91</f>
        <v>1</v>
      </c>
      <c r="R92" s="858">
        <f t="shared" si="23"/>
        <v>0</v>
      </c>
      <c r="S92" s="858">
        <f t="shared" si="25"/>
        <v>0</v>
      </c>
      <c r="T92" s="858">
        <f t="shared" si="26"/>
        <v>0</v>
      </c>
      <c r="U92" s="858">
        <f t="shared" si="27"/>
        <v>2.3181830428529929E-7</v>
      </c>
      <c r="V92" s="858">
        <f t="shared" si="28"/>
        <v>1.140139674128293E-7</v>
      </c>
      <c r="W92" s="859">
        <f t="shared" si="29"/>
        <v>7.6009311608552865E-8</v>
      </c>
    </row>
    <row r="93" spans="2:23">
      <c r="B93" s="854">
        <f>Amnt_Deposited!B88</f>
        <v>2074</v>
      </c>
      <c r="C93" s="861">
        <f>Amnt_Deposited!C88</f>
        <v>0</v>
      </c>
      <c r="D93" s="856">
        <f>Dry_Matter_Content!C80</f>
        <v>0.59</v>
      </c>
      <c r="E93" s="857">
        <f>MCF!R92</f>
        <v>1</v>
      </c>
      <c r="F93" s="858">
        <f t="shared" si="18"/>
        <v>0</v>
      </c>
      <c r="G93" s="858">
        <f t="shared" si="19"/>
        <v>0</v>
      </c>
      <c r="H93" s="858">
        <f t="shared" si="20"/>
        <v>0</v>
      </c>
      <c r="I93" s="858">
        <f t="shared" si="21"/>
        <v>2.3225992483316949E-7</v>
      </c>
      <c r="J93" s="858">
        <f t="shared" si="22"/>
        <v>1.1423116730525774E-7</v>
      </c>
      <c r="K93" s="859">
        <f t="shared" si="24"/>
        <v>7.6154111536838484E-8</v>
      </c>
      <c r="O93" s="854">
        <f>Amnt_Deposited!B88</f>
        <v>2074</v>
      </c>
      <c r="P93" s="861">
        <f>Amnt_Deposited!C88</f>
        <v>0</v>
      </c>
      <c r="Q93" s="857">
        <f>MCF!R92</f>
        <v>1</v>
      </c>
      <c r="R93" s="858">
        <f t="shared" si="23"/>
        <v>0</v>
      </c>
      <c r="S93" s="858">
        <f t="shared" si="25"/>
        <v>0</v>
      </c>
      <c r="T93" s="858">
        <f t="shared" si="26"/>
        <v>0</v>
      </c>
      <c r="U93" s="858">
        <f t="shared" si="27"/>
        <v>1.5539245640042567E-7</v>
      </c>
      <c r="V93" s="858">
        <f t="shared" si="28"/>
        <v>7.6425847884873628E-8</v>
      </c>
      <c r="W93" s="859">
        <f t="shared" si="29"/>
        <v>5.0950565256582414E-8</v>
      </c>
    </row>
    <row r="94" spans="2:23">
      <c r="B94" s="854">
        <f>Amnt_Deposited!B89</f>
        <v>2075</v>
      </c>
      <c r="C94" s="861">
        <f>Amnt_Deposited!C89</f>
        <v>0</v>
      </c>
      <c r="D94" s="856">
        <f>Dry_Matter_Content!C81</f>
        <v>0.59</v>
      </c>
      <c r="E94" s="857">
        <f>MCF!R93</f>
        <v>1</v>
      </c>
      <c r="F94" s="858">
        <f t="shared" si="18"/>
        <v>0</v>
      </c>
      <c r="G94" s="858">
        <f t="shared" si="19"/>
        <v>0</v>
      </c>
      <c r="H94" s="858">
        <f t="shared" si="20"/>
        <v>0</v>
      </c>
      <c r="I94" s="858">
        <f t="shared" si="21"/>
        <v>1.556884835064043E-7</v>
      </c>
      <c r="J94" s="858">
        <f t="shared" si="22"/>
        <v>7.6571441326765184E-8</v>
      </c>
      <c r="K94" s="859">
        <f t="shared" si="24"/>
        <v>5.1047627551176785E-8</v>
      </c>
      <c r="O94" s="854">
        <f>Amnt_Deposited!B89</f>
        <v>2075</v>
      </c>
      <c r="P94" s="861">
        <f>Amnt_Deposited!C89</f>
        <v>0</v>
      </c>
      <c r="Q94" s="857">
        <f>MCF!R93</f>
        <v>1</v>
      </c>
      <c r="R94" s="858">
        <f t="shared" si="23"/>
        <v>0</v>
      </c>
      <c r="S94" s="858">
        <f t="shared" si="25"/>
        <v>0</v>
      </c>
      <c r="T94" s="858">
        <f t="shared" si="26"/>
        <v>0</v>
      </c>
      <c r="U94" s="858">
        <f t="shared" si="27"/>
        <v>1.0416267852792442E-7</v>
      </c>
      <c r="V94" s="858">
        <f t="shared" si="28"/>
        <v>5.1229777872501257E-8</v>
      </c>
      <c r="W94" s="859">
        <f t="shared" si="29"/>
        <v>3.4153185248334169E-8</v>
      </c>
    </row>
    <row r="95" spans="2:23">
      <c r="B95" s="854">
        <f>Amnt_Deposited!B90</f>
        <v>2076</v>
      </c>
      <c r="C95" s="861">
        <f>Amnt_Deposited!C90</f>
        <v>0</v>
      </c>
      <c r="D95" s="856">
        <f>Dry_Matter_Content!C82</f>
        <v>0.59</v>
      </c>
      <c r="E95" s="857">
        <f>MCF!R94</f>
        <v>1</v>
      </c>
      <c r="F95" s="858">
        <f t="shared" si="18"/>
        <v>0</v>
      </c>
      <c r="G95" s="858">
        <f t="shared" si="19"/>
        <v>0</v>
      </c>
      <c r="H95" s="858">
        <f t="shared" si="20"/>
        <v>0</v>
      </c>
      <c r="I95" s="858">
        <f t="shared" si="21"/>
        <v>1.043611114312318E-7</v>
      </c>
      <c r="J95" s="858">
        <f t="shared" si="22"/>
        <v>5.1327372075172493E-8</v>
      </c>
      <c r="K95" s="859">
        <f t="shared" si="24"/>
        <v>3.4218248050114991E-8</v>
      </c>
      <c r="O95" s="854">
        <f>Amnt_Deposited!B90</f>
        <v>2076</v>
      </c>
      <c r="P95" s="861">
        <f>Amnt_Deposited!C90</f>
        <v>0</v>
      </c>
      <c r="Q95" s="857">
        <f>MCF!R94</f>
        <v>1</v>
      </c>
      <c r="R95" s="858">
        <f t="shared" si="23"/>
        <v>0</v>
      </c>
      <c r="S95" s="858">
        <f t="shared" si="25"/>
        <v>0</v>
      </c>
      <c r="T95" s="858">
        <f t="shared" si="26"/>
        <v>0</v>
      </c>
      <c r="U95" s="858">
        <f t="shared" si="27"/>
        <v>6.9822331466033793E-8</v>
      </c>
      <c r="V95" s="858">
        <f t="shared" si="28"/>
        <v>3.4340347061890623E-8</v>
      </c>
      <c r="W95" s="859">
        <f t="shared" si="29"/>
        <v>2.2893564707927082E-8</v>
      </c>
    </row>
    <row r="96" spans="2:23">
      <c r="B96" s="854">
        <f>Amnt_Deposited!B91</f>
        <v>2077</v>
      </c>
      <c r="C96" s="861">
        <f>Amnt_Deposited!C91</f>
        <v>0</v>
      </c>
      <c r="D96" s="856">
        <f>Dry_Matter_Content!C83</f>
        <v>0.59</v>
      </c>
      <c r="E96" s="857">
        <f>MCF!R95</f>
        <v>1</v>
      </c>
      <c r="F96" s="858">
        <f t="shared" si="18"/>
        <v>0</v>
      </c>
      <c r="G96" s="858">
        <f t="shared" si="19"/>
        <v>0</v>
      </c>
      <c r="H96" s="858">
        <f t="shared" si="20"/>
        <v>0</v>
      </c>
      <c r="I96" s="858">
        <f t="shared" si="21"/>
        <v>6.9955345018913783E-8</v>
      </c>
      <c r="J96" s="858">
        <f t="shared" si="22"/>
        <v>3.4405766412318012E-8</v>
      </c>
      <c r="K96" s="859">
        <f t="shared" si="24"/>
        <v>2.2937177608212007E-8</v>
      </c>
      <c r="O96" s="854">
        <f>Amnt_Deposited!B91</f>
        <v>2077</v>
      </c>
      <c r="P96" s="861">
        <f>Amnt_Deposited!C91</f>
        <v>0</v>
      </c>
      <c r="Q96" s="857">
        <f>MCF!R95</f>
        <v>1</v>
      </c>
      <c r="R96" s="858">
        <f t="shared" si="23"/>
        <v>0</v>
      </c>
      <c r="S96" s="858">
        <f t="shared" si="25"/>
        <v>0</v>
      </c>
      <c r="T96" s="858">
        <f t="shared" si="26"/>
        <v>0</v>
      </c>
      <c r="U96" s="858">
        <f t="shared" si="27"/>
        <v>4.6803308442627441E-8</v>
      </c>
      <c r="V96" s="858">
        <f t="shared" si="28"/>
        <v>2.3019023023406353E-8</v>
      </c>
      <c r="W96" s="859">
        <f t="shared" si="29"/>
        <v>1.5346015348937567E-8</v>
      </c>
    </row>
    <row r="97" spans="2:23">
      <c r="B97" s="854">
        <f>Amnt_Deposited!B92</f>
        <v>2078</v>
      </c>
      <c r="C97" s="861">
        <f>Amnt_Deposited!C92</f>
        <v>0</v>
      </c>
      <c r="D97" s="856">
        <f>Dry_Matter_Content!C84</f>
        <v>0.59</v>
      </c>
      <c r="E97" s="857">
        <f>MCF!R96</f>
        <v>1</v>
      </c>
      <c r="F97" s="858">
        <f t="shared" si="18"/>
        <v>0</v>
      </c>
      <c r="G97" s="858">
        <f t="shared" si="19"/>
        <v>0</v>
      </c>
      <c r="H97" s="858">
        <f t="shared" si="20"/>
        <v>0</v>
      </c>
      <c r="I97" s="858">
        <f t="shared" si="21"/>
        <v>4.6892470093517319E-8</v>
      </c>
      <c r="J97" s="858">
        <f t="shared" si="22"/>
        <v>2.3062874925396464E-8</v>
      </c>
      <c r="K97" s="859">
        <f t="shared" si="24"/>
        <v>1.5375249950264307E-8</v>
      </c>
      <c r="O97" s="854">
        <f>Amnt_Deposited!B92</f>
        <v>2078</v>
      </c>
      <c r="P97" s="861">
        <f>Amnt_Deposited!C92</f>
        <v>0</v>
      </c>
      <c r="Q97" s="857">
        <f>MCF!R96</f>
        <v>1</v>
      </c>
      <c r="R97" s="858">
        <f t="shared" si="23"/>
        <v>0</v>
      </c>
      <c r="S97" s="858">
        <f t="shared" si="25"/>
        <v>0</v>
      </c>
      <c r="T97" s="858">
        <f t="shared" si="26"/>
        <v>0</v>
      </c>
      <c r="U97" s="858">
        <f t="shared" si="27"/>
        <v>3.1373195869882255E-8</v>
      </c>
      <c r="V97" s="858">
        <f t="shared" si="28"/>
        <v>1.5430112572745189E-8</v>
      </c>
      <c r="W97" s="859">
        <f t="shared" si="29"/>
        <v>1.0286741715163458E-8</v>
      </c>
    </row>
    <row r="98" spans="2:23">
      <c r="B98" s="854">
        <f>Amnt_Deposited!B93</f>
        <v>2079</v>
      </c>
      <c r="C98" s="861">
        <f>Amnt_Deposited!C93</f>
        <v>0</v>
      </c>
      <c r="D98" s="856">
        <f>Dry_Matter_Content!C85</f>
        <v>0.59</v>
      </c>
      <c r="E98" s="857">
        <f>MCF!R97</f>
        <v>1</v>
      </c>
      <c r="F98" s="858">
        <f t="shared" si="18"/>
        <v>0</v>
      </c>
      <c r="G98" s="858">
        <f t="shared" si="19"/>
        <v>0</v>
      </c>
      <c r="H98" s="858">
        <f t="shared" si="20"/>
        <v>0</v>
      </c>
      <c r="I98" s="858">
        <f t="shared" si="21"/>
        <v>3.1432962711811372E-8</v>
      </c>
      <c r="J98" s="858">
        <f t="shared" si="22"/>
        <v>1.545950738170595E-8</v>
      </c>
      <c r="K98" s="859">
        <f t="shared" si="24"/>
        <v>1.0306338254470633E-8</v>
      </c>
      <c r="O98" s="854">
        <f>Amnt_Deposited!B93</f>
        <v>2079</v>
      </c>
      <c r="P98" s="861">
        <f>Amnt_Deposited!C93</f>
        <v>0</v>
      </c>
      <c r="Q98" s="857">
        <f>MCF!R97</f>
        <v>1</v>
      </c>
      <c r="R98" s="858">
        <f t="shared" si="23"/>
        <v>0</v>
      </c>
      <c r="S98" s="858">
        <f t="shared" si="25"/>
        <v>0</v>
      </c>
      <c r="T98" s="858">
        <f t="shared" si="26"/>
        <v>0</v>
      </c>
      <c r="U98" s="858">
        <f t="shared" si="27"/>
        <v>2.1030082099784604E-8</v>
      </c>
      <c r="V98" s="858">
        <f t="shared" si="28"/>
        <v>1.0343113770097653E-8</v>
      </c>
      <c r="W98" s="859">
        <f t="shared" si="29"/>
        <v>6.8954091800651015E-9</v>
      </c>
    </row>
    <row r="99" spans="2:23" ht="13.5" thickBot="1">
      <c r="B99" s="863">
        <f>Amnt_Deposited!B94</f>
        <v>2080</v>
      </c>
      <c r="C99" s="864">
        <f>Amnt_Deposited!C94</f>
        <v>0</v>
      </c>
      <c r="D99" s="865">
        <f>Dry_Matter_Content!C86</f>
        <v>0.59</v>
      </c>
      <c r="E99" s="866">
        <f>MCF!R98</f>
        <v>1</v>
      </c>
      <c r="F99" s="867">
        <f t="shared" si="18"/>
        <v>0</v>
      </c>
      <c r="G99" s="867">
        <f t="shared" si="19"/>
        <v>0</v>
      </c>
      <c r="H99" s="867">
        <f t="shared" si="20"/>
        <v>0</v>
      </c>
      <c r="I99" s="867">
        <f t="shared" si="21"/>
        <v>2.1070145012017934E-8</v>
      </c>
      <c r="J99" s="867">
        <f t="shared" si="22"/>
        <v>1.0362817699793439E-8</v>
      </c>
      <c r="K99" s="868">
        <f t="shared" si="24"/>
        <v>6.9085451331956263E-9</v>
      </c>
      <c r="O99" s="863">
        <f>Amnt_Deposited!B94</f>
        <v>2080</v>
      </c>
      <c r="P99" s="864">
        <f>Amnt_Deposited!C94</f>
        <v>0</v>
      </c>
      <c r="Q99" s="866">
        <f>MCF!R98</f>
        <v>1</v>
      </c>
      <c r="R99" s="867">
        <f t="shared" si="23"/>
        <v>0</v>
      </c>
      <c r="S99" s="867">
        <f>R99*$W$12</f>
        <v>0</v>
      </c>
      <c r="T99" s="867">
        <f>R99*(1-$W$12)</f>
        <v>0</v>
      </c>
      <c r="U99" s="867">
        <f>S99+U98*$W$10</f>
        <v>1.409688560126089E-8</v>
      </c>
      <c r="V99" s="867">
        <f>U98*(1-$W$10)+T99</f>
        <v>6.9331964985237139E-9</v>
      </c>
      <c r="W99" s="868">
        <f t="shared" si="29"/>
        <v>4.6221309990158093E-9</v>
      </c>
    </row>
  </sheetData>
  <phoneticPr fontId="16" type="noConversion"/>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314</v>
      </c>
      <c r="C2" s="223"/>
      <c r="D2" s="223"/>
      <c r="E2" s="224"/>
      <c r="F2" s="225"/>
      <c r="G2" s="225"/>
      <c r="H2" s="225"/>
      <c r="I2" s="225"/>
      <c r="J2" s="225"/>
      <c r="K2" s="225"/>
    </row>
    <row r="3" spans="1:23" ht="15">
      <c r="B3" s="242" t="str">
        <f>IF(Select2=2,"This sheet applies only to the waste compositon option and can be deleted when the bulk waste option has been chosen","")</f>
        <v/>
      </c>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260">
        <f>Parameters!O16</f>
        <v>0.44</v>
      </c>
      <c r="O6" s="229"/>
      <c r="P6" s="230"/>
      <c r="Q6" s="222"/>
      <c r="R6" s="108" t="s">
        <v>9</v>
      </c>
      <c r="S6" s="109"/>
      <c r="T6" s="109"/>
      <c r="U6" s="113"/>
      <c r="V6" s="120" t="s">
        <v>9</v>
      </c>
      <c r="W6" s="260">
        <f>Parameters!R16</f>
        <v>0.4</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Parameters!O35</f>
        <v>7.0000000000000007E-2</v>
      </c>
      <c r="O8" s="47"/>
      <c r="P8" s="47"/>
      <c r="Q8" s="222"/>
      <c r="R8" s="108" t="s">
        <v>192</v>
      </c>
      <c r="S8" s="109"/>
      <c r="T8" s="109"/>
      <c r="U8" s="113"/>
      <c r="V8" s="120" t="s">
        <v>188</v>
      </c>
      <c r="W8" s="114">
        <f>Parameters!O35</f>
        <v>7.0000000000000007E-2</v>
      </c>
    </row>
    <row r="9" spans="1:23" ht="15.75">
      <c r="F9" s="246" t="s">
        <v>190</v>
      </c>
      <c r="G9" s="247"/>
      <c r="H9" s="247"/>
      <c r="I9" s="248"/>
      <c r="J9" s="249" t="s">
        <v>189</v>
      </c>
      <c r="K9" s="255">
        <f>LN(2)/$K$8</f>
        <v>9.9021025794277886</v>
      </c>
      <c r="O9" s="47"/>
      <c r="P9" s="47"/>
      <c r="Q9" s="222"/>
      <c r="R9" s="246" t="s">
        <v>190</v>
      </c>
      <c r="S9" s="247"/>
      <c r="T9" s="247"/>
      <c r="U9" s="248"/>
      <c r="V9" s="249" t="s">
        <v>189</v>
      </c>
      <c r="W9" s="255">
        <f>LN(2)/$W$8</f>
        <v>9.9021025794277886</v>
      </c>
    </row>
    <row r="10" spans="1:23">
      <c r="F10" s="110" t="s">
        <v>84</v>
      </c>
      <c r="G10" s="111"/>
      <c r="H10" s="111"/>
      <c r="I10" s="112"/>
      <c r="J10" s="121" t="s">
        <v>148</v>
      </c>
      <c r="K10" s="49">
        <f>EXP(-$K$8)</f>
        <v>0.93239381990594827</v>
      </c>
      <c r="O10" s="47"/>
      <c r="P10" s="47"/>
      <c r="Q10" s="222"/>
      <c r="R10" s="110" t="s">
        <v>84</v>
      </c>
      <c r="S10" s="111"/>
      <c r="T10" s="111"/>
      <c r="U10" s="112"/>
      <c r="V10" s="121" t="s">
        <v>148</v>
      </c>
      <c r="W10" s="49">
        <f>EXP(-$W$8)</f>
        <v>0.93239381990594827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Amnt_Deposited!D14</f>
        <v>3.649665482694</v>
      </c>
      <c r="D19" s="415">
        <f>Dry_Matter_Content!D6</f>
        <v>0.44</v>
      </c>
      <c r="E19" s="282">
        <f>MCF!R18</f>
        <v>1</v>
      </c>
      <c r="F19" s="130">
        <f t="shared" ref="F19:F50" si="0">C19*D19*$K$6*DOCF*E19</f>
        <v>0.35328761872477921</v>
      </c>
      <c r="G19" s="65">
        <f t="shared" ref="G19:G82" si="1">F19*$K$12</f>
        <v>0.35328761872477921</v>
      </c>
      <c r="H19" s="65">
        <f t="shared" ref="H19:H82" si="2">F19*(1-$K$12)</f>
        <v>0</v>
      </c>
      <c r="I19" s="65">
        <f t="shared" ref="I19:I82" si="3">G19+I18*$K$10</f>
        <v>0.35328761872477921</v>
      </c>
      <c r="J19" s="65">
        <f t="shared" ref="J19:J82" si="4">I18*(1-$K$10)+H19</f>
        <v>0</v>
      </c>
      <c r="K19" s="66">
        <f>J19*CH4_fraction*conv</f>
        <v>0</v>
      </c>
      <c r="O19" s="95">
        <f>Amnt_Deposited!B14</f>
        <v>2000</v>
      </c>
      <c r="P19" s="98">
        <f>Amnt_Deposited!D14</f>
        <v>3.649665482694</v>
      </c>
      <c r="Q19" s="282">
        <f>MCF!R18</f>
        <v>1</v>
      </c>
      <c r="R19" s="130">
        <f t="shared" ref="R19:R50" si="5">P19*$W$6*DOCF*Q19</f>
        <v>0.72993309653880001</v>
      </c>
      <c r="S19" s="65">
        <f>R19*$W$12</f>
        <v>0.72993309653880001</v>
      </c>
      <c r="T19" s="65">
        <f>R19*(1-$W$12)</f>
        <v>0</v>
      </c>
      <c r="U19" s="65">
        <f>S19+U18*$W$10</f>
        <v>0.72993309653880001</v>
      </c>
      <c r="V19" s="65">
        <f>U18*(1-$W$10)+T19</f>
        <v>0</v>
      </c>
      <c r="W19" s="66">
        <f>V19*CH4_fraction*conv</f>
        <v>0</v>
      </c>
    </row>
    <row r="20" spans="2:23">
      <c r="B20" s="96">
        <f>Amnt_Deposited!B15</f>
        <v>2001</v>
      </c>
      <c r="C20" s="99">
        <f>Amnt_Deposited!D15</f>
        <v>3.6964219073099995</v>
      </c>
      <c r="D20" s="417">
        <f>Dry_Matter_Content!D7</f>
        <v>0.44</v>
      </c>
      <c r="E20" s="283">
        <f>MCF!R19</f>
        <v>1</v>
      </c>
      <c r="F20" s="67">
        <f t="shared" si="0"/>
        <v>0.35781364062760795</v>
      </c>
      <c r="G20" s="67">
        <f t="shared" si="1"/>
        <v>0.35781364062760795</v>
      </c>
      <c r="H20" s="67">
        <f t="shared" si="2"/>
        <v>0</v>
      </c>
      <c r="I20" s="67">
        <f t="shared" si="3"/>
        <v>0.68721683297588099</v>
      </c>
      <c r="J20" s="67">
        <f t="shared" si="4"/>
        <v>2.3884426376506104E-2</v>
      </c>
      <c r="K20" s="100">
        <f>J20*CH4_fraction*conv</f>
        <v>1.5922950917670736E-2</v>
      </c>
      <c r="M20" s="392"/>
      <c r="O20" s="96">
        <f>Amnt_Deposited!B15</f>
        <v>2001</v>
      </c>
      <c r="P20" s="99">
        <f>Amnt_Deposited!D15</f>
        <v>3.6964219073099995</v>
      </c>
      <c r="Q20" s="283">
        <f>MCF!R19</f>
        <v>1</v>
      </c>
      <c r="R20" s="67">
        <f t="shared" si="5"/>
        <v>0.73928438146199993</v>
      </c>
      <c r="S20" s="67">
        <f>R20*$W$12</f>
        <v>0.73928438146199993</v>
      </c>
      <c r="T20" s="67">
        <f>R20*(1-$W$12)</f>
        <v>0</v>
      </c>
      <c r="U20" s="67">
        <f>S20+U19*$W$10</f>
        <v>1.4198694896195891</v>
      </c>
      <c r="V20" s="67">
        <f>U19*(1-$W$10)+T20</f>
        <v>4.9347988381210961E-2</v>
      </c>
      <c r="W20" s="100">
        <f>V20*CH4_fraction*conv</f>
        <v>3.2898658920807303E-2</v>
      </c>
    </row>
    <row r="21" spans="2:23">
      <c r="B21" s="96">
        <f>Amnt_Deposited!B16</f>
        <v>2002</v>
      </c>
      <c r="C21" s="99">
        <f>Amnt_Deposited!D16</f>
        <v>3.7797168809400001</v>
      </c>
      <c r="D21" s="417">
        <f>Dry_Matter_Content!D8</f>
        <v>0.44</v>
      </c>
      <c r="E21" s="283">
        <f>MCF!R20</f>
        <v>1</v>
      </c>
      <c r="F21" s="67">
        <f t="shared" si="0"/>
        <v>0.36587659407499201</v>
      </c>
      <c r="G21" s="67">
        <f t="shared" si="1"/>
        <v>0.36587659407499201</v>
      </c>
      <c r="H21" s="67">
        <f t="shared" si="2"/>
        <v>0</v>
      </c>
      <c r="I21" s="67">
        <f t="shared" si="3"/>
        <v>1.0066333220770418</v>
      </c>
      <c r="J21" s="67">
        <f t="shared" si="4"/>
        <v>4.6460104973831275E-2</v>
      </c>
      <c r="K21" s="100">
        <f t="shared" ref="K21:K84" si="6">J21*CH4_fraction*conv</f>
        <v>3.0973403315887514E-2</v>
      </c>
      <c r="O21" s="96">
        <f>Amnt_Deposited!B16</f>
        <v>2002</v>
      </c>
      <c r="P21" s="99">
        <f>Amnt_Deposited!D16</f>
        <v>3.7797168809400001</v>
      </c>
      <c r="Q21" s="283">
        <f>MCF!R20</f>
        <v>1</v>
      </c>
      <c r="R21" s="67">
        <f t="shared" si="5"/>
        <v>0.75594337618800012</v>
      </c>
      <c r="S21" s="67">
        <f t="shared" ref="S21:S84" si="7">R21*$W$12</f>
        <v>0.75594337618800012</v>
      </c>
      <c r="T21" s="67">
        <f t="shared" ref="T21:T84" si="8">R21*(1-$W$12)</f>
        <v>0</v>
      </c>
      <c r="U21" s="67">
        <f t="shared" ref="U21:U84" si="9">S21+U20*$W$10</f>
        <v>2.079820913382318</v>
      </c>
      <c r="V21" s="67">
        <f t="shared" ref="V21:V84" si="10">U20*(1-$W$10)+T21</f>
        <v>9.5991952425271254E-2</v>
      </c>
      <c r="W21" s="100">
        <f t="shared" ref="W21:W84" si="11">V21*CH4_fraction*conv</f>
        <v>6.3994634950180831E-2</v>
      </c>
    </row>
    <row r="22" spans="2:23">
      <c r="B22" s="96">
        <f>Amnt_Deposited!B17</f>
        <v>2003</v>
      </c>
      <c r="C22" s="99">
        <f>Amnt_Deposited!D17</f>
        <v>3.8469000858419999</v>
      </c>
      <c r="D22" s="417">
        <f>Dry_Matter_Content!D9</f>
        <v>0.44</v>
      </c>
      <c r="E22" s="283">
        <f>MCF!R21</f>
        <v>1</v>
      </c>
      <c r="F22" s="67">
        <f t="shared" si="0"/>
        <v>0.37237992830950556</v>
      </c>
      <c r="G22" s="67">
        <f t="shared" si="1"/>
        <v>0.37237992830950556</v>
      </c>
      <c r="H22" s="67">
        <f t="shared" si="2"/>
        <v>0</v>
      </c>
      <c r="I22" s="67">
        <f t="shared" si="3"/>
        <v>1.3109586167255334</v>
      </c>
      <c r="J22" s="67">
        <f t="shared" si="4"/>
        <v>6.8054633661014066E-2</v>
      </c>
      <c r="K22" s="100">
        <f t="shared" si="6"/>
        <v>4.5369755774009375E-2</v>
      </c>
      <c r="N22" s="257"/>
      <c r="O22" s="96">
        <f>Amnt_Deposited!B17</f>
        <v>2003</v>
      </c>
      <c r="P22" s="99">
        <f>Amnt_Deposited!D17</f>
        <v>3.8469000858419999</v>
      </c>
      <c r="Q22" s="283">
        <f>MCF!R21</f>
        <v>1</v>
      </c>
      <c r="R22" s="67">
        <f t="shared" si="5"/>
        <v>0.76938001716839999</v>
      </c>
      <c r="S22" s="67">
        <f t="shared" si="7"/>
        <v>0.76938001716839999</v>
      </c>
      <c r="T22" s="67">
        <f t="shared" si="8"/>
        <v>0</v>
      </c>
      <c r="U22" s="67">
        <f t="shared" si="9"/>
        <v>2.7085921833172177</v>
      </c>
      <c r="V22" s="67">
        <f t="shared" si="10"/>
        <v>0.14060874723350014</v>
      </c>
      <c r="W22" s="100">
        <f t="shared" si="11"/>
        <v>9.3739164822333423E-2</v>
      </c>
    </row>
    <row r="23" spans="2:23">
      <c r="B23" s="96">
        <f>Amnt_Deposited!B18</f>
        <v>2004</v>
      </c>
      <c r="C23" s="99">
        <f>Amnt_Deposited!D18</f>
        <v>3.8674793717339999</v>
      </c>
      <c r="D23" s="417">
        <f>Dry_Matter_Content!D10</f>
        <v>0.44</v>
      </c>
      <c r="E23" s="283">
        <f>MCF!R22</f>
        <v>1</v>
      </c>
      <c r="F23" s="67">
        <f t="shared" si="0"/>
        <v>0.37437200318385122</v>
      </c>
      <c r="G23" s="67">
        <f t="shared" si="1"/>
        <v>0.37437200318385122</v>
      </c>
      <c r="H23" s="67">
        <f t="shared" si="2"/>
        <v>0</v>
      </c>
      <c r="I23" s="67">
        <f t="shared" si="3"/>
        <v>1.5967017155711893</v>
      </c>
      <c r="J23" s="67">
        <f t="shared" si="4"/>
        <v>8.8628904338195341E-2</v>
      </c>
      <c r="K23" s="100">
        <f t="shared" si="6"/>
        <v>5.9085936225463556E-2</v>
      </c>
      <c r="N23" s="257"/>
      <c r="O23" s="96">
        <f>Amnt_Deposited!B18</f>
        <v>2004</v>
      </c>
      <c r="P23" s="99">
        <f>Amnt_Deposited!D18</f>
        <v>3.8674793717339999</v>
      </c>
      <c r="Q23" s="283">
        <f>MCF!R22</f>
        <v>1</v>
      </c>
      <c r="R23" s="67">
        <f t="shared" si="5"/>
        <v>0.77349587434680001</v>
      </c>
      <c r="S23" s="67">
        <f t="shared" si="7"/>
        <v>0.77349587434680001</v>
      </c>
      <c r="T23" s="67">
        <f t="shared" si="8"/>
        <v>0</v>
      </c>
      <c r="U23" s="67">
        <f t="shared" si="9"/>
        <v>3.2989704867173328</v>
      </c>
      <c r="V23" s="67">
        <f t="shared" si="10"/>
        <v>0.1831175709466846</v>
      </c>
      <c r="W23" s="100">
        <f t="shared" si="11"/>
        <v>0.12207838063112306</v>
      </c>
    </row>
    <row r="24" spans="2:23">
      <c r="B24" s="96">
        <f>Amnt_Deposited!B19</f>
        <v>2005</v>
      </c>
      <c r="C24" s="99">
        <f>Amnt_Deposited!D19</f>
        <v>4.2838824725400002</v>
      </c>
      <c r="D24" s="417">
        <f>Dry_Matter_Content!D11</f>
        <v>0.44</v>
      </c>
      <c r="E24" s="283">
        <f>MCF!R23</f>
        <v>1</v>
      </c>
      <c r="F24" s="67">
        <f t="shared" si="0"/>
        <v>0.41467982334187198</v>
      </c>
      <c r="G24" s="67">
        <f t="shared" si="1"/>
        <v>0.41467982334187198</v>
      </c>
      <c r="H24" s="67">
        <f t="shared" si="2"/>
        <v>0</v>
      </c>
      <c r="I24" s="67">
        <f t="shared" si="3"/>
        <v>1.9034346351736742</v>
      </c>
      <c r="J24" s="67">
        <f t="shared" si="4"/>
        <v>0.10794690373938719</v>
      </c>
      <c r="K24" s="100">
        <f t="shared" si="6"/>
        <v>7.1964602492924787E-2</v>
      </c>
      <c r="N24" s="257"/>
      <c r="O24" s="96">
        <f>Amnt_Deposited!B19</f>
        <v>2005</v>
      </c>
      <c r="P24" s="99">
        <f>Amnt_Deposited!D19</f>
        <v>4.2838824725400002</v>
      </c>
      <c r="Q24" s="283">
        <f>MCF!R23</f>
        <v>1</v>
      </c>
      <c r="R24" s="67">
        <f t="shared" si="5"/>
        <v>0.85677649450800009</v>
      </c>
      <c r="S24" s="67">
        <f t="shared" si="7"/>
        <v>0.85677649450800009</v>
      </c>
      <c r="T24" s="67">
        <f t="shared" si="8"/>
        <v>0</v>
      </c>
      <c r="U24" s="67">
        <f t="shared" si="9"/>
        <v>3.9327161883753599</v>
      </c>
      <c r="V24" s="67">
        <f t="shared" si="10"/>
        <v>0.22303079284997349</v>
      </c>
      <c r="W24" s="100">
        <f t="shared" si="11"/>
        <v>0.14868719523331564</v>
      </c>
    </row>
    <row r="25" spans="2:23">
      <c r="B25" s="96">
        <f>Amnt_Deposited!B20</f>
        <v>2006</v>
      </c>
      <c r="C25" s="99">
        <f>Amnt_Deposited!D20</f>
        <v>4.3720038000540002</v>
      </c>
      <c r="D25" s="417">
        <f>Dry_Matter_Content!D12</f>
        <v>0.44</v>
      </c>
      <c r="E25" s="283">
        <f>MCF!R24</f>
        <v>1</v>
      </c>
      <c r="F25" s="67">
        <f t="shared" si="0"/>
        <v>0.42320996784522724</v>
      </c>
      <c r="G25" s="67">
        <f t="shared" si="1"/>
        <v>0.42320996784522724</v>
      </c>
      <c r="H25" s="67">
        <f t="shared" si="2"/>
        <v>0</v>
      </c>
      <c r="I25" s="67">
        <f t="shared" si="3"/>
        <v>2.1979606582760942</v>
      </c>
      <c r="J25" s="67">
        <f t="shared" si="4"/>
        <v>0.12868394474280706</v>
      </c>
      <c r="K25" s="100">
        <f t="shared" si="6"/>
        <v>8.5789296495204698E-2</v>
      </c>
      <c r="N25" s="257"/>
      <c r="O25" s="96">
        <f>Amnt_Deposited!B20</f>
        <v>2006</v>
      </c>
      <c r="P25" s="99">
        <f>Amnt_Deposited!D20</f>
        <v>4.3720038000540002</v>
      </c>
      <c r="Q25" s="283">
        <f>MCF!R24</f>
        <v>1</v>
      </c>
      <c r="R25" s="67">
        <f t="shared" si="5"/>
        <v>0.87440076001080014</v>
      </c>
      <c r="S25" s="67">
        <f t="shared" si="7"/>
        <v>0.87440076001080014</v>
      </c>
      <c r="T25" s="67">
        <f t="shared" si="8"/>
        <v>0</v>
      </c>
      <c r="U25" s="67">
        <f t="shared" si="9"/>
        <v>4.5412410294960628</v>
      </c>
      <c r="V25" s="67">
        <f t="shared" si="10"/>
        <v>0.26587591889009721</v>
      </c>
      <c r="W25" s="100">
        <f t="shared" si="11"/>
        <v>0.17725061259339814</v>
      </c>
    </row>
    <row r="26" spans="2:23">
      <c r="B26" s="96">
        <f>Amnt_Deposited!B21</f>
        <v>2007</v>
      </c>
      <c r="C26" s="99">
        <f>Amnt_Deposited!D21</f>
        <v>4.4600533602240002</v>
      </c>
      <c r="D26" s="417">
        <f>Dry_Matter_Content!D13</f>
        <v>0.44</v>
      </c>
      <c r="E26" s="283">
        <f>MCF!R25</f>
        <v>1</v>
      </c>
      <c r="F26" s="67">
        <f t="shared" si="0"/>
        <v>0.43173316526968325</v>
      </c>
      <c r="G26" s="67">
        <f t="shared" si="1"/>
        <v>0.43173316526968325</v>
      </c>
      <c r="H26" s="67">
        <f t="shared" si="2"/>
        <v>0</v>
      </c>
      <c r="I26" s="67">
        <f t="shared" si="3"/>
        <v>2.4810980994427232</v>
      </c>
      <c r="J26" s="67">
        <f t="shared" si="4"/>
        <v>0.14859572410305411</v>
      </c>
      <c r="K26" s="100">
        <f t="shared" si="6"/>
        <v>9.9063816068702737E-2</v>
      </c>
      <c r="N26" s="257"/>
      <c r="O26" s="96">
        <f>Amnt_Deposited!B21</f>
        <v>2007</v>
      </c>
      <c r="P26" s="99">
        <f>Amnt_Deposited!D21</f>
        <v>4.4600533602240002</v>
      </c>
      <c r="Q26" s="283">
        <f>MCF!R25</f>
        <v>1</v>
      </c>
      <c r="R26" s="67">
        <f t="shared" si="5"/>
        <v>0.89201067204480011</v>
      </c>
      <c r="S26" s="67">
        <f t="shared" si="7"/>
        <v>0.89201067204480011</v>
      </c>
      <c r="T26" s="67">
        <f t="shared" si="8"/>
        <v>0</v>
      </c>
      <c r="U26" s="67">
        <f t="shared" si="9"/>
        <v>5.1262357426502554</v>
      </c>
      <c r="V26" s="67">
        <f t="shared" si="10"/>
        <v>0.30701595889060768</v>
      </c>
      <c r="W26" s="100">
        <f t="shared" si="11"/>
        <v>0.20467730592707178</v>
      </c>
    </row>
    <row r="27" spans="2:23">
      <c r="B27" s="96">
        <f>Amnt_Deposited!B22</f>
        <v>2008</v>
      </c>
      <c r="C27" s="99">
        <f>Amnt_Deposited!D22</f>
        <v>4.5474928979699998</v>
      </c>
      <c r="D27" s="417">
        <f>Dry_Matter_Content!D14</f>
        <v>0.44</v>
      </c>
      <c r="E27" s="283">
        <f>MCF!R26</f>
        <v>1</v>
      </c>
      <c r="F27" s="67">
        <f t="shared" si="0"/>
        <v>0.44019731252349598</v>
      </c>
      <c r="G27" s="67">
        <f t="shared" si="1"/>
        <v>0.44019731252349598</v>
      </c>
      <c r="H27" s="67">
        <f t="shared" si="2"/>
        <v>0</v>
      </c>
      <c r="I27" s="67">
        <f t="shared" si="3"/>
        <v>2.7535578470242847</v>
      </c>
      <c r="J27" s="67">
        <f t="shared" si="4"/>
        <v>0.1677375649419342</v>
      </c>
      <c r="K27" s="100">
        <f t="shared" si="6"/>
        <v>0.1118250432946228</v>
      </c>
      <c r="N27" s="257"/>
      <c r="O27" s="96">
        <f>Amnt_Deposited!B22</f>
        <v>2008</v>
      </c>
      <c r="P27" s="99">
        <f>Amnt_Deposited!D22</f>
        <v>4.5474928979699998</v>
      </c>
      <c r="Q27" s="283">
        <f>MCF!R26</f>
        <v>1</v>
      </c>
      <c r="R27" s="67">
        <f t="shared" si="5"/>
        <v>0.90949857959400005</v>
      </c>
      <c r="S27" s="67">
        <f t="shared" si="7"/>
        <v>0.90949857959400005</v>
      </c>
      <c r="T27" s="67">
        <f t="shared" si="8"/>
        <v>0</v>
      </c>
      <c r="U27" s="67">
        <f t="shared" si="9"/>
        <v>5.6891691054220779</v>
      </c>
      <c r="V27" s="67">
        <f t="shared" si="10"/>
        <v>0.34656521682217817</v>
      </c>
      <c r="W27" s="100">
        <f t="shared" si="11"/>
        <v>0.2310434778814521</v>
      </c>
    </row>
    <row r="28" spans="2:23">
      <c r="B28" s="96">
        <f>Amnt_Deposited!B23</f>
        <v>2009</v>
      </c>
      <c r="C28" s="99">
        <f>Amnt_Deposited!D23</f>
        <v>4.6336765071960002</v>
      </c>
      <c r="D28" s="417">
        <f>Dry_Matter_Content!D15</f>
        <v>0.44</v>
      </c>
      <c r="E28" s="283">
        <f>MCF!R27</f>
        <v>1</v>
      </c>
      <c r="F28" s="67">
        <f t="shared" si="0"/>
        <v>0.44853988589657279</v>
      </c>
      <c r="G28" s="67">
        <f t="shared" si="1"/>
        <v>0.44853988589657279</v>
      </c>
      <c r="H28" s="67">
        <f t="shared" si="2"/>
        <v>0</v>
      </c>
      <c r="I28" s="67">
        <f t="shared" si="3"/>
        <v>3.0159402052155446</v>
      </c>
      <c r="J28" s="67">
        <f t="shared" si="4"/>
        <v>0.18615752770531313</v>
      </c>
      <c r="K28" s="100">
        <f t="shared" si="6"/>
        <v>0.12410501847020874</v>
      </c>
      <c r="N28" s="257"/>
      <c r="O28" s="96">
        <f>Amnt_Deposited!B23</f>
        <v>2009</v>
      </c>
      <c r="P28" s="99">
        <f>Amnt_Deposited!D23</f>
        <v>4.6336765071960002</v>
      </c>
      <c r="Q28" s="283">
        <f>MCF!R27</f>
        <v>1</v>
      </c>
      <c r="R28" s="67">
        <f t="shared" si="5"/>
        <v>0.92673530143920013</v>
      </c>
      <c r="S28" s="67">
        <f t="shared" si="7"/>
        <v>0.92673530143920013</v>
      </c>
      <c r="T28" s="67">
        <f t="shared" si="8"/>
        <v>0</v>
      </c>
      <c r="U28" s="67">
        <f t="shared" si="9"/>
        <v>6.2312814157345979</v>
      </c>
      <c r="V28" s="67">
        <f t="shared" si="10"/>
        <v>0.38462299112668014</v>
      </c>
      <c r="W28" s="100">
        <f t="shared" si="11"/>
        <v>0.25641532741778672</v>
      </c>
    </row>
    <row r="29" spans="2:23">
      <c r="B29" s="96">
        <f>Amnt_Deposited!B24</f>
        <v>2010</v>
      </c>
      <c r="C29" s="99">
        <f>Amnt_Deposited!D24</f>
        <v>5.0019954875220005</v>
      </c>
      <c r="D29" s="417">
        <f>Dry_Matter_Content!D16</f>
        <v>0.44</v>
      </c>
      <c r="E29" s="283">
        <f>MCF!R28</f>
        <v>1</v>
      </c>
      <c r="F29" s="67">
        <f t="shared" si="0"/>
        <v>0.48419316319212968</v>
      </c>
      <c r="G29" s="67">
        <f t="shared" si="1"/>
        <v>0.48419316319212968</v>
      </c>
      <c r="H29" s="67">
        <f t="shared" si="2"/>
        <v>0</v>
      </c>
      <c r="I29" s="67">
        <f t="shared" si="3"/>
        <v>3.2962371717409811</v>
      </c>
      <c r="J29" s="67">
        <f t="shared" si="4"/>
        <v>0.20389619666669342</v>
      </c>
      <c r="K29" s="100">
        <f t="shared" si="6"/>
        <v>0.1359307977777956</v>
      </c>
      <c r="O29" s="96">
        <f>Amnt_Deposited!B24</f>
        <v>2010</v>
      </c>
      <c r="P29" s="99">
        <f>Amnt_Deposited!D24</f>
        <v>5.0019954875220005</v>
      </c>
      <c r="Q29" s="283">
        <f>MCF!R28</f>
        <v>1</v>
      </c>
      <c r="R29" s="67">
        <f t="shared" si="5"/>
        <v>1.0003990975044001</v>
      </c>
      <c r="S29" s="67">
        <f t="shared" si="7"/>
        <v>1.0003990975044001</v>
      </c>
      <c r="T29" s="67">
        <f t="shared" si="8"/>
        <v>0</v>
      </c>
      <c r="U29" s="67">
        <f t="shared" si="9"/>
        <v>6.810407379630127</v>
      </c>
      <c r="V29" s="67">
        <f t="shared" si="10"/>
        <v>0.42127313360887081</v>
      </c>
      <c r="W29" s="100">
        <f t="shared" si="11"/>
        <v>0.28084875573924717</v>
      </c>
    </row>
    <row r="30" spans="2:23">
      <c r="B30" s="96">
        <f>Amnt_Deposited!B25</f>
        <v>2011</v>
      </c>
      <c r="C30" s="99">
        <f>Amnt_Deposited!D25</f>
        <v>5.133015744912</v>
      </c>
      <c r="D30" s="417">
        <f>Dry_Matter_Content!D17</f>
        <v>0.44</v>
      </c>
      <c r="E30" s="283">
        <f>MCF!R29</f>
        <v>1</v>
      </c>
      <c r="F30" s="67">
        <f t="shared" si="0"/>
        <v>0.4968759241074816</v>
      </c>
      <c r="G30" s="67">
        <f t="shared" si="1"/>
        <v>0.4968759241074816</v>
      </c>
      <c r="H30" s="67">
        <f t="shared" si="2"/>
        <v>0</v>
      </c>
      <c r="I30" s="67">
        <f t="shared" si="3"/>
        <v>3.5702670919830339</v>
      </c>
      <c r="J30" s="67">
        <f t="shared" si="4"/>
        <v>0.22284600386542847</v>
      </c>
      <c r="K30" s="100">
        <f t="shared" si="6"/>
        <v>0.14856400257695229</v>
      </c>
      <c r="O30" s="96">
        <f>Amnt_Deposited!B25</f>
        <v>2011</v>
      </c>
      <c r="P30" s="99">
        <f>Amnt_Deposited!D25</f>
        <v>5.133015744912</v>
      </c>
      <c r="Q30" s="283">
        <f>MCF!R29</f>
        <v>1</v>
      </c>
      <c r="R30" s="67">
        <f t="shared" si="5"/>
        <v>1.0266031489824001</v>
      </c>
      <c r="S30" s="67">
        <f t="shared" si="7"/>
        <v>1.0266031489824001</v>
      </c>
      <c r="T30" s="67">
        <f t="shared" si="8"/>
        <v>0</v>
      </c>
      <c r="U30" s="67">
        <f t="shared" si="9"/>
        <v>7.3765849007913937</v>
      </c>
      <c r="V30" s="67">
        <f t="shared" si="10"/>
        <v>0.46042562782113328</v>
      </c>
      <c r="W30" s="100">
        <f t="shared" si="11"/>
        <v>0.30695041854742217</v>
      </c>
    </row>
    <row r="31" spans="2:23">
      <c r="B31" s="96">
        <f>Amnt_Deposited!B26</f>
        <v>2012</v>
      </c>
      <c r="C31" s="99">
        <f>Amnt_Deposited!D26</f>
        <v>5.2324852836959996</v>
      </c>
      <c r="D31" s="417">
        <f>Dry_Matter_Content!D18</f>
        <v>0.44</v>
      </c>
      <c r="E31" s="283">
        <f>MCF!R30</f>
        <v>1</v>
      </c>
      <c r="F31" s="67">
        <f t="shared" si="0"/>
        <v>0.50650457546177274</v>
      </c>
      <c r="G31" s="67">
        <f t="shared" si="1"/>
        <v>0.50650457546177274</v>
      </c>
      <c r="H31" s="67">
        <f t="shared" si="2"/>
        <v>0</v>
      </c>
      <c r="I31" s="67">
        <f t="shared" si="3"/>
        <v>3.8353995474403355</v>
      </c>
      <c r="J31" s="67">
        <f t="shared" si="4"/>
        <v>0.24137212000447134</v>
      </c>
      <c r="K31" s="100">
        <f t="shared" si="6"/>
        <v>0.16091474666964756</v>
      </c>
      <c r="O31" s="96">
        <f>Amnt_Deposited!B26</f>
        <v>2012</v>
      </c>
      <c r="P31" s="99">
        <f>Amnt_Deposited!D26</f>
        <v>5.2324852836959996</v>
      </c>
      <c r="Q31" s="283">
        <f>MCF!R30</f>
        <v>1</v>
      </c>
      <c r="R31" s="67">
        <f t="shared" si="5"/>
        <v>1.0464970567392</v>
      </c>
      <c r="S31" s="67">
        <f t="shared" si="7"/>
        <v>1.0464970567392</v>
      </c>
      <c r="T31" s="67">
        <f t="shared" si="8"/>
        <v>0</v>
      </c>
      <c r="U31" s="67">
        <f t="shared" si="9"/>
        <v>7.9243792302486273</v>
      </c>
      <c r="V31" s="67">
        <f t="shared" si="10"/>
        <v>0.49870272728196563</v>
      </c>
      <c r="W31" s="100">
        <f t="shared" si="11"/>
        <v>0.33246848485464375</v>
      </c>
    </row>
    <row r="32" spans="2:23">
      <c r="B32" s="96">
        <f>Amnt_Deposited!B27</f>
        <v>2013</v>
      </c>
      <c r="C32" s="99">
        <f>Amnt_Deposited!D27</f>
        <v>5.3316139275959991</v>
      </c>
      <c r="D32" s="417">
        <f>Dry_Matter_Content!D19</f>
        <v>0.44</v>
      </c>
      <c r="E32" s="283">
        <f>MCF!R31</f>
        <v>1</v>
      </c>
      <c r="F32" s="67">
        <f t="shared" si="0"/>
        <v>0.51610022819129264</v>
      </c>
      <c r="G32" s="67">
        <f t="shared" si="1"/>
        <v>0.51610022819129264</v>
      </c>
      <c r="H32" s="67">
        <f t="shared" si="2"/>
        <v>0</v>
      </c>
      <c r="I32" s="67">
        <f t="shared" si="3"/>
        <v>4.0922030630947326</v>
      </c>
      <c r="J32" s="67">
        <f t="shared" si="4"/>
        <v>0.25929671253689579</v>
      </c>
      <c r="K32" s="100">
        <f t="shared" si="6"/>
        <v>0.17286447502459718</v>
      </c>
      <c r="O32" s="96">
        <f>Amnt_Deposited!B27</f>
        <v>2013</v>
      </c>
      <c r="P32" s="99">
        <f>Amnt_Deposited!D27</f>
        <v>5.3316139275959991</v>
      </c>
      <c r="Q32" s="283">
        <f>MCF!R31</f>
        <v>1</v>
      </c>
      <c r="R32" s="67">
        <f t="shared" si="5"/>
        <v>1.0663227855191999</v>
      </c>
      <c r="S32" s="67">
        <f t="shared" si="7"/>
        <v>1.0663227855191999</v>
      </c>
      <c r="T32" s="67">
        <f t="shared" si="8"/>
        <v>0</v>
      </c>
      <c r="U32" s="67">
        <f t="shared" si="9"/>
        <v>8.454965006394076</v>
      </c>
      <c r="V32" s="67">
        <f t="shared" si="10"/>
        <v>0.53573700937375168</v>
      </c>
      <c r="W32" s="100">
        <f t="shared" si="11"/>
        <v>0.35715800624916777</v>
      </c>
    </row>
    <row r="33" spans="2:23">
      <c r="B33" s="96">
        <f>Amnt_Deposited!B28</f>
        <v>2014</v>
      </c>
      <c r="C33" s="99">
        <f>Amnt_Deposited!D28</f>
        <v>5.4282665981279994</v>
      </c>
      <c r="D33" s="417">
        <f>Dry_Matter_Content!D20</f>
        <v>0.44</v>
      </c>
      <c r="E33" s="283">
        <f>MCF!R32</f>
        <v>1</v>
      </c>
      <c r="F33" s="67">
        <f t="shared" si="0"/>
        <v>0.52545620669879034</v>
      </c>
      <c r="G33" s="67">
        <f t="shared" si="1"/>
        <v>0.52545620669879034</v>
      </c>
      <c r="H33" s="67">
        <f t="shared" si="2"/>
        <v>0</v>
      </c>
      <c r="I33" s="67">
        <f t="shared" si="3"/>
        <v>4.3410010525285108</v>
      </c>
      <c r="J33" s="67">
        <f t="shared" si="4"/>
        <v>0.27665821726501261</v>
      </c>
      <c r="K33" s="100">
        <f t="shared" si="6"/>
        <v>0.1844388115100084</v>
      </c>
      <c r="O33" s="96">
        <f>Amnt_Deposited!B28</f>
        <v>2014</v>
      </c>
      <c r="P33" s="99">
        <f>Amnt_Deposited!D28</f>
        <v>5.4282665981279994</v>
      </c>
      <c r="Q33" s="283">
        <f>MCF!R32</f>
        <v>1</v>
      </c>
      <c r="R33" s="67">
        <f t="shared" si="5"/>
        <v>1.0856533196256</v>
      </c>
      <c r="S33" s="67">
        <f t="shared" si="7"/>
        <v>1.0856533196256</v>
      </c>
      <c r="T33" s="67">
        <f t="shared" si="8"/>
        <v>0</v>
      </c>
      <c r="U33" s="67">
        <f t="shared" si="9"/>
        <v>8.9690104391084926</v>
      </c>
      <c r="V33" s="67">
        <f t="shared" si="10"/>
        <v>0.57160788691118314</v>
      </c>
      <c r="W33" s="100">
        <f t="shared" si="11"/>
        <v>0.38107192460745543</v>
      </c>
    </row>
    <row r="34" spans="2:23">
      <c r="B34" s="96">
        <f>Amnt_Deposited!B29</f>
        <v>2015</v>
      </c>
      <c r="C34" s="99">
        <f>Amnt_Deposited!D29</f>
        <v>5.5222638769319996</v>
      </c>
      <c r="D34" s="417">
        <f>Dry_Matter_Content!D21</f>
        <v>0.44</v>
      </c>
      <c r="E34" s="283">
        <f>MCF!R33</f>
        <v>1</v>
      </c>
      <c r="F34" s="67">
        <f t="shared" si="0"/>
        <v>0.53455514328701759</v>
      </c>
      <c r="G34" s="67">
        <f t="shared" si="1"/>
        <v>0.53455514328701759</v>
      </c>
      <c r="H34" s="67">
        <f t="shared" si="2"/>
        <v>0</v>
      </c>
      <c r="I34" s="67">
        <f t="shared" si="3"/>
        <v>4.5820776968698178</v>
      </c>
      <c r="J34" s="67">
        <f t="shared" si="4"/>
        <v>0.2934784989457106</v>
      </c>
      <c r="K34" s="100">
        <f t="shared" si="6"/>
        <v>0.19565233263047371</v>
      </c>
      <c r="O34" s="96">
        <f>Amnt_Deposited!B29</f>
        <v>2015</v>
      </c>
      <c r="P34" s="99">
        <f>Amnt_Deposited!D29</f>
        <v>5.5222638769319996</v>
      </c>
      <c r="Q34" s="283">
        <f>MCF!R33</f>
        <v>1</v>
      </c>
      <c r="R34" s="67">
        <f t="shared" si="5"/>
        <v>1.1044527753864</v>
      </c>
      <c r="S34" s="67">
        <f t="shared" si="7"/>
        <v>1.1044527753864</v>
      </c>
      <c r="T34" s="67">
        <f t="shared" si="8"/>
        <v>0</v>
      </c>
      <c r="U34" s="67">
        <f t="shared" si="9"/>
        <v>9.4671026794830944</v>
      </c>
      <c r="V34" s="67">
        <f t="shared" si="10"/>
        <v>0.60636053501179876</v>
      </c>
      <c r="W34" s="100">
        <f t="shared" si="11"/>
        <v>0.40424035667453251</v>
      </c>
    </row>
    <row r="35" spans="2:23">
      <c r="B35" s="96">
        <f>Amnt_Deposited!B30</f>
        <v>2016</v>
      </c>
      <c r="C35" s="99">
        <f>Amnt_Deposited!D30</f>
        <v>5.6155075986239993</v>
      </c>
      <c r="D35" s="417">
        <f>Dry_Matter_Content!D22</f>
        <v>0.44</v>
      </c>
      <c r="E35" s="283">
        <f>MCF!R34</f>
        <v>1</v>
      </c>
      <c r="F35" s="67">
        <f t="shared" si="0"/>
        <v>0.5435811355468031</v>
      </c>
      <c r="G35" s="67">
        <f t="shared" si="1"/>
        <v>0.5435811355468031</v>
      </c>
      <c r="H35" s="67">
        <f t="shared" si="2"/>
        <v>0</v>
      </c>
      <c r="I35" s="67">
        <f t="shared" si="3"/>
        <v>4.8158820624371019</v>
      </c>
      <c r="J35" s="67">
        <f t="shared" si="4"/>
        <v>0.30977676997951864</v>
      </c>
      <c r="K35" s="100">
        <f t="shared" si="6"/>
        <v>0.20651784665301243</v>
      </c>
      <c r="O35" s="96">
        <f>Amnt_Deposited!B30</f>
        <v>2016</v>
      </c>
      <c r="P35" s="99">
        <f>Amnt_Deposited!D30</f>
        <v>5.6155075986239993</v>
      </c>
      <c r="Q35" s="283">
        <f>MCF!R34</f>
        <v>1</v>
      </c>
      <c r="R35" s="67">
        <f t="shared" si="5"/>
        <v>1.1231015197248</v>
      </c>
      <c r="S35" s="67">
        <f t="shared" si="7"/>
        <v>1.1231015197248</v>
      </c>
      <c r="T35" s="67">
        <f t="shared" si="8"/>
        <v>0</v>
      </c>
      <c r="U35" s="67">
        <f t="shared" si="9"/>
        <v>9.9501695504898802</v>
      </c>
      <c r="V35" s="67">
        <f t="shared" si="10"/>
        <v>0.64003464871801374</v>
      </c>
      <c r="W35" s="100">
        <f t="shared" si="11"/>
        <v>0.42668976581200913</v>
      </c>
    </row>
    <row r="36" spans="2:23">
      <c r="B36" s="96">
        <f>Amnt_Deposited!B31</f>
        <v>2017</v>
      </c>
      <c r="C36" s="99">
        <f>Amnt_Deposited!D31</f>
        <v>5.6107547130095003</v>
      </c>
      <c r="D36" s="417">
        <f>Dry_Matter_Content!D23</f>
        <v>0.44</v>
      </c>
      <c r="E36" s="283">
        <f>MCF!R35</f>
        <v>1</v>
      </c>
      <c r="F36" s="67">
        <f t="shared" si="0"/>
        <v>0.54312105621931961</v>
      </c>
      <c r="G36" s="67">
        <f t="shared" si="1"/>
        <v>0.54312105621931961</v>
      </c>
      <c r="H36" s="67">
        <f t="shared" si="2"/>
        <v>0</v>
      </c>
      <c r="I36" s="67">
        <f t="shared" si="3"/>
        <v>5.0334197286315856</v>
      </c>
      <c r="J36" s="67">
        <f t="shared" si="4"/>
        <v>0.32558339002483599</v>
      </c>
      <c r="K36" s="100">
        <f t="shared" si="6"/>
        <v>0.21705559334989066</v>
      </c>
      <c r="O36" s="96">
        <f>Amnt_Deposited!B31</f>
        <v>2017</v>
      </c>
      <c r="P36" s="99">
        <f>Amnt_Deposited!D31</f>
        <v>5.6107547130095003</v>
      </c>
      <c r="Q36" s="283">
        <f>MCF!R35</f>
        <v>1</v>
      </c>
      <c r="R36" s="67">
        <f t="shared" si="5"/>
        <v>1.1221509426019001</v>
      </c>
      <c r="S36" s="67">
        <f t="shared" si="7"/>
        <v>1.1221509426019001</v>
      </c>
      <c r="T36" s="67">
        <f t="shared" si="8"/>
        <v>0</v>
      </c>
      <c r="U36" s="67">
        <f t="shared" si="9"/>
        <v>10.399627538495011</v>
      </c>
      <c r="V36" s="67">
        <f t="shared" si="10"/>
        <v>0.67269295459676859</v>
      </c>
      <c r="W36" s="100">
        <f t="shared" si="11"/>
        <v>0.44846196973117902</v>
      </c>
    </row>
    <row r="37" spans="2:23">
      <c r="B37" s="96">
        <f>Amnt_Deposited!B32</f>
        <v>2018</v>
      </c>
      <c r="C37" s="99">
        <f>Amnt_Deposited!D32</f>
        <v>5.8695568032260717</v>
      </c>
      <c r="D37" s="417">
        <f>Dry_Matter_Content!D24</f>
        <v>0.44</v>
      </c>
      <c r="E37" s="283">
        <f>MCF!R36</f>
        <v>1</v>
      </c>
      <c r="F37" s="67">
        <f t="shared" si="0"/>
        <v>0.56817309855228371</v>
      </c>
      <c r="G37" s="67">
        <f t="shared" si="1"/>
        <v>0.56817309855228371</v>
      </c>
      <c r="H37" s="67">
        <f t="shared" si="2"/>
        <v>0</v>
      </c>
      <c r="I37" s="67">
        <f t="shared" si="3"/>
        <v>5.2613025465210495</v>
      </c>
      <c r="J37" s="67">
        <f t="shared" si="4"/>
        <v>0.34029028066281997</v>
      </c>
      <c r="K37" s="100">
        <f t="shared" si="6"/>
        <v>0.22686018710854663</v>
      </c>
      <c r="O37" s="96">
        <f>Amnt_Deposited!B32</f>
        <v>2018</v>
      </c>
      <c r="P37" s="99">
        <f>Amnt_Deposited!D32</f>
        <v>5.8695568032260717</v>
      </c>
      <c r="Q37" s="283">
        <f>MCF!R36</f>
        <v>1</v>
      </c>
      <c r="R37" s="67">
        <f t="shared" si="5"/>
        <v>1.1739113606452143</v>
      </c>
      <c r="S37" s="67">
        <f t="shared" si="7"/>
        <v>1.1739113606452143</v>
      </c>
      <c r="T37" s="67">
        <f t="shared" si="8"/>
        <v>0</v>
      </c>
      <c r="U37" s="67">
        <f t="shared" si="9"/>
        <v>10.870459806861671</v>
      </c>
      <c r="V37" s="67">
        <f t="shared" si="10"/>
        <v>0.70307909227855359</v>
      </c>
      <c r="W37" s="100">
        <f t="shared" si="11"/>
        <v>0.46871939485236902</v>
      </c>
    </row>
    <row r="38" spans="2:23">
      <c r="B38" s="96">
        <f>Amnt_Deposited!B33</f>
        <v>2019</v>
      </c>
      <c r="C38" s="99">
        <f>Amnt_Deposited!D33</f>
        <v>6.1362033974413812</v>
      </c>
      <c r="D38" s="417">
        <f>Dry_Matter_Content!D25</f>
        <v>0.44</v>
      </c>
      <c r="E38" s="283">
        <f>MCF!R37</f>
        <v>1</v>
      </c>
      <c r="F38" s="67">
        <f t="shared" si="0"/>
        <v>0.59398448887232569</v>
      </c>
      <c r="G38" s="67">
        <f t="shared" si="1"/>
        <v>0.59398448887232569</v>
      </c>
      <c r="H38" s="67">
        <f t="shared" si="2"/>
        <v>0</v>
      </c>
      <c r="I38" s="67">
        <f t="shared" si="3"/>
        <v>5.49959046790398</v>
      </c>
      <c r="J38" s="67">
        <f t="shared" si="4"/>
        <v>0.35569656748939504</v>
      </c>
      <c r="K38" s="100">
        <f t="shared" si="6"/>
        <v>0.23713104499293003</v>
      </c>
      <c r="O38" s="96">
        <f>Amnt_Deposited!B33</f>
        <v>2019</v>
      </c>
      <c r="P38" s="99">
        <f>Amnt_Deposited!D33</f>
        <v>6.1362033974413812</v>
      </c>
      <c r="Q38" s="283">
        <f>MCF!R37</f>
        <v>1</v>
      </c>
      <c r="R38" s="67">
        <f t="shared" si="5"/>
        <v>1.2272406794882764</v>
      </c>
      <c r="S38" s="67">
        <f t="shared" si="7"/>
        <v>1.2272406794882764</v>
      </c>
      <c r="T38" s="67">
        <f t="shared" si="8"/>
        <v>0</v>
      </c>
      <c r="U38" s="67">
        <f t="shared" si="9"/>
        <v>11.362790222942106</v>
      </c>
      <c r="V38" s="67">
        <f t="shared" si="10"/>
        <v>0.73491026340784094</v>
      </c>
      <c r="W38" s="100">
        <f t="shared" si="11"/>
        <v>0.48994017560522729</v>
      </c>
    </row>
    <row r="39" spans="2:23">
      <c r="B39" s="96">
        <f>Amnt_Deposited!B34</f>
        <v>2020</v>
      </c>
      <c r="C39" s="99">
        <f>Amnt_Deposited!D34</f>
        <v>6.4107809925567878</v>
      </c>
      <c r="D39" s="417">
        <f>Dry_Matter_Content!D26</f>
        <v>0.44</v>
      </c>
      <c r="E39" s="283">
        <f>MCF!R38</f>
        <v>1</v>
      </c>
      <c r="F39" s="67">
        <f t="shared" si="0"/>
        <v>0.62056360007949707</v>
      </c>
      <c r="G39" s="67">
        <f t="shared" si="1"/>
        <v>0.62056360007949707</v>
      </c>
      <c r="H39" s="67">
        <f t="shared" si="2"/>
        <v>0</v>
      </c>
      <c r="I39" s="67">
        <f t="shared" si="3"/>
        <v>5.7483477643668301</v>
      </c>
      <c r="J39" s="67">
        <f t="shared" si="4"/>
        <v>0.37180630361664668</v>
      </c>
      <c r="K39" s="100">
        <f t="shared" si="6"/>
        <v>0.24787086907776446</v>
      </c>
      <c r="O39" s="96">
        <f>Amnt_Deposited!B34</f>
        <v>2020</v>
      </c>
      <c r="P39" s="99">
        <f>Amnt_Deposited!D34</f>
        <v>6.4107809925567878</v>
      </c>
      <c r="Q39" s="283">
        <f>MCF!R38</f>
        <v>1</v>
      </c>
      <c r="R39" s="67">
        <f t="shared" si="5"/>
        <v>1.2821561985113576</v>
      </c>
      <c r="S39" s="67">
        <f t="shared" si="7"/>
        <v>1.2821561985113576</v>
      </c>
      <c r="T39" s="67">
        <f t="shared" si="8"/>
        <v>0</v>
      </c>
      <c r="U39" s="67">
        <f t="shared" si="9"/>
        <v>11.876751579270309</v>
      </c>
      <c r="V39" s="67">
        <f t="shared" si="10"/>
        <v>0.76819484218315415</v>
      </c>
      <c r="W39" s="100">
        <f t="shared" si="11"/>
        <v>0.51212989478876936</v>
      </c>
    </row>
    <row r="40" spans="2:23">
      <c r="B40" s="96">
        <f>Amnt_Deposited!B35</f>
        <v>2021</v>
      </c>
      <c r="C40" s="99">
        <f>Amnt_Deposited!D35</f>
        <v>6.6933632753861749</v>
      </c>
      <c r="D40" s="417">
        <f>Dry_Matter_Content!D27</f>
        <v>0.44</v>
      </c>
      <c r="E40" s="283">
        <f>MCF!R39</f>
        <v>1</v>
      </c>
      <c r="F40" s="67">
        <f t="shared" si="0"/>
        <v>0.64791756505738174</v>
      </c>
      <c r="G40" s="67">
        <f t="shared" si="1"/>
        <v>0.64791756505738174</v>
      </c>
      <c r="H40" s="67">
        <f t="shared" si="2"/>
        <v>0</v>
      </c>
      <c r="I40" s="67">
        <f t="shared" si="3"/>
        <v>6.0076414952231882</v>
      </c>
      <c r="J40" s="67">
        <f t="shared" si="4"/>
        <v>0.38862383420102353</v>
      </c>
      <c r="K40" s="100">
        <f t="shared" si="6"/>
        <v>0.25908255613401565</v>
      </c>
      <c r="O40" s="96">
        <f>Amnt_Deposited!B35</f>
        <v>2021</v>
      </c>
      <c r="P40" s="99">
        <f>Amnt_Deposited!D35</f>
        <v>6.6933632753861749</v>
      </c>
      <c r="Q40" s="283">
        <f>MCF!R39</f>
        <v>1</v>
      </c>
      <c r="R40" s="67">
        <f t="shared" si="5"/>
        <v>1.338672655077235</v>
      </c>
      <c r="S40" s="67">
        <f t="shared" si="7"/>
        <v>1.338672655077235</v>
      </c>
      <c r="T40" s="67">
        <f t="shared" si="8"/>
        <v>0</v>
      </c>
      <c r="U40" s="67">
        <f t="shared" si="9"/>
        <v>12.412482428147083</v>
      </c>
      <c r="V40" s="67">
        <f t="shared" si="10"/>
        <v>0.80294180620046174</v>
      </c>
      <c r="W40" s="100">
        <f t="shared" si="11"/>
        <v>0.53529453746697442</v>
      </c>
    </row>
    <row r="41" spans="2:23">
      <c r="B41" s="96">
        <f>Amnt_Deposited!B36</f>
        <v>2022</v>
      </c>
      <c r="C41" s="99">
        <f>Amnt_Deposited!D36</f>
        <v>6.984009417731003</v>
      </c>
      <c r="D41" s="417">
        <f>Dry_Matter_Content!D28</f>
        <v>0.44</v>
      </c>
      <c r="E41" s="283">
        <f>MCF!R40</f>
        <v>1</v>
      </c>
      <c r="F41" s="67">
        <f t="shared" si="0"/>
        <v>0.67605211163636114</v>
      </c>
      <c r="G41" s="67">
        <f t="shared" si="1"/>
        <v>0.67605211163636114</v>
      </c>
      <c r="H41" s="67">
        <f t="shared" si="2"/>
        <v>0</v>
      </c>
      <c r="I41" s="67">
        <f t="shared" si="3"/>
        <v>6.2775399139929924</v>
      </c>
      <c r="J41" s="67">
        <f t="shared" si="4"/>
        <v>0.40615369286655706</v>
      </c>
      <c r="K41" s="100">
        <f t="shared" si="6"/>
        <v>0.27076912857770469</v>
      </c>
      <c r="O41" s="96">
        <f>Amnt_Deposited!B36</f>
        <v>2022</v>
      </c>
      <c r="P41" s="99">
        <f>Amnt_Deposited!D36</f>
        <v>6.984009417731003</v>
      </c>
      <c r="Q41" s="283">
        <f>MCF!R40</f>
        <v>1</v>
      </c>
      <c r="R41" s="67">
        <f t="shared" si="5"/>
        <v>1.3968018835462006</v>
      </c>
      <c r="S41" s="67">
        <f t="shared" si="7"/>
        <v>1.3968018835462006</v>
      </c>
      <c r="T41" s="67">
        <f t="shared" si="8"/>
        <v>0</v>
      </c>
      <c r="U41" s="67">
        <f t="shared" si="9"/>
        <v>12.970123789241718</v>
      </c>
      <c r="V41" s="67">
        <f t="shared" si="10"/>
        <v>0.83916052245156414</v>
      </c>
      <c r="W41" s="100">
        <f t="shared" si="11"/>
        <v>0.55944034830104272</v>
      </c>
    </row>
    <row r="42" spans="2:23">
      <c r="B42" s="96">
        <f>Amnt_Deposited!B37</f>
        <v>2023</v>
      </c>
      <c r="C42" s="99">
        <f>Amnt_Deposited!D37</f>
        <v>7.2827622121008764</v>
      </c>
      <c r="D42" s="417">
        <f>Dry_Matter_Content!D29</f>
        <v>0.44</v>
      </c>
      <c r="E42" s="283">
        <f>MCF!R41</f>
        <v>1</v>
      </c>
      <c r="F42" s="67">
        <f t="shared" si="0"/>
        <v>0.7049713821313649</v>
      </c>
      <c r="G42" s="67">
        <f t="shared" si="1"/>
        <v>0.7049713821313649</v>
      </c>
      <c r="H42" s="67">
        <f t="shared" si="2"/>
        <v>0</v>
      </c>
      <c r="I42" s="67">
        <f t="shared" si="3"/>
        <v>6.558110802151349</v>
      </c>
      <c r="J42" s="67">
        <f t="shared" si="4"/>
        <v>0.42440049397300822</v>
      </c>
      <c r="K42" s="100">
        <f t="shared" si="6"/>
        <v>0.28293366264867215</v>
      </c>
      <c r="O42" s="96">
        <f>Amnt_Deposited!B37</f>
        <v>2023</v>
      </c>
      <c r="P42" s="99">
        <f>Amnt_Deposited!D37</f>
        <v>7.2827622121008764</v>
      </c>
      <c r="Q42" s="283">
        <f>MCF!R41</f>
        <v>1</v>
      </c>
      <c r="R42" s="67">
        <f t="shared" si="5"/>
        <v>1.4565524424201755</v>
      </c>
      <c r="S42" s="67">
        <f t="shared" si="7"/>
        <v>1.4565524424201755</v>
      </c>
      <c r="T42" s="67">
        <f t="shared" si="8"/>
        <v>0</v>
      </c>
      <c r="U42" s="67">
        <f t="shared" si="9"/>
        <v>13.549815706924274</v>
      </c>
      <c r="V42" s="67">
        <f t="shared" si="10"/>
        <v>0.87686052473762022</v>
      </c>
      <c r="W42" s="100">
        <f t="shared" si="11"/>
        <v>0.5845736831584134</v>
      </c>
    </row>
    <row r="43" spans="2:23">
      <c r="B43" s="96">
        <f>Amnt_Deposited!B38</f>
        <v>2024</v>
      </c>
      <c r="C43" s="99">
        <f>Amnt_Deposited!D38</f>
        <v>7.5896460345784638</v>
      </c>
      <c r="D43" s="417">
        <f>Dry_Matter_Content!D30</f>
        <v>0.44</v>
      </c>
      <c r="E43" s="283">
        <f>MCF!R42</f>
        <v>1</v>
      </c>
      <c r="F43" s="67">
        <f t="shared" si="0"/>
        <v>0.73467773614719534</v>
      </c>
      <c r="G43" s="67">
        <f t="shared" si="1"/>
        <v>0.73467773614719534</v>
      </c>
      <c r="H43" s="67">
        <f t="shared" si="2"/>
        <v>0</v>
      </c>
      <c r="I43" s="67">
        <f t="shared" si="3"/>
        <v>6.8494197183315544</v>
      </c>
      <c r="J43" s="67">
        <f t="shared" si="4"/>
        <v>0.44336881996699012</v>
      </c>
      <c r="K43" s="100">
        <f t="shared" si="6"/>
        <v>0.29557921331132675</v>
      </c>
      <c r="O43" s="96">
        <f>Amnt_Deposited!B38</f>
        <v>2024</v>
      </c>
      <c r="P43" s="99">
        <f>Amnt_Deposited!D38</f>
        <v>7.5896460345784638</v>
      </c>
      <c r="Q43" s="283">
        <f>MCF!R42</f>
        <v>1</v>
      </c>
      <c r="R43" s="67">
        <f t="shared" si="5"/>
        <v>1.5179292069156929</v>
      </c>
      <c r="S43" s="67">
        <f t="shared" si="7"/>
        <v>1.5179292069156929</v>
      </c>
      <c r="T43" s="67">
        <f t="shared" si="8"/>
        <v>0</v>
      </c>
      <c r="U43" s="67">
        <f t="shared" si="9"/>
        <v>14.151693632916434</v>
      </c>
      <c r="V43" s="67">
        <f t="shared" si="10"/>
        <v>0.91605128092353327</v>
      </c>
      <c r="W43" s="100">
        <f t="shared" si="11"/>
        <v>0.61070085394902218</v>
      </c>
    </row>
    <row r="44" spans="2:23">
      <c r="B44" s="96">
        <f>Amnt_Deposited!B39</f>
        <v>2025</v>
      </c>
      <c r="C44" s="99">
        <f>Amnt_Deposited!D39</f>
        <v>7.904664620226419</v>
      </c>
      <c r="D44" s="417">
        <f>Dry_Matter_Content!D31</f>
        <v>0.44</v>
      </c>
      <c r="E44" s="283">
        <f>MCF!R43</f>
        <v>1</v>
      </c>
      <c r="F44" s="67">
        <f t="shared" si="0"/>
        <v>0.76517153523791737</v>
      </c>
      <c r="G44" s="67">
        <f t="shared" si="1"/>
        <v>0.76517153523791737</v>
      </c>
      <c r="H44" s="67">
        <f t="shared" si="2"/>
        <v>0</v>
      </c>
      <c r="I44" s="67">
        <f t="shared" si="3"/>
        <v>7.1515281505521999</v>
      </c>
      <c r="J44" s="67">
        <f t="shared" si="4"/>
        <v>0.4630631030172721</v>
      </c>
      <c r="K44" s="100">
        <f t="shared" si="6"/>
        <v>0.30870873534484805</v>
      </c>
      <c r="O44" s="96">
        <f>Amnt_Deposited!B39</f>
        <v>2025</v>
      </c>
      <c r="P44" s="99">
        <f>Amnt_Deposited!D39</f>
        <v>7.904664620226419</v>
      </c>
      <c r="Q44" s="283">
        <f>MCF!R43</f>
        <v>1</v>
      </c>
      <c r="R44" s="67">
        <f t="shared" si="5"/>
        <v>1.5809329240452838</v>
      </c>
      <c r="S44" s="67">
        <f t="shared" si="7"/>
        <v>1.5809329240452838</v>
      </c>
      <c r="T44" s="67">
        <f t="shared" si="8"/>
        <v>0</v>
      </c>
      <c r="U44" s="67">
        <f t="shared" si="9"/>
        <v>14.775884608578924</v>
      </c>
      <c r="V44" s="67">
        <f t="shared" si="10"/>
        <v>0.95674194838279358</v>
      </c>
      <c r="W44" s="100">
        <f t="shared" si="11"/>
        <v>0.63782796558852906</v>
      </c>
    </row>
    <row r="45" spans="2:23">
      <c r="B45" s="96">
        <f>Amnt_Deposited!B40</f>
        <v>2026</v>
      </c>
      <c r="C45" s="99">
        <f>Amnt_Deposited!D40</f>
        <v>8.2277986352445307</v>
      </c>
      <c r="D45" s="417">
        <f>Dry_Matter_Content!D32</f>
        <v>0.44</v>
      </c>
      <c r="E45" s="283">
        <f>MCF!R44</f>
        <v>1</v>
      </c>
      <c r="F45" s="67">
        <f t="shared" si="0"/>
        <v>0.79645090789167061</v>
      </c>
      <c r="G45" s="67">
        <f t="shared" si="1"/>
        <v>0.79645090789167061</v>
      </c>
      <c r="H45" s="67">
        <f t="shared" si="2"/>
        <v>0</v>
      </c>
      <c r="I45" s="67">
        <f t="shared" si="3"/>
        <v>7.464491558349958</v>
      </c>
      <c r="J45" s="67">
        <f t="shared" si="4"/>
        <v>0.48348750009391273</v>
      </c>
      <c r="K45" s="100">
        <f t="shared" si="6"/>
        <v>0.32232500006260845</v>
      </c>
      <c r="O45" s="96">
        <f>Amnt_Deposited!B40</f>
        <v>2026</v>
      </c>
      <c r="P45" s="99">
        <f>Amnt_Deposited!D40</f>
        <v>8.2277986352445307</v>
      </c>
      <c r="Q45" s="283">
        <f>MCF!R44</f>
        <v>1</v>
      </c>
      <c r="R45" s="67">
        <f t="shared" si="5"/>
        <v>1.6455597270489062</v>
      </c>
      <c r="S45" s="67">
        <f t="shared" si="7"/>
        <v>1.6455597270489062</v>
      </c>
      <c r="T45" s="67">
        <f t="shared" si="8"/>
        <v>0</v>
      </c>
      <c r="U45" s="67">
        <f t="shared" si="9"/>
        <v>15.422503219731317</v>
      </c>
      <c r="V45" s="67">
        <f t="shared" si="10"/>
        <v>0.99894111589651369</v>
      </c>
      <c r="W45" s="100">
        <f t="shared" si="11"/>
        <v>0.66596074393100912</v>
      </c>
    </row>
    <row r="46" spans="2:23">
      <c r="B46" s="96">
        <f>Amnt_Deposited!B41</f>
        <v>2027</v>
      </c>
      <c r="C46" s="99">
        <f>Amnt_Deposited!D41</f>
        <v>8.5590030288007526</v>
      </c>
      <c r="D46" s="417">
        <f>Dry_Matter_Content!D33</f>
        <v>0.44</v>
      </c>
      <c r="E46" s="283">
        <f>MCF!R45</f>
        <v>1</v>
      </c>
      <c r="F46" s="67">
        <f t="shared" si="0"/>
        <v>0.82851149318791295</v>
      </c>
      <c r="G46" s="67">
        <f t="shared" si="1"/>
        <v>0.82851149318791295</v>
      </c>
      <c r="H46" s="67">
        <f t="shared" si="2"/>
        <v>0</v>
      </c>
      <c r="I46" s="67">
        <f t="shared" si="3"/>
        <v>7.7883572909335346</v>
      </c>
      <c r="J46" s="67">
        <f t="shared" si="4"/>
        <v>0.50464576060433608</v>
      </c>
      <c r="K46" s="100">
        <f t="shared" si="6"/>
        <v>0.33643050706955735</v>
      </c>
      <c r="O46" s="96">
        <f>Amnt_Deposited!B41</f>
        <v>2027</v>
      </c>
      <c r="P46" s="99">
        <f>Amnt_Deposited!D41</f>
        <v>8.5590030288007526</v>
      </c>
      <c r="Q46" s="283">
        <f>MCF!R45</f>
        <v>1</v>
      </c>
      <c r="R46" s="67">
        <f t="shared" si="5"/>
        <v>1.7118006057601507</v>
      </c>
      <c r="S46" s="67">
        <f t="shared" si="7"/>
        <v>1.7118006057601507</v>
      </c>
      <c r="T46" s="67">
        <f t="shared" si="8"/>
        <v>0</v>
      </c>
      <c r="U46" s="67">
        <f t="shared" si="9"/>
        <v>16.09164729531722</v>
      </c>
      <c r="V46" s="67">
        <f t="shared" si="10"/>
        <v>1.0426565301742481</v>
      </c>
      <c r="W46" s="100">
        <f t="shared" si="11"/>
        <v>0.69510435344949872</v>
      </c>
    </row>
    <row r="47" spans="2:23">
      <c r="B47" s="96">
        <f>Amnt_Deposited!B42</f>
        <v>2028</v>
      </c>
      <c r="C47" s="99">
        <f>Amnt_Deposited!D42</f>
        <v>8.8982041460723842</v>
      </c>
      <c r="D47" s="417">
        <f>Dry_Matter_Content!D34</f>
        <v>0.44</v>
      </c>
      <c r="E47" s="283">
        <f>MCF!R46</f>
        <v>1</v>
      </c>
      <c r="F47" s="67">
        <f t="shared" si="0"/>
        <v>0.86134616133980679</v>
      </c>
      <c r="G47" s="67">
        <f t="shared" si="1"/>
        <v>0.86134616133980679</v>
      </c>
      <c r="H47" s="67">
        <f t="shared" si="2"/>
        <v>0</v>
      </c>
      <c r="I47" s="67">
        <f t="shared" si="3"/>
        <v>8.1231623666256674</v>
      </c>
      <c r="J47" s="67">
        <f t="shared" si="4"/>
        <v>0.52654108564767332</v>
      </c>
      <c r="K47" s="100">
        <f t="shared" si="6"/>
        <v>0.35102739043178222</v>
      </c>
      <c r="O47" s="96">
        <f>Amnt_Deposited!B42</f>
        <v>2028</v>
      </c>
      <c r="P47" s="99">
        <f>Amnt_Deposited!D42</f>
        <v>8.8982041460723842</v>
      </c>
      <c r="Q47" s="283">
        <f>MCF!R46</f>
        <v>1</v>
      </c>
      <c r="R47" s="67">
        <f t="shared" si="5"/>
        <v>1.779640829214477</v>
      </c>
      <c r="S47" s="67">
        <f t="shared" si="7"/>
        <v>1.779640829214477</v>
      </c>
      <c r="T47" s="67">
        <f t="shared" si="8"/>
        <v>0</v>
      </c>
      <c r="U47" s="67">
        <f t="shared" si="9"/>
        <v>16.78339331947452</v>
      </c>
      <c r="V47" s="67">
        <f t="shared" si="10"/>
        <v>1.0878948050571764</v>
      </c>
      <c r="W47" s="100">
        <f t="shared" si="11"/>
        <v>0.72526320337145089</v>
      </c>
    </row>
    <row r="48" spans="2:23">
      <c r="B48" s="96">
        <f>Amnt_Deposited!B43</f>
        <v>2029</v>
      </c>
      <c r="C48" s="99">
        <f>Amnt_Deposited!D43</f>
        <v>9.2452965825355395</v>
      </c>
      <c r="D48" s="417">
        <f>Dry_Matter_Content!D35</f>
        <v>0.44</v>
      </c>
      <c r="E48" s="283">
        <f>MCF!R47</f>
        <v>1</v>
      </c>
      <c r="F48" s="67">
        <f t="shared" si="0"/>
        <v>0.89494470918944014</v>
      </c>
      <c r="G48" s="67">
        <f t="shared" si="1"/>
        <v>0.89494470918944014</v>
      </c>
      <c r="H48" s="67">
        <f t="shared" si="2"/>
        <v>0</v>
      </c>
      <c r="I48" s="67">
        <f t="shared" si="3"/>
        <v>8.4689310979237895</v>
      </c>
      <c r="J48" s="67">
        <f t="shared" si="4"/>
        <v>0.54917597789131833</v>
      </c>
      <c r="K48" s="100">
        <f t="shared" si="6"/>
        <v>0.3661173185942122</v>
      </c>
      <c r="O48" s="96">
        <f>Amnt_Deposited!B43</f>
        <v>2029</v>
      </c>
      <c r="P48" s="99">
        <f>Amnt_Deposited!D43</f>
        <v>9.2452965825355395</v>
      </c>
      <c r="Q48" s="283">
        <f>MCF!R47</f>
        <v>1</v>
      </c>
      <c r="R48" s="67">
        <f t="shared" si="5"/>
        <v>1.8490593165071081</v>
      </c>
      <c r="S48" s="67">
        <f t="shared" si="7"/>
        <v>1.8490593165071081</v>
      </c>
      <c r="T48" s="67">
        <f t="shared" si="8"/>
        <v>0</v>
      </c>
      <c r="U48" s="67">
        <f t="shared" si="9"/>
        <v>17.497791524635929</v>
      </c>
      <c r="V48" s="67">
        <f t="shared" si="10"/>
        <v>1.134661111345699</v>
      </c>
      <c r="W48" s="100">
        <f t="shared" si="11"/>
        <v>0.75644074089713265</v>
      </c>
    </row>
    <row r="49" spans="2:23">
      <c r="B49" s="96">
        <f>Amnt_Deposited!B44</f>
        <v>2030</v>
      </c>
      <c r="C49" s="99">
        <f>Amnt_Deposited!D44</f>
        <v>9.6069251520000005</v>
      </c>
      <c r="D49" s="417">
        <f>Dry_Matter_Content!D36</f>
        <v>0.44</v>
      </c>
      <c r="E49" s="283">
        <f>MCF!R48</f>
        <v>1</v>
      </c>
      <c r="F49" s="67">
        <f t="shared" si="0"/>
        <v>0.92995035471359999</v>
      </c>
      <c r="G49" s="67">
        <f t="shared" si="1"/>
        <v>0.92995035471359999</v>
      </c>
      <c r="H49" s="67">
        <f t="shared" si="2"/>
        <v>0</v>
      </c>
      <c r="I49" s="67">
        <f t="shared" si="3"/>
        <v>8.8263293716270379</v>
      </c>
      <c r="J49" s="67">
        <f t="shared" si="4"/>
        <v>0.57255208101035093</v>
      </c>
      <c r="K49" s="100">
        <f t="shared" si="6"/>
        <v>0.38170138734023396</v>
      </c>
      <c r="O49" s="96">
        <f>Amnt_Deposited!B44</f>
        <v>2030</v>
      </c>
      <c r="P49" s="99">
        <f>Amnt_Deposited!D44</f>
        <v>9.6069251520000005</v>
      </c>
      <c r="Q49" s="283">
        <f>MCF!R48</f>
        <v>1</v>
      </c>
      <c r="R49" s="67">
        <f t="shared" si="5"/>
        <v>1.9213850304000002</v>
      </c>
      <c r="S49" s="67">
        <f t="shared" si="7"/>
        <v>1.9213850304000002</v>
      </c>
      <c r="T49" s="67">
        <f t="shared" si="8"/>
        <v>0</v>
      </c>
      <c r="U49" s="67">
        <f t="shared" si="9"/>
        <v>18.236217709973221</v>
      </c>
      <c r="V49" s="67">
        <f t="shared" si="10"/>
        <v>1.1829588450627084</v>
      </c>
      <c r="W49" s="100">
        <f t="shared" si="11"/>
        <v>0.78863923004180558</v>
      </c>
    </row>
    <row r="50" spans="2:23">
      <c r="B50" s="96">
        <f>Amnt_Deposited!B45</f>
        <v>2031</v>
      </c>
      <c r="C50" s="99">
        <f>Amnt_Deposited!D45</f>
        <v>0</v>
      </c>
      <c r="D50" s="417">
        <f>Dry_Matter_Content!D37</f>
        <v>0.44</v>
      </c>
      <c r="E50" s="283">
        <f>MCF!R49</f>
        <v>1</v>
      </c>
      <c r="F50" s="67">
        <f t="shared" si="0"/>
        <v>0</v>
      </c>
      <c r="G50" s="67">
        <f t="shared" si="1"/>
        <v>0</v>
      </c>
      <c r="H50" s="67">
        <f t="shared" si="2"/>
        <v>0</v>
      </c>
      <c r="I50" s="67">
        <f t="shared" si="3"/>
        <v>8.2296149585594023</v>
      </c>
      <c r="J50" s="67">
        <f t="shared" si="4"/>
        <v>0.59671441306763595</v>
      </c>
      <c r="K50" s="100">
        <f t="shared" si="6"/>
        <v>0.3978096087117573</v>
      </c>
      <c r="O50" s="96">
        <f>Amnt_Deposited!B45</f>
        <v>2031</v>
      </c>
      <c r="P50" s="99">
        <f>Amnt_Deposited!D45</f>
        <v>0</v>
      </c>
      <c r="Q50" s="283">
        <f>MCF!R49</f>
        <v>1</v>
      </c>
      <c r="R50" s="67">
        <f t="shared" si="5"/>
        <v>0</v>
      </c>
      <c r="S50" s="67">
        <f t="shared" si="7"/>
        <v>0</v>
      </c>
      <c r="T50" s="67">
        <f t="shared" si="8"/>
        <v>0</v>
      </c>
      <c r="U50" s="67">
        <f t="shared" si="9"/>
        <v>17.003336691238438</v>
      </c>
      <c r="V50" s="67">
        <f t="shared" si="10"/>
        <v>1.2328810187347852</v>
      </c>
      <c r="W50" s="100">
        <f t="shared" si="11"/>
        <v>0.82192067915652345</v>
      </c>
    </row>
    <row r="51" spans="2:23">
      <c r="B51" s="96">
        <f>Amnt_Deposited!B46</f>
        <v>2032</v>
      </c>
      <c r="C51" s="99">
        <f>Amnt_Deposited!D46</f>
        <v>0</v>
      </c>
      <c r="D51" s="417">
        <f>Dry_Matter_Content!D38</f>
        <v>0.44</v>
      </c>
      <c r="E51" s="283">
        <f>MCF!R50</f>
        <v>1</v>
      </c>
      <c r="F51" s="67">
        <f t="shared" ref="F51:F82" si="12">C51*D51*$K$6*DOCF*E51</f>
        <v>0</v>
      </c>
      <c r="G51" s="67">
        <f t="shared" si="1"/>
        <v>0</v>
      </c>
      <c r="H51" s="67">
        <f t="shared" si="2"/>
        <v>0</v>
      </c>
      <c r="I51" s="67">
        <f t="shared" si="3"/>
        <v>7.6732421275663336</v>
      </c>
      <c r="J51" s="67">
        <f t="shared" si="4"/>
        <v>0.556372830993069</v>
      </c>
      <c r="K51" s="100">
        <f t="shared" si="6"/>
        <v>0.37091522066204596</v>
      </c>
      <c r="O51" s="96">
        <f>Amnt_Deposited!B46</f>
        <v>2032</v>
      </c>
      <c r="P51" s="99">
        <f>Amnt_Deposited!D46</f>
        <v>0</v>
      </c>
      <c r="Q51" s="283">
        <f>MCF!R50</f>
        <v>1</v>
      </c>
      <c r="R51" s="67">
        <f t="shared" ref="R51:R82" si="13">P51*$W$6*DOCF*Q51</f>
        <v>0</v>
      </c>
      <c r="S51" s="67">
        <f t="shared" si="7"/>
        <v>0</v>
      </c>
      <c r="T51" s="67">
        <f t="shared" si="8"/>
        <v>0</v>
      </c>
      <c r="U51" s="67">
        <f t="shared" si="9"/>
        <v>15.853806048690775</v>
      </c>
      <c r="V51" s="67">
        <f t="shared" si="10"/>
        <v>1.1495306425476635</v>
      </c>
      <c r="W51" s="100">
        <f t="shared" si="11"/>
        <v>0.76635376169844227</v>
      </c>
    </row>
    <row r="52" spans="2:23">
      <c r="B52" s="96">
        <f>Amnt_Deposited!B47</f>
        <v>2033</v>
      </c>
      <c r="C52" s="99">
        <f>Amnt_Deposited!D47</f>
        <v>0</v>
      </c>
      <c r="D52" s="417">
        <f>Dry_Matter_Content!D39</f>
        <v>0.44</v>
      </c>
      <c r="E52" s="283">
        <f>MCF!R51</f>
        <v>1</v>
      </c>
      <c r="F52" s="67">
        <f t="shared" si="12"/>
        <v>0</v>
      </c>
      <c r="G52" s="67">
        <f t="shared" si="1"/>
        <v>0</v>
      </c>
      <c r="H52" s="67">
        <f t="shared" si="2"/>
        <v>0</v>
      </c>
      <c r="I52" s="67">
        <f t="shared" si="3"/>
        <v>7.1544835383848193</v>
      </c>
      <c r="J52" s="67">
        <f t="shared" si="4"/>
        <v>0.51875858918151418</v>
      </c>
      <c r="K52" s="100">
        <f t="shared" si="6"/>
        <v>0.34583905945434279</v>
      </c>
      <c r="O52" s="96">
        <f>Amnt_Deposited!B47</f>
        <v>2033</v>
      </c>
      <c r="P52" s="99">
        <f>Amnt_Deposited!D47</f>
        <v>0</v>
      </c>
      <c r="Q52" s="283">
        <f>MCF!R51</f>
        <v>1</v>
      </c>
      <c r="R52" s="67">
        <f t="shared" si="13"/>
        <v>0</v>
      </c>
      <c r="S52" s="67">
        <f t="shared" si="7"/>
        <v>0</v>
      </c>
      <c r="T52" s="67">
        <f t="shared" si="8"/>
        <v>0</v>
      </c>
      <c r="U52" s="67">
        <f t="shared" si="9"/>
        <v>14.781990781786819</v>
      </c>
      <c r="V52" s="67">
        <f t="shared" si="10"/>
        <v>1.0718152669039551</v>
      </c>
      <c r="W52" s="100">
        <f t="shared" si="11"/>
        <v>0.71454351126930338</v>
      </c>
    </row>
    <row r="53" spans="2:23">
      <c r="B53" s="96">
        <f>Amnt_Deposited!B48</f>
        <v>2034</v>
      </c>
      <c r="C53" s="99">
        <f>Amnt_Deposited!D48</f>
        <v>0</v>
      </c>
      <c r="D53" s="417">
        <f>Dry_Matter_Content!D40</f>
        <v>0.44</v>
      </c>
      <c r="E53" s="283">
        <f>MCF!R52</f>
        <v>1</v>
      </c>
      <c r="F53" s="67">
        <f t="shared" si="12"/>
        <v>0</v>
      </c>
      <c r="G53" s="67">
        <f t="shared" si="1"/>
        <v>0</v>
      </c>
      <c r="H53" s="67">
        <f t="shared" si="2"/>
        <v>0</v>
      </c>
      <c r="I53" s="67">
        <f t="shared" si="3"/>
        <v>6.6707962358088464</v>
      </c>
      <c r="J53" s="67">
        <f t="shared" si="4"/>
        <v>0.48368730257597253</v>
      </c>
      <c r="K53" s="100">
        <f t="shared" si="6"/>
        <v>0.32245820171731499</v>
      </c>
      <c r="O53" s="96">
        <f>Amnt_Deposited!B48</f>
        <v>2034</v>
      </c>
      <c r="P53" s="99">
        <f>Amnt_Deposited!D48</f>
        <v>0</v>
      </c>
      <c r="Q53" s="283">
        <f>MCF!R52</f>
        <v>1</v>
      </c>
      <c r="R53" s="67">
        <f t="shared" si="13"/>
        <v>0</v>
      </c>
      <c r="S53" s="67">
        <f t="shared" si="7"/>
        <v>0</v>
      </c>
      <c r="T53" s="67">
        <f t="shared" si="8"/>
        <v>0</v>
      </c>
      <c r="U53" s="67">
        <f t="shared" si="9"/>
        <v>13.782636850844726</v>
      </c>
      <c r="V53" s="67">
        <f t="shared" si="10"/>
        <v>0.99935393094209213</v>
      </c>
      <c r="W53" s="100">
        <f t="shared" si="11"/>
        <v>0.66623595396139468</v>
      </c>
    </row>
    <row r="54" spans="2:23">
      <c r="B54" s="96">
        <f>Amnt_Deposited!B49</f>
        <v>2035</v>
      </c>
      <c r="C54" s="99">
        <f>Amnt_Deposited!D49</f>
        <v>0</v>
      </c>
      <c r="D54" s="417">
        <f>Dry_Matter_Content!D41</f>
        <v>0.44</v>
      </c>
      <c r="E54" s="283">
        <f>MCF!R53</f>
        <v>1</v>
      </c>
      <c r="F54" s="67">
        <f t="shared" si="12"/>
        <v>0</v>
      </c>
      <c r="G54" s="67">
        <f t="shared" si="1"/>
        <v>0</v>
      </c>
      <c r="H54" s="67">
        <f t="shared" si="2"/>
        <v>0</v>
      </c>
      <c r="I54" s="67">
        <f t="shared" si="3"/>
        <v>6.2198091841200309</v>
      </c>
      <c r="J54" s="67">
        <f t="shared" si="4"/>
        <v>0.4509870516888152</v>
      </c>
      <c r="K54" s="100">
        <f t="shared" si="6"/>
        <v>0.30065803445921013</v>
      </c>
      <c r="O54" s="96">
        <f>Amnt_Deposited!B49</f>
        <v>2035</v>
      </c>
      <c r="P54" s="99">
        <f>Amnt_Deposited!D49</f>
        <v>0</v>
      </c>
      <c r="Q54" s="283">
        <f>MCF!R53</f>
        <v>1</v>
      </c>
      <c r="R54" s="67">
        <f t="shared" si="13"/>
        <v>0</v>
      </c>
      <c r="S54" s="67">
        <f t="shared" si="7"/>
        <v>0</v>
      </c>
      <c r="T54" s="67">
        <f t="shared" si="8"/>
        <v>0</v>
      </c>
      <c r="U54" s="67">
        <f t="shared" si="9"/>
        <v>12.850845421735604</v>
      </c>
      <c r="V54" s="67">
        <f t="shared" si="10"/>
        <v>0.93179142910912249</v>
      </c>
      <c r="W54" s="100">
        <f t="shared" si="11"/>
        <v>0.62119428607274829</v>
      </c>
    </row>
    <row r="55" spans="2:23">
      <c r="B55" s="96">
        <f>Amnt_Deposited!B50</f>
        <v>2036</v>
      </c>
      <c r="C55" s="99">
        <f>Amnt_Deposited!D50</f>
        <v>0</v>
      </c>
      <c r="D55" s="417">
        <f>Dry_Matter_Content!D42</f>
        <v>0.44</v>
      </c>
      <c r="E55" s="283">
        <f>MCF!R54</f>
        <v>1</v>
      </c>
      <c r="F55" s="67">
        <f t="shared" si="12"/>
        <v>0</v>
      </c>
      <c r="G55" s="67">
        <f t="shared" si="1"/>
        <v>0</v>
      </c>
      <c r="H55" s="67">
        <f t="shared" si="2"/>
        <v>0</v>
      </c>
      <c r="I55" s="67">
        <f t="shared" si="3"/>
        <v>5.7993116442677755</v>
      </c>
      <c r="J55" s="67">
        <f t="shared" si="4"/>
        <v>0.42049753985225574</v>
      </c>
      <c r="K55" s="100">
        <f t="shared" si="6"/>
        <v>0.28033169323483714</v>
      </c>
      <c r="O55" s="96">
        <f>Amnt_Deposited!B50</f>
        <v>2036</v>
      </c>
      <c r="P55" s="99">
        <f>Amnt_Deposited!D50</f>
        <v>0</v>
      </c>
      <c r="Q55" s="283">
        <f>MCF!R54</f>
        <v>1</v>
      </c>
      <c r="R55" s="67">
        <f t="shared" si="13"/>
        <v>0</v>
      </c>
      <c r="S55" s="67">
        <f t="shared" si="7"/>
        <v>0</v>
      </c>
      <c r="T55" s="67">
        <f t="shared" si="8"/>
        <v>0</v>
      </c>
      <c r="U55" s="67">
        <f t="shared" si="9"/>
        <v>11.982048851792927</v>
      </c>
      <c r="V55" s="67">
        <f t="shared" si="10"/>
        <v>0.8687965699426774</v>
      </c>
      <c r="W55" s="100">
        <f t="shared" si="11"/>
        <v>0.57919771329511827</v>
      </c>
    </row>
    <row r="56" spans="2:23">
      <c r="B56" s="96">
        <f>Amnt_Deposited!B51</f>
        <v>2037</v>
      </c>
      <c r="C56" s="99">
        <f>Amnt_Deposited!D51</f>
        <v>0</v>
      </c>
      <c r="D56" s="417">
        <f>Dry_Matter_Content!D43</f>
        <v>0.44</v>
      </c>
      <c r="E56" s="283">
        <f>MCF!R55</f>
        <v>1</v>
      </c>
      <c r="F56" s="67">
        <f t="shared" si="12"/>
        <v>0</v>
      </c>
      <c r="G56" s="67">
        <f t="shared" si="1"/>
        <v>0</v>
      </c>
      <c r="H56" s="67">
        <f t="shared" si="2"/>
        <v>0</v>
      </c>
      <c r="I56" s="67">
        <f t="shared" si="3"/>
        <v>5.4072423368238773</v>
      </c>
      <c r="J56" s="67">
        <f t="shared" si="4"/>
        <v>0.39206930744389845</v>
      </c>
      <c r="K56" s="100">
        <f t="shared" si="6"/>
        <v>0.2613795382959323</v>
      </c>
      <c r="O56" s="96">
        <f>Amnt_Deposited!B51</f>
        <v>2037</v>
      </c>
      <c r="P56" s="99">
        <f>Amnt_Deposited!D51</f>
        <v>0</v>
      </c>
      <c r="Q56" s="283">
        <f>MCF!R55</f>
        <v>1</v>
      </c>
      <c r="R56" s="67">
        <f t="shared" si="13"/>
        <v>0</v>
      </c>
      <c r="S56" s="67">
        <f t="shared" si="7"/>
        <v>0</v>
      </c>
      <c r="T56" s="67">
        <f t="shared" si="8"/>
        <v>0</v>
      </c>
      <c r="U56" s="67">
        <f t="shared" si="9"/>
        <v>11.171988299222889</v>
      </c>
      <c r="V56" s="67">
        <f t="shared" si="10"/>
        <v>0.81006055257003828</v>
      </c>
      <c r="W56" s="100">
        <f t="shared" si="11"/>
        <v>0.54004036838002545</v>
      </c>
    </row>
    <row r="57" spans="2:23">
      <c r="B57" s="96">
        <f>Amnt_Deposited!B52</f>
        <v>2038</v>
      </c>
      <c r="C57" s="99">
        <f>Amnt_Deposited!D52</f>
        <v>0</v>
      </c>
      <c r="D57" s="417">
        <f>Dry_Matter_Content!D44</f>
        <v>0.44</v>
      </c>
      <c r="E57" s="283">
        <f>MCF!R56</f>
        <v>1</v>
      </c>
      <c r="F57" s="67">
        <f t="shared" si="12"/>
        <v>0</v>
      </c>
      <c r="G57" s="67">
        <f t="shared" si="1"/>
        <v>0</v>
      </c>
      <c r="H57" s="67">
        <f t="shared" si="2"/>
        <v>0</v>
      </c>
      <c r="I57" s="67">
        <f t="shared" si="3"/>
        <v>5.0416793375883815</v>
      </c>
      <c r="J57" s="67">
        <f t="shared" si="4"/>
        <v>0.36556299923549618</v>
      </c>
      <c r="K57" s="100">
        <f t="shared" si="6"/>
        <v>0.24370866615699743</v>
      </c>
      <c r="O57" s="96">
        <f>Amnt_Deposited!B52</f>
        <v>2038</v>
      </c>
      <c r="P57" s="99">
        <f>Amnt_Deposited!D52</f>
        <v>0</v>
      </c>
      <c r="Q57" s="283">
        <f>MCF!R56</f>
        <v>1</v>
      </c>
      <c r="R57" s="67">
        <f t="shared" si="13"/>
        <v>0</v>
      </c>
      <c r="S57" s="67">
        <f t="shared" si="7"/>
        <v>0</v>
      </c>
      <c r="T57" s="67">
        <f t="shared" si="8"/>
        <v>0</v>
      </c>
      <c r="U57" s="67">
        <f t="shared" si="9"/>
        <v>10.416692846256987</v>
      </c>
      <c r="V57" s="67">
        <f t="shared" si="10"/>
        <v>0.75529545296590128</v>
      </c>
      <c r="W57" s="100">
        <f t="shared" si="11"/>
        <v>0.50353030197726745</v>
      </c>
    </row>
    <row r="58" spans="2:23">
      <c r="B58" s="96">
        <f>Amnt_Deposited!B53</f>
        <v>2039</v>
      </c>
      <c r="C58" s="99">
        <f>Amnt_Deposited!D53</f>
        <v>0</v>
      </c>
      <c r="D58" s="417">
        <f>Dry_Matter_Content!D45</f>
        <v>0.44</v>
      </c>
      <c r="E58" s="283">
        <f>MCF!R57</f>
        <v>1</v>
      </c>
      <c r="F58" s="67">
        <f t="shared" si="12"/>
        <v>0</v>
      </c>
      <c r="G58" s="67">
        <f t="shared" si="1"/>
        <v>0</v>
      </c>
      <c r="H58" s="67">
        <f t="shared" si="2"/>
        <v>0</v>
      </c>
      <c r="I58" s="67">
        <f t="shared" si="3"/>
        <v>4.7008306563149223</v>
      </c>
      <c r="J58" s="67">
        <f t="shared" si="4"/>
        <v>0.34084868127345952</v>
      </c>
      <c r="K58" s="100">
        <f t="shared" si="6"/>
        <v>0.22723245418230634</v>
      </c>
      <c r="O58" s="96">
        <f>Amnt_Deposited!B53</f>
        <v>2039</v>
      </c>
      <c r="P58" s="99">
        <f>Amnt_Deposited!D53</f>
        <v>0</v>
      </c>
      <c r="Q58" s="283">
        <f>MCF!R57</f>
        <v>1</v>
      </c>
      <c r="R58" s="67">
        <f t="shared" si="13"/>
        <v>0</v>
      </c>
      <c r="S58" s="67">
        <f t="shared" si="7"/>
        <v>0</v>
      </c>
      <c r="T58" s="67">
        <f t="shared" si="8"/>
        <v>0</v>
      </c>
      <c r="U58" s="67">
        <f t="shared" si="9"/>
        <v>9.712460033708517</v>
      </c>
      <c r="V58" s="67">
        <f t="shared" si="10"/>
        <v>0.70423281254847014</v>
      </c>
      <c r="W58" s="100">
        <f t="shared" si="11"/>
        <v>0.46948854169898008</v>
      </c>
    </row>
    <row r="59" spans="2:23">
      <c r="B59" s="96">
        <f>Amnt_Deposited!B54</f>
        <v>2040</v>
      </c>
      <c r="C59" s="99">
        <f>Amnt_Deposited!D54</f>
        <v>0</v>
      </c>
      <c r="D59" s="417">
        <f>Dry_Matter_Content!D46</f>
        <v>0.44</v>
      </c>
      <c r="E59" s="283">
        <f>MCF!R58</f>
        <v>1</v>
      </c>
      <c r="F59" s="67">
        <f t="shared" si="12"/>
        <v>0</v>
      </c>
      <c r="G59" s="67">
        <f t="shared" si="1"/>
        <v>0</v>
      </c>
      <c r="H59" s="67">
        <f t="shared" si="2"/>
        <v>0</v>
      </c>
      <c r="I59" s="67">
        <f t="shared" si="3"/>
        <v>4.3830254523724559</v>
      </c>
      <c r="J59" s="67">
        <f t="shared" si="4"/>
        <v>0.31780520394246603</v>
      </c>
      <c r="K59" s="100">
        <f t="shared" si="6"/>
        <v>0.211870135961644</v>
      </c>
      <c r="O59" s="96">
        <f>Amnt_Deposited!B54</f>
        <v>2040</v>
      </c>
      <c r="P59" s="99">
        <f>Amnt_Deposited!D54</f>
        <v>0</v>
      </c>
      <c r="Q59" s="283">
        <f>MCF!R58</f>
        <v>1</v>
      </c>
      <c r="R59" s="67">
        <f t="shared" si="13"/>
        <v>0</v>
      </c>
      <c r="S59" s="67">
        <f t="shared" si="7"/>
        <v>0</v>
      </c>
      <c r="T59" s="67">
        <f t="shared" si="8"/>
        <v>0</v>
      </c>
      <c r="U59" s="67">
        <f t="shared" si="9"/>
        <v>9.0558377115133393</v>
      </c>
      <c r="V59" s="67">
        <f t="shared" si="10"/>
        <v>0.65662232219517769</v>
      </c>
      <c r="W59" s="100">
        <f t="shared" si="11"/>
        <v>0.43774821479678511</v>
      </c>
    </row>
    <row r="60" spans="2:23">
      <c r="B60" s="96">
        <f>Amnt_Deposited!B55</f>
        <v>2041</v>
      </c>
      <c r="C60" s="99">
        <f>Amnt_Deposited!D55</f>
        <v>0</v>
      </c>
      <c r="D60" s="417">
        <f>Dry_Matter_Content!D47</f>
        <v>0.44</v>
      </c>
      <c r="E60" s="283">
        <f>MCF!R59</f>
        <v>1</v>
      </c>
      <c r="F60" s="67">
        <f t="shared" si="12"/>
        <v>0</v>
      </c>
      <c r="G60" s="67">
        <f t="shared" si="1"/>
        <v>0</v>
      </c>
      <c r="H60" s="67">
        <f t="shared" si="2"/>
        <v>0</v>
      </c>
      <c r="I60" s="67">
        <f t="shared" si="3"/>
        <v>4.0867058442825508</v>
      </c>
      <c r="J60" s="67">
        <f t="shared" si="4"/>
        <v>0.29631960808990482</v>
      </c>
      <c r="K60" s="100">
        <f t="shared" si="6"/>
        <v>0.19754640539326987</v>
      </c>
      <c r="O60" s="96">
        <f>Amnt_Deposited!B55</f>
        <v>2041</v>
      </c>
      <c r="P60" s="99">
        <f>Amnt_Deposited!D55</f>
        <v>0</v>
      </c>
      <c r="Q60" s="283">
        <f>MCF!R59</f>
        <v>1</v>
      </c>
      <c r="R60" s="67">
        <f t="shared" si="13"/>
        <v>0</v>
      </c>
      <c r="S60" s="67">
        <f t="shared" si="7"/>
        <v>0</v>
      </c>
      <c r="T60" s="67">
        <f t="shared" si="8"/>
        <v>0</v>
      </c>
      <c r="U60" s="67">
        <f t="shared" si="9"/>
        <v>8.4436071162862625</v>
      </c>
      <c r="V60" s="67">
        <f t="shared" si="10"/>
        <v>0.61223059522707601</v>
      </c>
      <c r="W60" s="100">
        <f t="shared" si="11"/>
        <v>0.40815373015138401</v>
      </c>
    </row>
    <row r="61" spans="2:23">
      <c r="B61" s="96">
        <f>Amnt_Deposited!B56</f>
        <v>2042</v>
      </c>
      <c r="C61" s="99">
        <f>Amnt_Deposited!D56</f>
        <v>0</v>
      </c>
      <c r="D61" s="417">
        <f>Dry_Matter_Content!D48</f>
        <v>0.44</v>
      </c>
      <c r="E61" s="283">
        <f>MCF!R60</f>
        <v>1</v>
      </c>
      <c r="F61" s="67">
        <f t="shared" si="12"/>
        <v>0</v>
      </c>
      <c r="G61" s="67">
        <f t="shared" si="1"/>
        <v>0</v>
      </c>
      <c r="H61" s="67">
        <f t="shared" si="2"/>
        <v>0</v>
      </c>
      <c r="I61" s="67">
        <f t="shared" si="3"/>
        <v>3.8104192729825708</v>
      </c>
      <c r="J61" s="67">
        <f t="shared" si="4"/>
        <v>0.27628657129997986</v>
      </c>
      <c r="K61" s="100">
        <f t="shared" si="6"/>
        <v>0.18419104753331988</v>
      </c>
      <c r="O61" s="96">
        <f>Amnt_Deposited!B56</f>
        <v>2042</v>
      </c>
      <c r="P61" s="99">
        <f>Amnt_Deposited!D56</f>
        <v>0</v>
      </c>
      <c r="Q61" s="283">
        <f>MCF!R60</f>
        <v>1</v>
      </c>
      <c r="R61" s="67">
        <f t="shared" si="13"/>
        <v>0</v>
      </c>
      <c r="S61" s="67">
        <f t="shared" si="7"/>
        <v>0</v>
      </c>
      <c r="T61" s="67">
        <f t="shared" si="8"/>
        <v>0</v>
      </c>
      <c r="U61" s="67">
        <f t="shared" si="9"/>
        <v>7.8727670929391964</v>
      </c>
      <c r="V61" s="67">
        <f t="shared" si="10"/>
        <v>0.57084002334706585</v>
      </c>
      <c r="W61" s="100">
        <f t="shared" si="11"/>
        <v>0.38056001556471053</v>
      </c>
    </row>
    <row r="62" spans="2:23">
      <c r="B62" s="96">
        <f>Amnt_Deposited!B57</f>
        <v>2043</v>
      </c>
      <c r="C62" s="99">
        <f>Amnt_Deposited!D57</f>
        <v>0</v>
      </c>
      <c r="D62" s="417">
        <f>Dry_Matter_Content!D49</f>
        <v>0.44</v>
      </c>
      <c r="E62" s="283">
        <f>MCF!R61</f>
        <v>1</v>
      </c>
      <c r="F62" s="67">
        <f t="shared" si="12"/>
        <v>0</v>
      </c>
      <c r="G62" s="67">
        <f t="shared" si="1"/>
        <v>0</v>
      </c>
      <c r="H62" s="67">
        <f t="shared" si="2"/>
        <v>0</v>
      </c>
      <c r="I62" s="67">
        <f t="shared" si="3"/>
        <v>3.5528113813794655</v>
      </c>
      <c r="J62" s="67">
        <f t="shared" si="4"/>
        <v>0.25760789160310532</v>
      </c>
      <c r="K62" s="100">
        <f t="shared" si="6"/>
        <v>0.1717385944020702</v>
      </c>
      <c r="O62" s="96">
        <f>Amnt_Deposited!B57</f>
        <v>2043</v>
      </c>
      <c r="P62" s="99">
        <f>Amnt_Deposited!D57</f>
        <v>0</v>
      </c>
      <c r="Q62" s="283">
        <f>MCF!R61</f>
        <v>1</v>
      </c>
      <c r="R62" s="67">
        <f t="shared" si="13"/>
        <v>0</v>
      </c>
      <c r="S62" s="67">
        <f t="shared" si="7"/>
        <v>0</v>
      </c>
      <c r="T62" s="67">
        <f t="shared" si="8"/>
        <v>0</v>
      </c>
      <c r="U62" s="67">
        <f t="shared" si="9"/>
        <v>7.3405193830154252</v>
      </c>
      <c r="V62" s="67">
        <f t="shared" si="10"/>
        <v>0.53224770992377135</v>
      </c>
      <c r="W62" s="100">
        <f t="shared" si="11"/>
        <v>0.35483180661584757</v>
      </c>
    </row>
    <row r="63" spans="2:23">
      <c r="B63" s="96">
        <f>Amnt_Deposited!B58</f>
        <v>2044</v>
      </c>
      <c r="C63" s="99">
        <f>Amnt_Deposited!D58</f>
        <v>0</v>
      </c>
      <c r="D63" s="417">
        <f>Dry_Matter_Content!D50</f>
        <v>0.44</v>
      </c>
      <c r="E63" s="283">
        <f>MCF!R62</f>
        <v>1</v>
      </c>
      <c r="F63" s="67">
        <f t="shared" si="12"/>
        <v>0</v>
      </c>
      <c r="G63" s="67">
        <f t="shared" si="1"/>
        <v>0</v>
      </c>
      <c r="H63" s="67">
        <f t="shared" si="2"/>
        <v>0</v>
      </c>
      <c r="I63" s="67">
        <f t="shared" si="3"/>
        <v>3.3126193752897288</v>
      </c>
      <c r="J63" s="67">
        <f t="shared" si="4"/>
        <v>0.24019200608973684</v>
      </c>
      <c r="K63" s="100">
        <f t="shared" si="6"/>
        <v>0.16012800405982455</v>
      </c>
      <c r="O63" s="96">
        <f>Amnt_Deposited!B58</f>
        <v>2044</v>
      </c>
      <c r="P63" s="99">
        <f>Amnt_Deposited!D58</f>
        <v>0</v>
      </c>
      <c r="Q63" s="283">
        <f>MCF!R62</f>
        <v>1</v>
      </c>
      <c r="R63" s="67">
        <f t="shared" si="13"/>
        <v>0</v>
      </c>
      <c r="S63" s="67">
        <f t="shared" si="7"/>
        <v>0</v>
      </c>
      <c r="T63" s="67">
        <f t="shared" si="8"/>
        <v>0</v>
      </c>
      <c r="U63" s="67">
        <f t="shared" si="9"/>
        <v>6.8442549076234069</v>
      </c>
      <c r="V63" s="67">
        <f t="shared" si="10"/>
        <v>0.49626447539201829</v>
      </c>
      <c r="W63" s="100">
        <f t="shared" si="11"/>
        <v>0.33084298359467884</v>
      </c>
    </row>
    <row r="64" spans="2:23">
      <c r="B64" s="96">
        <f>Amnt_Deposited!B59</f>
        <v>2045</v>
      </c>
      <c r="C64" s="99">
        <f>Amnt_Deposited!D59</f>
        <v>0</v>
      </c>
      <c r="D64" s="417">
        <f>Dry_Matter_Content!D51</f>
        <v>0.44</v>
      </c>
      <c r="E64" s="283">
        <f>MCF!R63</f>
        <v>1</v>
      </c>
      <c r="F64" s="67">
        <f t="shared" si="12"/>
        <v>0</v>
      </c>
      <c r="G64" s="67">
        <f t="shared" si="1"/>
        <v>0</v>
      </c>
      <c r="H64" s="67">
        <f t="shared" si="2"/>
        <v>0</v>
      </c>
      <c r="I64" s="67">
        <f t="shared" si="3"/>
        <v>3.0886658332208463</v>
      </c>
      <c r="J64" s="67">
        <f t="shared" si="4"/>
        <v>0.22395354206888254</v>
      </c>
      <c r="K64" s="100">
        <f t="shared" si="6"/>
        <v>0.14930236137925501</v>
      </c>
      <c r="O64" s="96">
        <f>Amnt_Deposited!B59</f>
        <v>2045</v>
      </c>
      <c r="P64" s="99">
        <f>Amnt_Deposited!D59</f>
        <v>0</v>
      </c>
      <c r="Q64" s="283">
        <f>MCF!R63</f>
        <v>1</v>
      </c>
      <c r="R64" s="67">
        <f t="shared" si="13"/>
        <v>0</v>
      </c>
      <c r="S64" s="67">
        <f t="shared" si="7"/>
        <v>0</v>
      </c>
      <c r="T64" s="67">
        <f t="shared" si="8"/>
        <v>0</v>
      </c>
      <c r="U64" s="67">
        <f t="shared" si="9"/>
        <v>6.3815409777290215</v>
      </c>
      <c r="V64" s="67">
        <f t="shared" si="10"/>
        <v>0.46271392989438542</v>
      </c>
      <c r="W64" s="100">
        <f t="shared" si="11"/>
        <v>0.3084759532629236</v>
      </c>
    </row>
    <row r="65" spans="2:23">
      <c r="B65" s="96">
        <f>Amnt_Deposited!B60</f>
        <v>2046</v>
      </c>
      <c r="C65" s="99">
        <f>Amnt_Deposited!D60</f>
        <v>0</v>
      </c>
      <c r="D65" s="417">
        <f>Dry_Matter_Content!D52</f>
        <v>0.44</v>
      </c>
      <c r="E65" s="283">
        <f>MCF!R64</f>
        <v>1</v>
      </c>
      <c r="F65" s="67">
        <f t="shared" si="12"/>
        <v>0</v>
      </c>
      <c r="G65" s="67">
        <f t="shared" si="1"/>
        <v>0</v>
      </c>
      <c r="H65" s="67">
        <f t="shared" si="2"/>
        <v>0</v>
      </c>
      <c r="I65" s="67">
        <f t="shared" si="3"/>
        <v>2.8798529346497737</v>
      </c>
      <c r="J65" s="67">
        <f t="shared" si="4"/>
        <v>0.20881289857107288</v>
      </c>
      <c r="K65" s="100">
        <f t="shared" si="6"/>
        <v>0.13920859904738192</v>
      </c>
      <c r="O65" s="96">
        <f>Amnt_Deposited!B60</f>
        <v>2046</v>
      </c>
      <c r="P65" s="99">
        <f>Amnt_Deposited!D60</f>
        <v>0</v>
      </c>
      <c r="Q65" s="283">
        <f>MCF!R64</f>
        <v>1</v>
      </c>
      <c r="R65" s="67">
        <f t="shared" si="13"/>
        <v>0</v>
      </c>
      <c r="S65" s="67">
        <f t="shared" si="7"/>
        <v>0</v>
      </c>
      <c r="T65" s="67">
        <f t="shared" si="8"/>
        <v>0</v>
      </c>
      <c r="U65" s="67">
        <f t="shared" si="9"/>
        <v>5.950109369111102</v>
      </c>
      <c r="V65" s="67">
        <f t="shared" si="10"/>
        <v>0.43143160861791918</v>
      </c>
      <c r="W65" s="100">
        <f t="shared" si="11"/>
        <v>0.28762107241194612</v>
      </c>
    </row>
    <row r="66" spans="2:23">
      <c r="B66" s="96">
        <f>Amnt_Deposited!B61</f>
        <v>2047</v>
      </c>
      <c r="C66" s="99">
        <f>Amnt_Deposited!D61</f>
        <v>0</v>
      </c>
      <c r="D66" s="417">
        <f>Dry_Matter_Content!D53</f>
        <v>0.44</v>
      </c>
      <c r="E66" s="283">
        <f>MCF!R65</f>
        <v>1</v>
      </c>
      <c r="F66" s="67">
        <f t="shared" si="12"/>
        <v>0</v>
      </c>
      <c r="G66" s="67">
        <f t="shared" si="1"/>
        <v>0</v>
      </c>
      <c r="H66" s="67">
        <f t="shared" si="2"/>
        <v>0</v>
      </c>
      <c r="I66" s="67">
        <f t="shared" si="3"/>
        <v>2.6851570785054575</v>
      </c>
      <c r="J66" s="67">
        <f t="shared" si="4"/>
        <v>0.19469585614431598</v>
      </c>
      <c r="K66" s="100">
        <f t="shared" si="6"/>
        <v>0.12979723742954397</v>
      </c>
      <c r="O66" s="96">
        <f>Amnt_Deposited!B61</f>
        <v>2047</v>
      </c>
      <c r="P66" s="99">
        <f>Amnt_Deposited!D61</f>
        <v>0</v>
      </c>
      <c r="Q66" s="283">
        <f>MCF!R65</f>
        <v>1</v>
      </c>
      <c r="R66" s="67">
        <f t="shared" si="13"/>
        <v>0</v>
      </c>
      <c r="S66" s="67">
        <f t="shared" si="7"/>
        <v>0</v>
      </c>
      <c r="T66" s="67">
        <f t="shared" si="8"/>
        <v>0</v>
      </c>
      <c r="U66" s="67">
        <f t="shared" si="9"/>
        <v>5.5478452035236723</v>
      </c>
      <c r="V66" s="67">
        <f t="shared" si="10"/>
        <v>0.40226416558742967</v>
      </c>
      <c r="W66" s="100">
        <f t="shared" si="11"/>
        <v>0.26817611039161976</v>
      </c>
    </row>
    <row r="67" spans="2:23">
      <c r="B67" s="96">
        <f>Amnt_Deposited!B62</f>
        <v>2048</v>
      </c>
      <c r="C67" s="99">
        <f>Amnt_Deposited!D62</f>
        <v>0</v>
      </c>
      <c r="D67" s="417">
        <f>Dry_Matter_Content!D54</f>
        <v>0.44</v>
      </c>
      <c r="E67" s="283">
        <f>MCF!R66</f>
        <v>1</v>
      </c>
      <c r="F67" s="67">
        <f t="shared" si="12"/>
        <v>0</v>
      </c>
      <c r="G67" s="67">
        <f t="shared" si="1"/>
        <v>0</v>
      </c>
      <c r="H67" s="67">
        <f t="shared" si="2"/>
        <v>0</v>
      </c>
      <c r="I67" s="67">
        <f t="shared" si="3"/>
        <v>2.5036238654751997</v>
      </c>
      <c r="J67" s="67">
        <f t="shared" si="4"/>
        <v>0.18153321303025774</v>
      </c>
      <c r="K67" s="100">
        <f t="shared" si="6"/>
        <v>0.12102214202017182</v>
      </c>
      <c r="O67" s="96">
        <f>Amnt_Deposited!B62</f>
        <v>2048</v>
      </c>
      <c r="P67" s="99">
        <f>Amnt_Deposited!D62</f>
        <v>0</v>
      </c>
      <c r="Q67" s="283">
        <f>MCF!R66</f>
        <v>1</v>
      </c>
      <c r="R67" s="67">
        <f t="shared" si="13"/>
        <v>0</v>
      </c>
      <c r="S67" s="67">
        <f t="shared" si="7"/>
        <v>0</v>
      </c>
      <c r="T67" s="67">
        <f t="shared" si="8"/>
        <v>0</v>
      </c>
      <c r="U67" s="67">
        <f t="shared" si="9"/>
        <v>5.1727765815603295</v>
      </c>
      <c r="V67" s="67">
        <f t="shared" si="10"/>
        <v>0.37506862196334245</v>
      </c>
      <c r="W67" s="100">
        <f t="shared" si="11"/>
        <v>0.25004574797556162</v>
      </c>
    </row>
    <row r="68" spans="2:23">
      <c r="B68" s="96">
        <f>Amnt_Deposited!B63</f>
        <v>2049</v>
      </c>
      <c r="C68" s="99">
        <f>Amnt_Deposited!D63</f>
        <v>0</v>
      </c>
      <c r="D68" s="417">
        <f>Dry_Matter_Content!D55</f>
        <v>0.44</v>
      </c>
      <c r="E68" s="283">
        <f>MCF!R67</f>
        <v>1</v>
      </c>
      <c r="F68" s="67">
        <f t="shared" si="12"/>
        <v>0</v>
      </c>
      <c r="G68" s="67">
        <f t="shared" si="1"/>
        <v>0</v>
      </c>
      <c r="H68" s="67">
        <f t="shared" si="2"/>
        <v>0</v>
      </c>
      <c r="I68" s="67">
        <f t="shared" si="3"/>
        <v>2.3343634195381173</v>
      </c>
      <c r="J68" s="67">
        <f t="shared" si="4"/>
        <v>0.16926044593708228</v>
      </c>
      <c r="K68" s="100">
        <f t="shared" si="6"/>
        <v>0.11284029729138818</v>
      </c>
      <c r="O68" s="96">
        <f>Amnt_Deposited!B63</f>
        <v>2049</v>
      </c>
      <c r="P68" s="99">
        <f>Amnt_Deposited!D63</f>
        <v>0</v>
      </c>
      <c r="Q68" s="283">
        <f>MCF!R67</f>
        <v>1</v>
      </c>
      <c r="R68" s="67">
        <f t="shared" si="13"/>
        <v>0</v>
      </c>
      <c r="S68" s="67">
        <f t="shared" si="7"/>
        <v>0</v>
      </c>
      <c r="T68" s="67">
        <f t="shared" si="8"/>
        <v>0</v>
      </c>
      <c r="U68" s="67">
        <f t="shared" si="9"/>
        <v>4.8230649164010684</v>
      </c>
      <c r="V68" s="67">
        <f t="shared" si="10"/>
        <v>0.34971166515926089</v>
      </c>
      <c r="W68" s="100">
        <f t="shared" si="11"/>
        <v>0.23314111010617392</v>
      </c>
    </row>
    <row r="69" spans="2:23">
      <c r="B69" s="96">
        <f>Amnt_Deposited!B64</f>
        <v>2050</v>
      </c>
      <c r="C69" s="99">
        <f>Amnt_Deposited!D64</f>
        <v>0</v>
      </c>
      <c r="D69" s="417">
        <f>Dry_Matter_Content!D56</f>
        <v>0.44</v>
      </c>
      <c r="E69" s="283">
        <f>MCF!R68</f>
        <v>1</v>
      </c>
      <c r="F69" s="67">
        <f t="shared" si="12"/>
        <v>0</v>
      </c>
      <c r="G69" s="67">
        <f t="shared" si="1"/>
        <v>0</v>
      </c>
      <c r="H69" s="67">
        <f t="shared" si="2"/>
        <v>0</v>
      </c>
      <c r="I69" s="67">
        <f t="shared" si="3"/>
        <v>2.1765460257918567</v>
      </c>
      <c r="J69" s="67">
        <f t="shared" si="4"/>
        <v>0.15781739374626039</v>
      </c>
      <c r="K69" s="100">
        <f t="shared" si="6"/>
        <v>0.10521159583084025</v>
      </c>
      <c r="O69" s="96">
        <f>Amnt_Deposited!B64</f>
        <v>2050</v>
      </c>
      <c r="P69" s="99">
        <f>Amnt_Deposited!D64</f>
        <v>0</v>
      </c>
      <c r="Q69" s="283">
        <f>MCF!R68</f>
        <v>1</v>
      </c>
      <c r="R69" s="67">
        <f t="shared" si="13"/>
        <v>0</v>
      </c>
      <c r="S69" s="67">
        <f t="shared" si="7"/>
        <v>0</v>
      </c>
      <c r="T69" s="67">
        <f t="shared" si="8"/>
        <v>0</v>
      </c>
      <c r="U69" s="67">
        <f t="shared" si="9"/>
        <v>4.4969959210575556</v>
      </c>
      <c r="V69" s="67">
        <f t="shared" si="10"/>
        <v>0.32606899534351319</v>
      </c>
      <c r="W69" s="100">
        <f t="shared" si="11"/>
        <v>0.21737933022900879</v>
      </c>
    </row>
    <row r="70" spans="2:23">
      <c r="B70" s="96">
        <f>Amnt_Deposited!B65</f>
        <v>2051</v>
      </c>
      <c r="C70" s="99">
        <f>Amnt_Deposited!D65</f>
        <v>0</v>
      </c>
      <c r="D70" s="417">
        <f>Dry_Matter_Content!D57</f>
        <v>0.44</v>
      </c>
      <c r="E70" s="283">
        <f>MCF!R69</f>
        <v>1</v>
      </c>
      <c r="F70" s="67">
        <f t="shared" si="12"/>
        <v>0</v>
      </c>
      <c r="G70" s="67">
        <f t="shared" si="1"/>
        <v>0</v>
      </c>
      <c r="H70" s="67">
        <f t="shared" si="2"/>
        <v>0</v>
      </c>
      <c r="I70" s="67">
        <f t="shared" si="3"/>
        <v>2.0293980631891797</v>
      </c>
      <c r="J70" s="67">
        <f t="shared" si="4"/>
        <v>0.14714796260267682</v>
      </c>
      <c r="K70" s="100">
        <f t="shared" si="6"/>
        <v>9.809864173511787E-2</v>
      </c>
      <c r="O70" s="96">
        <f>Amnt_Deposited!B65</f>
        <v>2051</v>
      </c>
      <c r="P70" s="99">
        <f>Amnt_Deposited!D65</f>
        <v>0</v>
      </c>
      <c r="Q70" s="283">
        <f>MCF!R69</f>
        <v>1</v>
      </c>
      <c r="R70" s="67">
        <f t="shared" si="13"/>
        <v>0</v>
      </c>
      <c r="S70" s="67">
        <f t="shared" si="7"/>
        <v>0</v>
      </c>
      <c r="T70" s="67">
        <f t="shared" si="8"/>
        <v>0</v>
      </c>
      <c r="U70" s="67">
        <f t="shared" si="9"/>
        <v>4.1929712049363221</v>
      </c>
      <c r="V70" s="67">
        <f t="shared" si="10"/>
        <v>0.30402471612123311</v>
      </c>
      <c r="W70" s="100">
        <f t="shared" si="11"/>
        <v>0.20268314408082205</v>
      </c>
    </row>
    <row r="71" spans="2:23">
      <c r="B71" s="96">
        <f>Amnt_Deposited!B66</f>
        <v>2052</v>
      </c>
      <c r="C71" s="99">
        <f>Amnt_Deposited!D66</f>
        <v>0</v>
      </c>
      <c r="D71" s="417">
        <f>Dry_Matter_Content!D58</f>
        <v>0.44</v>
      </c>
      <c r="E71" s="283">
        <f>MCF!R70</f>
        <v>1</v>
      </c>
      <c r="F71" s="67">
        <f t="shared" si="12"/>
        <v>0</v>
      </c>
      <c r="G71" s="67">
        <f t="shared" si="1"/>
        <v>0</v>
      </c>
      <c r="H71" s="67">
        <f t="shared" si="2"/>
        <v>0</v>
      </c>
      <c r="I71" s="67">
        <f t="shared" si="3"/>
        <v>1.8921982122466923</v>
      </c>
      <c r="J71" s="67">
        <f t="shared" si="4"/>
        <v>0.13719985094248746</v>
      </c>
      <c r="K71" s="100">
        <f t="shared" si="6"/>
        <v>9.1466567294991641E-2</v>
      </c>
      <c r="O71" s="96">
        <f>Amnt_Deposited!B66</f>
        <v>2052</v>
      </c>
      <c r="P71" s="99">
        <f>Amnt_Deposited!D66</f>
        <v>0</v>
      </c>
      <c r="Q71" s="283">
        <f>MCF!R70</f>
        <v>1</v>
      </c>
      <c r="R71" s="67">
        <f t="shared" si="13"/>
        <v>0</v>
      </c>
      <c r="S71" s="67">
        <f t="shared" si="7"/>
        <v>0</v>
      </c>
      <c r="T71" s="67">
        <f t="shared" si="8"/>
        <v>0</v>
      </c>
      <c r="U71" s="67">
        <f t="shared" si="9"/>
        <v>3.9095004385262242</v>
      </c>
      <c r="V71" s="67">
        <f t="shared" si="10"/>
        <v>0.28347076641009805</v>
      </c>
      <c r="W71" s="100">
        <f t="shared" si="11"/>
        <v>0.18898051094006535</v>
      </c>
    </row>
    <row r="72" spans="2:23">
      <c r="B72" s="96">
        <f>Amnt_Deposited!B67</f>
        <v>2053</v>
      </c>
      <c r="C72" s="99">
        <f>Amnt_Deposited!D67</f>
        <v>0</v>
      </c>
      <c r="D72" s="417">
        <f>Dry_Matter_Content!D59</f>
        <v>0.44</v>
      </c>
      <c r="E72" s="283">
        <f>MCF!R71</f>
        <v>1</v>
      </c>
      <c r="F72" s="67">
        <f t="shared" si="12"/>
        <v>0</v>
      </c>
      <c r="G72" s="67">
        <f t="shared" si="1"/>
        <v>0</v>
      </c>
      <c r="H72" s="67">
        <f t="shared" si="2"/>
        <v>0</v>
      </c>
      <c r="I72" s="67">
        <f t="shared" si="3"/>
        <v>1.7642739191358996</v>
      </c>
      <c r="J72" s="67">
        <f t="shared" si="4"/>
        <v>0.12792429311079259</v>
      </c>
      <c r="K72" s="100">
        <f t="shared" si="6"/>
        <v>8.5282862073861723E-2</v>
      </c>
      <c r="O72" s="96">
        <f>Amnt_Deposited!B67</f>
        <v>2053</v>
      </c>
      <c r="P72" s="99">
        <f>Amnt_Deposited!D67</f>
        <v>0</v>
      </c>
      <c r="Q72" s="283">
        <f>MCF!R71</f>
        <v>1</v>
      </c>
      <c r="R72" s="67">
        <f t="shared" si="13"/>
        <v>0</v>
      </c>
      <c r="S72" s="67">
        <f t="shared" si="7"/>
        <v>0</v>
      </c>
      <c r="T72" s="67">
        <f t="shared" si="8"/>
        <v>0</v>
      </c>
      <c r="U72" s="67">
        <f t="shared" si="9"/>
        <v>3.645194047801446</v>
      </c>
      <c r="V72" s="67">
        <f t="shared" si="10"/>
        <v>0.26430639072477813</v>
      </c>
      <c r="W72" s="100">
        <f t="shared" si="11"/>
        <v>0.17620426048318541</v>
      </c>
    </row>
    <row r="73" spans="2:23">
      <c r="B73" s="96">
        <f>Amnt_Deposited!B68</f>
        <v>2054</v>
      </c>
      <c r="C73" s="99">
        <f>Amnt_Deposited!D68</f>
        <v>0</v>
      </c>
      <c r="D73" s="417">
        <f>Dry_Matter_Content!D60</f>
        <v>0.44</v>
      </c>
      <c r="E73" s="283">
        <f>MCF!R72</f>
        <v>1</v>
      </c>
      <c r="F73" s="67">
        <f t="shared" si="12"/>
        <v>0</v>
      </c>
      <c r="G73" s="67">
        <f t="shared" si="1"/>
        <v>0</v>
      </c>
      <c r="H73" s="67">
        <f t="shared" si="2"/>
        <v>0</v>
      </c>
      <c r="I73" s="67">
        <f t="shared" si="3"/>
        <v>1.6449980988235595</v>
      </c>
      <c r="J73" s="67">
        <f t="shared" si="4"/>
        <v>0.11927582031234008</v>
      </c>
      <c r="K73" s="100">
        <f t="shared" si="6"/>
        <v>7.951721354156005E-2</v>
      </c>
      <c r="O73" s="96">
        <f>Amnt_Deposited!B68</f>
        <v>2054</v>
      </c>
      <c r="P73" s="99">
        <f>Amnt_Deposited!D68</f>
        <v>0</v>
      </c>
      <c r="Q73" s="283">
        <f>MCF!R72</f>
        <v>1</v>
      </c>
      <c r="R73" s="67">
        <f t="shared" si="13"/>
        <v>0</v>
      </c>
      <c r="S73" s="67">
        <f t="shared" si="7"/>
        <v>0</v>
      </c>
      <c r="T73" s="67">
        <f t="shared" si="8"/>
        <v>0</v>
      </c>
      <c r="U73" s="67">
        <f t="shared" si="9"/>
        <v>3.3987564025280159</v>
      </c>
      <c r="V73" s="67">
        <f t="shared" si="10"/>
        <v>0.24643764527342996</v>
      </c>
      <c r="W73" s="100">
        <f t="shared" si="11"/>
        <v>0.16429176351561997</v>
      </c>
    </row>
    <row r="74" spans="2:23">
      <c r="B74" s="96">
        <f>Amnt_Deposited!B69</f>
        <v>2055</v>
      </c>
      <c r="C74" s="99">
        <f>Amnt_Deposited!D69</f>
        <v>0</v>
      </c>
      <c r="D74" s="417">
        <f>Dry_Matter_Content!D61</f>
        <v>0.44</v>
      </c>
      <c r="E74" s="283">
        <f>MCF!R73</f>
        <v>1</v>
      </c>
      <c r="F74" s="67">
        <f t="shared" si="12"/>
        <v>0</v>
      </c>
      <c r="G74" s="67">
        <f t="shared" si="1"/>
        <v>0</v>
      </c>
      <c r="H74" s="67">
        <f t="shared" si="2"/>
        <v>0</v>
      </c>
      <c r="I74" s="67">
        <f t="shared" si="3"/>
        <v>1.5337860611001213</v>
      </c>
      <c r="J74" s="67">
        <f t="shared" si="4"/>
        <v>0.11121203772343827</v>
      </c>
      <c r="K74" s="100">
        <f t="shared" si="6"/>
        <v>7.4141358482292169E-2</v>
      </c>
      <c r="O74" s="96">
        <f>Amnt_Deposited!B69</f>
        <v>2055</v>
      </c>
      <c r="P74" s="99">
        <f>Amnt_Deposited!D69</f>
        <v>0</v>
      </c>
      <c r="Q74" s="283">
        <f>MCF!R73</f>
        <v>1</v>
      </c>
      <c r="R74" s="67">
        <f t="shared" si="13"/>
        <v>0</v>
      </c>
      <c r="S74" s="67">
        <f t="shared" si="7"/>
        <v>0</v>
      </c>
      <c r="T74" s="67">
        <f t="shared" si="8"/>
        <v>0</v>
      </c>
      <c r="U74" s="67">
        <f t="shared" si="9"/>
        <v>3.1689794650828955</v>
      </c>
      <c r="V74" s="67">
        <f t="shared" si="10"/>
        <v>0.2297769374451204</v>
      </c>
      <c r="W74" s="100">
        <f t="shared" si="11"/>
        <v>0.15318462496341359</v>
      </c>
    </row>
    <row r="75" spans="2:23">
      <c r="B75" s="96">
        <f>Amnt_Deposited!B70</f>
        <v>2056</v>
      </c>
      <c r="C75" s="99">
        <f>Amnt_Deposited!D70</f>
        <v>0</v>
      </c>
      <c r="D75" s="417">
        <f>Dry_Matter_Content!D62</f>
        <v>0.44</v>
      </c>
      <c r="E75" s="283">
        <f>MCF!R74</f>
        <v>1</v>
      </c>
      <c r="F75" s="67">
        <f t="shared" si="12"/>
        <v>0</v>
      </c>
      <c r="G75" s="67">
        <f t="shared" si="1"/>
        <v>0</v>
      </c>
      <c r="H75" s="67">
        <f t="shared" si="2"/>
        <v>0</v>
      </c>
      <c r="I75" s="67">
        <f t="shared" si="3"/>
        <v>1.4300926444276403</v>
      </c>
      <c r="J75" s="67">
        <f t="shared" si="4"/>
        <v>0.10369341667248103</v>
      </c>
      <c r="K75" s="100">
        <f t="shared" si="6"/>
        <v>6.9128944448320684E-2</v>
      </c>
      <c r="O75" s="96">
        <f>Amnt_Deposited!B70</f>
        <v>2056</v>
      </c>
      <c r="P75" s="99">
        <f>Amnt_Deposited!D70</f>
        <v>0</v>
      </c>
      <c r="Q75" s="283">
        <f>MCF!R74</f>
        <v>1</v>
      </c>
      <c r="R75" s="67">
        <f t="shared" si="13"/>
        <v>0</v>
      </c>
      <c r="S75" s="67">
        <f t="shared" si="7"/>
        <v>0</v>
      </c>
      <c r="T75" s="67">
        <f t="shared" si="8"/>
        <v>0</v>
      </c>
      <c r="U75" s="67">
        <f t="shared" si="9"/>
        <v>2.9547368686521498</v>
      </c>
      <c r="V75" s="67">
        <f t="shared" si="10"/>
        <v>0.21424259643074595</v>
      </c>
      <c r="W75" s="100">
        <f t="shared" si="11"/>
        <v>0.14282839762049729</v>
      </c>
    </row>
    <row r="76" spans="2:23">
      <c r="B76" s="96">
        <f>Amnt_Deposited!B71</f>
        <v>2057</v>
      </c>
      <c r="C76" s="99">
        <f>Amnt_Deposited!D71</f>
        <v>0</v>
      </c>
      <c r="D76" s="417">
        <f>Dry_Matter_Content!D63</f>
        <v>0.44</v>
      </c>
      <c r="E76" s="283">
        <f>MCF!R75</f>
        <v>1</v>
      </c>
      <c r="F76" s="67">
        <f t="shared" si="12"/>
        <v>0</v>
      </c>
      <c r="G76" s="67">
        <f t="shared" si="1"/>
        <v>0</v>
      </c>
      <c r="H76" s="67">
        <f t="shared" si="2"/>
        <v>0</v>
      </c>
      <c r="I76" s="67">
        <f t="shared" si="3"/>
        <v>1.3334095435572866</v>
      </c>
      <c r="J76" s="67">
        <f t="shared" si="4"/>
        <v>9.6683100870353728E-2</v>
      </c>
      <c r="K76" s="100">
        <f t="shared" si="6"/>
        <v>6.4455400580235814E-2</v>
      </c>
      <c r="O76" s="96">
        <f>Amnt_Deposited!B71</f>
        <v>2057</v>
      </c>
      <c r="P76" s="99">
        <f>Amnt_Deposited!D71</f>
        <v>0</v>
      </c>
      <c r="Q76" s="283">
        <f>MCF!R75</f>
        <v>1</v>
      </c>
      <c r="R76" s="67">
        <f t="shared" si="13"/>
        <v>0</v>
      </c>
      <c r="S76" s="67">
        <f t="shared" si="7"/>
        <v>0</v>
      </c>
      <c r="T76" s="67">
        <f t="shared" si="8"/>
        <v>0</v>
      </c>
      <c r="U76" s="67">
        <f t="shared" si="9"/>
        <v>2.754978395779518</v>
      </c>
      <c r="V76" s="67">
        <f t="shared" si="10"/>
        <v>0.19975847287263171</v>
      </c>
      <c r="W76" s="100">
        <f t="shared" si="11"/>
        <v>0.13317231524842113</v>
      </c>
    </row>
    <row r="77" spans="2:23">
      <c r="B77" s="96">
        <f>Amnt_Deposited!B72</f>
        <v>2058</v>
      </c>
      <c r="C77" s="99">
        <f>Amnt_Deposited!D72</f>
        <v>0</v>
      </c>
      <c r="D77" s="417">
        <f>Dry_Matter_Content!D64</f>
        <v>0.44</v>
      </c>
      <c r="E77" s="283">
        <f>MCF!R76</f>
        <v>1</v>
      </c>
      <c r="F77" s="67">
        <f t="shared" si="12"/>
        <v>0</v>
      </c>
      <c r="G77" s="67">
        <f t="shared" si="1"/>
        <v>0</v>
      </c>
      <c r="H77" s="67">
        <f t="shared" si="2"/>
        <v>0</v>
      </c>
      <c r="I77" s="67">
        <f t="shared" si="3"/>
        <v>1.2432628178164253</v>
      </c>
      <c r="J77" s="67">
        <f t="shared" si="4"/>
        <v>9.014672574086123E-2</v>
      </c>
      <c r="K77" s="100">
        <f t="shared" si="6"/>
        <v>6.0097817160574149E-2</v>
      </c>
      <c r="O77" s="96">
        <f>Amnt_Deposited!B72</f>
        <v>2058</v>
      </c>
      <c r="P77" s="99">
        <f>Amnt_Deposited!D72</f>
        <v>0</v>
      </c>
      <c r="Q77" s="283">
        <f>MCF!R76</f>
        <v>1</v>
      </c>
      <c r="R77" s="67">
        <f t="shared" si="13"/>
        <v>0</v>
      </c>
      <c r="S77" s="67">
        <f t="shared" si="7"/>
        <v>0</v>
      </c>
      <c r="T77" s="67">
        <f t="shared" si="8"/>
        <v>0</v>
      </c>
      <c r="U77" s="67">
        <f t="shared" si="9"/>
        <v>2.5687248301992263</v>
      </c>
      <c r="V77" s="67">
        <f t="shared" si="10"/>
        <v>0.1862535655802918</v>
      </c>
      <c r="W77" s="100">
        <f t="shared" si="11"/>
        <v>0.12416904372019452</v>
      </c>
    </row>
    <row r="78" spans="2:23">
      <c r="B78" s="96">
        <f>Amnt_Deposited!B73</f>
        <v>2059</v>
      </c>
      <c r="C78" s="99">
        <f>Amnt_Deposited!D73</f>
        <v>0</v>
      </c>
      <c r="D78" s="417">
        <f>Dry_Matter_Content!D65</f>
        <v>0.44</v>
      </c>
      <c r="E78" s="283">
        <f>MCF!R77</f>
        <v>1</v>
      </c>
      <c r="F78" s="67">
        <f t="shared" si="12"/>
        <v>0</v>
      </c>
      <c r="G78" s="67">
        <f t="shared" si="1"/>
        <v>0</v>
      </c>
      <c r="H78" s="67">
        <f t="shared" si="2"/>
        <v>0</v>
      </c>
      <c r="I78" s="67">
        <f t="shared" si="3"/>
        <v>1.1592105678508899</v>
      </c>
      <c r="J78" s="67">
        <f t="shared" si="4"/>
        <v>8.4052249965535467E-2</v>
      </c>
      <c r="K78" s="100">
        <f t="shared" si="6"/>
        <v>5.6034833310356975E-2</v>
      </c>
      <c r="O78" s="96">
        <f>Amnt_Deposited!B73</f>
        <v>2059</v>
      </c>
      <c r="P78" s="99">
        <f>Amnt_Deposited!D73</f>
        <v>0</v>
      </c>
      <c r="Q78" s="283">
        <f>MCF!R77</f>
        <v>1</v>
      </c>
      <c r="R78" s="67">
        <f t="shared" si="13"/>
        <v>0</v>
      </c>
      <c r="S78" s="67">
        <f t="shared" si="7"/>
        <v>0</v>
      </c>
      <c r="T78" s="67">
        <f t="shared" si="8"/>
        <v>0</v>
      </c>
      <c r="U78" s="67">
        <f t="shared" si="9"/>
        <v>2.3950631567167151</v>
      </c>
      <c r="V78" s="67">
        <f t="shared" si="10"/>
        <v>0.17366167348251133</v>
      </c>
      <c r="W78" s="100">
        <f t="shared" si="11"/>
        <v>0.11577444898834088</v>
      </c>
    </row>
    <row r="79" spans="2:23">
      <c r="B79" s="96">
        <f>Amnt_Deposited!B74</f>
        <v>2060</v>
      </c>
      <c r="C79" s="99">
        <f>Amnt_Deposited!D74</f>
        <v>0</v>
      </c>
      <c r="D79" s="417">
        <f>Dry_Matter_Content!D66</f>
        <v>0.44</v>
      </c>
      <c r="E79" s="283">
        <f>MCF!R78</f>
        <v>1</v>
      </c>
      <c r="F79" s="67">
        <f t="shared" si="12"/>
        <v>0</v>
      </c>
      <c r="G79" s="67">
        <f t="shared" si="1"/>
        <v>0</v>
      </c>
      <c r="H79" s="67">
        <f t="shared" si="2"/>
        <v>0</v>
      </c>
      <c r="I79" s="67">
        <f t="shared" si="3"/>
        <v>1.0808407694338347</v>
      </c>
      <c r="J79" s="67">
        <f t="shared" si="4"/>
        <v>7.8369798417055228E-2</v>
      </c>
      <c r="K79" s="100">
        <f t="shared" si="6"/>
        <v>5.2246532278036814E-2</v>
      </c>
      <c r="O79" s="96">
        <f>Amnt_Deposited!B74</f>
        <v>2060</v>
      </c>
      <c r="P79" s="99">
        <f>Amnt_Deposited!D74</f>
        <v>0</v>
      </c>
      <c r="Q79" s="283">
        <f>MCF!R78</f>
        <v>1</v>
      </c>
      <c r="R79" s="67">
        <f t="shared" si="13"/>
        <v>0</v>
      </c>
      <c r="S79" s="67">
        <f t="shared" si="7"/>
        <v>0</v>
      </c>
      <c r="T79" s="67">
        <f t="shared" si="8"/>
        <v>0</v>
      </c>
      <c r="U79" s="67">
        <f t="shared" si="9"/>
        <v>2.2331420856070969</v>
      </c>
      <c r="V79" s="67">
        <f t="shared" si="10"/>
        <v>0.16192107110961829</v>
      </c>
      <c r="W79" s="100">
        <f t="shared" si="11"/>
        <v>0.10794738073974552</v>
      </c>
    </row>
    <row r="80" spans="2:23">
      <c r="B80" s="96">
        <f>Amnt_Deposited!B75</f>
        <v>2061</v>
      </c>
      <c r="C80" s="99">
        <f>Amnt_Deposited!D75</f>
        <v>0</v>
      </c>
      <c r="D80" s="417">
        <f>Dry_Matter_Content!D67</f>
        <v>0.44</v>
      </c>
      <c r="E80" s="283">
        <f>MCF!R79</f>
        <v>1</v>
      </c>
      <c r="F80" s="67">
        <f t="shared" si="12"/>
        <v>0</v>
      </c>
      <c r="G80" s="67">
        <f t="shared" si="1"/>
        <v>0</v>
      </c>
      <c r="H80" s="67">
        <f t="shared" si="2"/>
        <v>0</v>
      </c>
      <c r="I80" s="67">
        <f t="shared" si="3"/>
        <v>1.0077692537224974</v>
      </c>
      <c r="J80" s="67">
        <f t="shared" si="4"/>
        <v>7.307151571133727E-2</v>
      </c>
      <c r="K80" s="100">
        <f t="shared" si="6"/>
        <v>4.871434380755818E-2</v>
      </c>
      <c r="O80" s="96">
        <f>Amnt_Deposited!B75</f>
        <v>2061</v>
      </c>
      <c r="P80" s="99">
        <f>Amnt_Deposited!D75</f>
        <v>0</v>
      </c>
      <c r="Q80" s="283">
        <f>MCF!R79</f>
        <v>1</v>
      </c>
      <c r="R80" s="67">
        <f t="shared" si="13"/>
        <v>0</v>
      </c>
      <c r="S80" s="67">
        <f t="shared" si="7"/>
        <v>0</v>
      </c>
      <c r="T80" s="67">
        <f t="shared" si="8"/>
        <v>0</v>
      </c>
      <c r="U80" s="67">
        <f t="shared" si="9"/>
        <v>2.0821678795919372</v>
      </c>
      <c r="V80" s="67">
        <f t="shared" si="10"/>
        <v>0.15097420601515968</v>
      </c>
      <c r="W80" s="100">
        <f t="shared" si="11"/>
        <v>0.10064947067677311</v>
      </c>
    </row>
    <row r="81" spans="2:23">
      <c r="B81" s="96">
        <f>Amnt_Deposited!B76</f>
        <v>2062</v>
      </c>
      <c r="C81" s="99">
        <f>Amnt_Deposited!D76</f>
        <v>0</v>
      </c>
      <c r="D81" s="417">
        <f>Dry_Matter_Content!D68</f>
        <v>0.44</v>
      </c>
      <c r="E81" s="283">
        <f>MCF!R80</f>
        <v>1</v>
      </c>
      <c r="F81" s="67">
        <f t="shared" si="12"/>
        <v>0</v>
      </c>
      <c r="G81" s="67">
        <f t="shared" si="1"/>
        <v>0</v>
      </c>
      <c r="H81" s="67">
        <f t="shared" si="2"/>
        <v>0</v>
      </c>
      <c r="I81" s="67">
        <f t="shared" si="3"/>
        <v>0.93963782406208607</v>
      </c>
      <c r="J81" s="67">
        <f t="shared" si="4"/>
        <v>6.8131429660411261E-2</v>
      </c>
      <c r="K81" s="100">
        <f t="shared" si="6"/>
        <v>4.5420953106940838E-2</v>
      </c>
      <c r="O81" s="96">
        <f>Amnt_Deposited!B76</f>
        <v>2062</v>
      </c>
      <c r="P81" s="99">
        <f>Amnt_Deposited!D76</f>
        <v>0</v>
      </c>
      <c r="Q81" s="283">
        <f>MCF!R80</f>
        <v>1</v>
      </c>
      <c r="R81" s="67">
        <f t="shared" si="13"/>
        <v>0</v>
      </c>
      <c r="S81" s="67">
        <f t="shared" si="7"/>
        <v>0</v>
      </c>
      <c r="T81" s="67">
        <f t="shared" si="8"/>
        <v>0</v>
      </c>
      <c r="U81" s="67">
        <f t="shared" si="9"/>
        <v>1.9414004629381949</v>
      </c>
      <c r="V81" s="67">
        <f t="shared" si="10"/>
        <v>0.14076741665374232</v>
      </c>
      <c r="W81" s="100">
        <f t="shared" si="11"/>
        <v>9.3844944435828206E-2</v>
      </c>
    </row>
    <row r="82" spans="2:23">
      <c r="B82" s="96">
        <f>Amnt_Deposited!B77</f>
        <v>2063</v>
      </c>
      <c r="C82" s="99">
        <f>Amnt_Deposited!D77</f>
        <v>0</v>
      </c>
      <c r="D82" s="417">
        <f>Dry_Matter_Content!D69</f>
        <v>0.44</v>
      </c>
      <c r="E82" s="283">
        <f>MCF!R81</f>
        <v>1</v>
      </c>
      <c r="F82" s="67">
        <f t="shared" si="12"/>
        <v>0</v>
      </c>
      <c r="G82" s="67">
        <f t="shared" si="1"/>
        <v>0</v>
      </c>
      <c r="H82" s="67">
        <f t="shared" si="2"/>
        <v>0</v>
      </c>
      <c r="I82" s="67">
        <f t="shared" si="3"/>
        <v>0.87611250010536179</v>
      </c>
      <c r="J82" s="67">
        <f t="shared" si="4"/>
        <v>6.3525323956724278E-2</v>
      </c>
      <c r="K82" s="100">
        <f t="shared" si="6"/>
        <v>4.2350215971149519E-2</v>
      </c>
      <c r="O82" s="96">
        <f>Amnt_Deposited!B77</f>
        <v>2063</v>
      </c>
      <c r="P82" s="99">
        <f>Amnt_Deposited!D77</f>
        <v>0</v>
      </c>
      <c r="Q82" s="283">
        <f>MCF!R81</f>
        <v>1</v>
      </c>
      <c r="R82" s="67">
        <f t="shared" si="13"/>
        <v>0</v>
      </c>
      <c r="S82" s="67">
        <f t="shared" si="7"/>
        <v>0</v>
      </c>
      <c r="T82" s="67">
        <f t="shared" si="8"/>
        <v>0</v>
      </c>
      <c r="U82" s="67">
        <f t="shared" si="9"/>
        <v>1.8101497936061199</v>
      </c>
      <c r="V82" s="67">
        <f t="shared" si="10"/>
        <v>0.13125066933207499</v>
      </c>
      <c r="W82" s="100">
        <f t="shared" si="11"/>
        <v>8.7500446221383324E-2</v>
      </c>
    </row>
    <row r="83" spans="2:23">
      <c r="B83" s="96">
        <f>Amnt_Deposited!B78</f>
        <v>2064</v>
      </c>
      <c r="C83" s="99">
        <f>Amnt_Deposited!D78</f>
        <v>0</v>
      </c>
      <c r="D83" s="417">
        <f>Dry_Matter_Content!D70</f>
        <v>0.44</v>
      </c>
      <c r="E83" s="283">
        <f>MCF!R82</f>
        <v>1</v>
      </c>
      <c r="F83" s="67">
        <f t="shared" ref="F83:F99" si="14">C83*D83*$K$6*DOCF*E83</f>
        <v>0</v>
      </c>
      <c r="G83" s="67">
        <f t="shared" ref="G83:G99" si="15">F83*$K$12</f>
        <v>0</v>
      </c>
      <c r="H83" s="67">
        <f t="shared" ref="H83:H99" si="16">F83*(1-$K$12)</f>
        <v>0</v>
      </c>
      <c r="I83" s="67">
        <f t="shared" ref="I83:I99" si="17">G83+I82*$K$10</f>
        <v>0.81688188064058875</v>
      </c>
      <c r="J83" s="67">
        <f t="shared" ref="J83:J99" si="18">I82*(1-$K$10)+H83</f>
        <v>5.9230619464773003E-2</v>
      </c>
      <c r="K83" s="100">
        <f t="shared" si="6"/>
        <v>3.9487079643182002E-2</v>
      </c>
      <c r="O83" s="96">
        <f>Amnt_Deposited!B78</f>
        <v>2064</v>
      </c>
      <c r="P83" s="99">
        <f>Amnt_Deposited!D78</f>
        <v>0</v>
      </c>
      <c r="Q83" s="283">
        <f>MCF!R82</f>
        <v>1</v>
      </c>
      <c r="R83" s="67">
        <f t="shared" ref="R83:R99" si="19">P83*$W$6*DOCF*Q83</f>
        <v>0</v>
      </c>
      <c r="S83" s="67">
        <f t="shared" si="7"/>
        <v>0</v>
      </c>
      <c r="T83" s="67">
        <f t="shared" si="8"/>
        <v>0</v>
      </c>
      <c r="U83" s="67">
        <f t="shared" si="9"/>
        <v>1.687772480662374</v>
      </c>
      <c r="V83" s="67">
        <f t="shared" si="10"/>
        <v>0.1223773129437459</v>
      </c>
      <c r="W83" s="100">
        <f t="shared" si="11"/>
        <v>8.1584875295830597E-2</v>
      </c>
    </row>
    <row r="84" spans="2:23">
      <c r="B84" s="96">
        <f>Amnt_Deposited!B79</f>
        <v>2065</v>
      </c>
      <c r="C84" s="99">
        <f>Amnt_Deposited!D79</f>
        <v>0</v>
      </c>
      <c r="D84" s="417">
        <f>Dry_Matter_Content!D71</f>
        <v>0.44</v>
      </c>
      <c r="E84" s="283">
        <f>MCF!R83</f>
        <v>1</v>
      </c>
      <c r="F84" s="67">
        <f t="shared" si="14"/>
        <v>0</v>
      </c>
      <c r="G84" s="67">
        <f t="shared" si="15"/>
        <v>0</v>
      </c>
      <c r="H84" s="67">
        <f t="shared" si="16"/>
        <v>0</v>
      </c>
      <c r="I84" s="67">
        <f t="shared" si="17"/>
        <v>0.76165561710243346</v>
      </c>
      <c r="J84" s="67">
        <f t="shared" si="18"/>
        <v>5.522626353815531E-2</v>
      </c>
      <c r="K84" s="100">
        <f t="shared" si="6"/>
        <v>3.6817509025436873E-2</v>
      </c>
      <c r="O84" s="96">
        <f>Amnt_Deposited!B79</f>
        <v>2065</v>
      </c>
      <c r="P84" s="99">
        <f>Amnt_Deposited!D79</f>
        <v>0</v>
      </c>
      <c r="Q84" s="283">
        <f>MCF!R83</f>
        <v>1</v>
      </c>
      <c r="R84" s="67">
        <f t="shared" si="19"/>
        <v>0</v>
      </c>
      <c r="S84" s="67">
        <f t="shared" si="7"/>
        <v>0</v>
      </c>
      <c r="T84" s="67">
        <f t="shared" si="8"/>
        <v>0</v>
      </c>
      <c r="U84" s="67">
        <f t="shared" si="9"/>
        <v>1.5736686303769292</v>
      </c>
      <c r="V84" s="67">
        <f t="shared" si="10"/>
        <v>0.11410385028544488</v>
      </c>
      <c r="W84" s="100">
        <f t="shared" si="11"/>
        <v>7.6069233523629917E-2</v>
      </c>
    </row>
    <row r="85" spans="2:23">
      <c r="B85" s="96">
        <f>Amnt_Deposited!B80</f>
        <v>2066</v>
      </c>
      <c r="C85" s="99">
        <f>Amnt_Deposited!D80</f>
        <v>0</v>
      </c>
      <c r="D85" s="417">
        <f>Dry_Matter_Content!D72</f>
        <v>0.44</v>
      </c>
      <c r="E85" s="283">
        <f>MCF!R84</f>
        <v>1</v>
      </c>
      <c r="F85" s="67">
        <f t="shared" si="14"/>
        <v>0</v>
      </c>
      <c r="G85" s="67">
        <f t="shared" si="15"/>
        <v>0</v>
      </c>
      <c r="H85" s="67">
        <f t="shared" si="16"/>
        <v>0</v>
      </c>
      <c r="I85" s="67">
        <f t="shared" si="17"/>
        <v>0.71016299028296026</v>
      </c>
      <c r="J85" s="67">
        <f t="shared" si="18"/>
        <v>5.1492626819473218E-2</v>
      </c>
      <c r="K85" s="100">
        <f t="shared" ref="K85:K99" si="20">J85*CH4_fraction*conv</f>
        <v>3.4328417879648812E-2</v>
      </c>
      <c r="O85" s="96">
        <f>Amnt_Deposited!B80</f>
        <v>2066</v>
      </c>
      <c r="P85" s="99">
        <f>Amnt_Deposited!D80</f>
        <v>0</v>
      </c>
      <c r="Q85" s="283">
        <f>MCF!R84</f>
        <v>1</v>
      </c>
      <c r="R85" s="67">
        <f t="shared" si="19"/>
        <v>0</v>
      </c>
      <c r="S85" s="67">
        <f t="shared" ref="S85:S98" si="21">R85*$W$12</f>
        <v>0</v>
      </c>
      <c r="T85" s="67">
        <f t="shared" ref="T85:T98" si="22">R85*(1-$W$12)</f>
        <v>0</v>
      </c>
      <c r="U85" s="67">
        <f t="shared" ref="U85:U98" si="23">S85+U84*$W$10</f>
        <v>1.4672789055433069</v>
      </c>
      <c r="V85" s="67">
        <f t="shared" ref="V85:V98" si="24">U84*(1-$W$10)+T85</f>
        <v>0.1063897248336224</v>
      </c>
      <c r="W85" s="100">
        <f t="shared" ref="W85:W99" si="25">V85*CH4_fraction*conv</f>
        <v>7.0926483222414932E-2</v>
      </c>
    </row>
    <row r="86" spans="2:23">
      <c r="B86" s="96">
        <f>Amnt_Deposited!B81</f>
        <v>2067</v>
      </c>
      <c r="C86" s="99">
        <f>Amnt_Deposited!D81</f>
        <v>0</v>
      </c>
      <c r="D86" s="417">
        <f>Dry_Matter_Content!D73</f>
        <v>0.44</v>
      </c>
      <c r="E86" s="283">
        <f>MCF!R85</f>
        <v>1</v>
      </c>
      <c r="F86" s="67">
        <f t="shared" si="14"/>
        <v>0</v>
      </c>
      <c r="G86" s="67">
        <f t="shared" si="15"/>
        <v>0</v>
      </c>
      <c r="H86" s="67">
        <f t="shared" si="16"/>
        <v>0</v>
      </c>
      <c r="I86" s="67">
        <f t="shared" si="17"/>
        <v>0.66215158326576018</v>
      </c>
      <c r="J86" s="67">
        <f t="shared" si="18"/>
        <v>4.8011407017200115E-2</v>
      </c>
      <c r="K86" s="100">
        <f t="shared" si="20"/>
        <v>3.2007604678133406E-2</v>
      </c>
      <c r="O86" s="96">
        <f>Amnt_Deposited!B81</f>
        <v>2067</v>
      </c>
      <c r="P86" s="99">
        <f>Amnt_Deposited!D81</f>
        <v>0</v>
      </c>
      <c r="Q86" s="283">
        <f>MCF!R85</f>
        <v>1</v>
      </c>
      <c r="R86" s="67">
        <f t="shared" si="19"/>
        <v>0</v>
      </c>
      <c r="S86" s="67">
        <f t="shared" si="21"/>
        <v>0</v>
      </c>
      <c r="T86" s="67">
        <f t="shared" si="22"/>
        <v>0</v>
      </c>
      <c r="U86" s="67">
        <f t="shared" si="23"/>
        <v>1.368081783606943</v>
      </c>
      <c r="V86" s="67">
        <f t="shared" si="24"/>
        <v>9.9197121936363916E-2</v>
      </c>
      <c r="W86" s="100">
        <f t="shared" si="25"/>
        <v>6.6131414624242602E-2</v>
      </c>
    </row>
    <row r="87" spans="2:23">
      <c r="B87" s="96">
        <f>Amnt_Deposited!B82</f>
        <v>2068</v>
      </c>
      <c r="C87" s="99">
        <f>Amnt_Deposited!D82</f>
        <v>0</v>
      </c>
      <c r="D87" s="417">
        <f>Dry_Matter_Content!D74</f>
        <v>0.44</v>
      </c>
      <c r="E87" s="283">
        <f>MCF!R86</f>
        <v>1</v>
      </c>
      <c r="F87" s="67">
        <f t="shared" si="14"/>
        <v>0</v>
      </c>
      <c r="G87" s="67">
        <f t="shared" si="15"/>
        <v>0</v>
      </c>
      <c r="H87" s="67">
        <f t="shared" si="16"/>
        <v>0</v>
      </c>
      <c r="I87" s="67">
        <f t="shared" si="17"/>
        <v>0.61738604407793374</v>
      </c>
      <c r="J87" s="67">
        <f t="shared" si="18"/>
        <v>4.476553918782647E-2</v>
      </c>
      <c r="K87" s="100">
        <f t="shared" si="20"/>
        <v>2.9843692791884313E-2</v>
      </c>
      <c r="O87" s="96">
        <f>Amnt_Deposited!B82</f>
        <v>2068</v>
      </c>
      <c r="P87" s="99">
        <f>Amnt_Deposited!D82</f>
        <v>0</v>
      </c>
      <c r="Q87" s="283">
        <f>MCF!R86</f>
        <v>1</v>
      </c>
      <c r="R87" s="67">
        <f t="shared" si="19"/>
        <v>0</v>
      </c>
      <c r="S87" s="67">
        <f t="shared" si="21"/>
        <v>0</v>
      </c>
      <c r="T87" s="67">
        <f t="shared" si="22"/>
        <v>0</v>
      </c>
      <c r="U87" s="67">
        <f t="shared" si="23"/>
        <v>1.2755910001610204</v>
      </c>
      <c r="V87" s="67">
        <f t="shared" si="24"/>
        <v>9.2490783445922486E-2</v>
      </c>
      <c r="W87" s="100">
        <f t="shared" si="25"/>
        <v>6.1660522297281653E-2</v>
      </c>
    </row>
    <row r="88" spans="2:23">
      <c r="B88" s="96">
        <f>Amnt_Deposited!B83</f>
        <v>2069</v>
      </c>
      <c r="C88" s="99">
        <f>Amnt_Deposited!D83</f>
        <v>0</v>
      </c>
      <c r="D88" s="417">
        <f>Dry_Matter_Content!D75</f>
        <v>0.44</v>
      </c>
      <c r="E88" s="283">
        <f>MCF!R87</f>
        <v>1</v>
      </c>
      <c r="F88" s="67">
        <f t="shared" si="14"/>
        <v>0</v>
      </c>
      <c r="G88" s="67">
        <f t="shared" si="15"/>
        <v>0</v>
      </c>
      <c r="H88" s="67">
        <f t="shared" si="16"/>
        <v>0</v>
      </c>
      <c r="I88" s="67">
        <f t="shared" si="17"/>
        <v>0.57564693199444683</v>
      </c>
      <c r="J88" s="67">
        <f t="shared" si="18"/>
        <v>4.1739112083486948E-2</v>
      </c>
      <c r="K88" s="100">
        <f t="shared" si="20"/>
        <v>2.782607472232463E-2</v>
      </c>
      <c r="O88" s="96">
        <f>Amnt_Deposited!B83</f>
        <v>2069</v>
      </c>
      <c r="P88" s="99">
        <f>Amnt_Deposited!D83</f>
        <v>0</v>
      </c>
      <c r="Q88" s="283">
        <f>MCF!R87</f>
        <v>1</v>
      </c>
      <c r="R88" s="67">
        <f t="shared" si="19"/>
        <v>0</v>
      </c>
      <c r="S88" s="67">
        <f t="shared" si="21"/>
        <v>0</v>
      </c>
      <c r="T88" s="67">
        <f t="shared" si="22"/>
        <v>0</v>
      </c>
      <c r="U88" s="67">
        <f t="shared" si="23"/>
        <v>1.1893531652777829</v>
      </c>
      <c r="V88" s="67">
        <f t="shared" si="24"/>
        <v>8.623783488323751E-2</v>
      </c>
      <c r="W88" s="100">
        <f t="shared" si="25"/>
        <v>5.749188992215834E-2</v>
      </c>
    </row>
    <row r="89" spans="2:23">
      <c r="B89" s="96">
        <f>Amnt_Deposited!B84</f>
        <v>2070</v>
      </c>
      <c r="C89" s="99">
        <f>Amnt_Deposited!D84</f>
        <v>0</v>
      </c>
      <c r="D89" s="417">
        <f>Dry_Matter_Content!D76</f>
        <v>0.44</v>
      </c>
      <c r="E89" s="283">
        <f>MCF!R88</f>
        <v>1</v>
      </c>
      <c r="F89" s="67">
        <f t="shared" si="14"/>
        <v>0</v>
      </c>
      <c r="G89" s="67">
        <f t="shared" si="15"/>
        <v>0</v>
      </c>
      <c r="H89" s="67">
        <f t="shared" si="16"/>
        <v>0</v>
      </c>
      <c r="I89" s="67">
        <f t="shared" si="17"/>
        <v>0.53672964183944194</v>
      </c>
      <c r="J89" s="67">
        <f t="shared" si="18"/>
        <v>3.8917290155004919E-2</v>
      </c>
      <c r="K89" s="100">
        <f t="shared" si="20"/>
        <v>2.594486010333661E-2</v>
      </c>
      <c r="O89" s="96">
        <f>Amnt_Deposited!B84</f>
        <v>2070</v>
      </c>
      <c r="P89" s="99">
        <f>Amnt_Deposited!D84</f>
        <v>0</v>
      </c>
      <c r="Q89" s="283">
        <f>MCF!R88</f>
        <v>1</v>
      </c>
      <c r="R89" s="67">
        <f t="shared" si="19"/>
        <v>0</v>
      </c>
      <c r="S89" s="67">
        <f t="shared" si="21"/>
        <v>0</v>
      </c>
      <c r="T89" s="67">
        <f t="shared" si="22"/>
        <v>0</v>
      </c>
      <c r="U89" s="67">
        <f t="shared" si="23"/>
        <v>1.1089455409905826</v>
      </c>
      <c r="V89" s="67">
        <f t="shared" si="24"/>
        <v>8.0407624287200261E-2</v>
      </c>
      <c r="W89" s="100">
        <f t="shared" si="25"/>
        <v>5.3605082858133507E-2</v>
      </c>
    </row>
    <row r="90" spans="2:23">
      <c r="B90" s="96">
        <f>Amnt_Deposited!B85</f>
        <v>2071</v>
      </c>
      <c r="C90" s="99">
        <f>Amnt_Deposited!D85</f>
        <v>0</v>
      </c>
      <c r="D90" s="417">
        <f>Dry_Matter_Content!D77</f>
        <v>0.44</v>
      </c>
      <c r="E90" s="283">
        <f>MCF!R89</f>
        <v>1</v>
      </c>
      <c r="F90" s="67">
        <f t="shared" si="14"/>
        <v>0</v>
      </c>
      <c r="G90" s="67">
        <f t="shared" si="15"/>
        <v>0</v>
      </c>
      <c r="H90" s="67">
        <f t="shared" si="16"/>
        <v>0</v>
      </c>
      <c r="I90" s="67">
        <f t="shared" si="17"/>
        <v>0.5004434010114287</v>
      </c>
      <c r="J90" s="67">
        <f t="shared" si="18"/>
        <v>3.628624082801319E-2</v>
      </c>
      <c r="K90" s="100">
        <f t="shared" si="20"/>
        <v>2.4190827218675458E-2</v>
      </c>
      <c r="O90" s="96">
        <f>Amnt_Deposited!B85</f>
        <v>2071</v>
      </c>
      <c r="P90" s="99">
        <f>Amnt_Deposited!D85</f>
        <v>0</v>
      </c>
      <c r="Q90" s="283">
        <f>MCF!R89</f>
        <v>1</v>
      </c>
      <c r="R90" s="67">
        <f t="shared" si="19"/>
        <v>0</v>
      </c>
      <c r="S90" s="67">
        <f t="shared" si="21"/>
        <v>0</v>
      </c>
      <c r="T90" s="67">
        <f t="shared" si="22"/>
        <v>0</v>
      </c>
      <c r="U90" s="67">
        <f t="shared" si="23"/>
        <v>1.0339739690318777</v>
      </c>
      <c r="V90" s="67">
        <f t="shared" si="24"/>
        <v>7.497157195870495E-2</v>
      </c>
      <c r="W90" s="100">
        <f t="shared" si="25"/>
        <v>4.9981047972469966E-2</v>
      </c>
    </row>
    <row r="91" spans="2:23">
      <c r="B91" s="96">
        <f>Amnt_Deposited!B86</f>
        <v>2072</v>
      </c>
      <c r="C91" s="99">
        <f>Amnt_Deposited!D86</f>
        <v>0</v>
      </c>
      <c r="D91" s="417">
        <f>Dry_Matter_Content!D78</f>
        <v>0.44</v>
      </c>
      <c r="E91" s="283">
        <f>MCF!R90</f>
        <v>1</v>
      </c>
      <c r="F91" s="67">
        <f t="shared" si="14"/>
        <v>0</v>
      </c>
      <c r="G91" s="67">
        <f t="shared" si="15"/>
        <v>0</v>
      </c>
      <c r="H91" s="67">
        <f t="shared" si="16"/>
        <v>0</v>
      </c>
      <c r="I91" s="67">
        <f t="shared" si="17"/>
        <v>0.46661033431577031</v>
      </c>
      <c r="J91" s="67">
        <f t="shared" si="18"/>
        <v>3.3833066695658394E-2</v>
      </c>
      <c r="K91" s="100">
        <f t="shared" si="20"/>
        <v>2.2555377797105595E-2</v>
      </c>
      <c r="O91" s="96">
        <f>Amnt_Deposited!B86</f>
        <v>2072</v>
      </c>
      <c r="P91" s="99">
        <f>Amnt_Deposited!D86</f>
        <v>0</v>
      </c>
      <c r="Q91" s="283">
        <f>MCF!R90</f>
        <v>1</v>
      </c>
      <c r="R91" s="67">
        <f t="shared" si="19"/>
        <v>0</v>
      </c>
      <c r="S91" s="67">
        <f t="shared" si="21"/>
        <v>0</v>
      </c>
      <c r="T91" s="67">
        <f t="shared" si="22"/>
        <v>0</v>
      </c>
      <c r="U91" s="67">
        <f t="shared" si="23"/>
        <v>0.96407093866894711</v>
      </c>
      <c r="V91" s="67">
        <f t="shared" si="24"/>
        <v>6.9903030362930579E-2</v>
      </c>
      <c r="W91" s="100">
        <f t="shared" si="25"/>
        <v>4.6602020241953715E-2</v>
      </c>
    </row>
    <row r="92" spans="2:23">
      <c r="B92" s="96">
        <f>Amnt_Deposited!B87</f>
        <v>2073</v>
      </c>
      <c r="C92" s="99">
        <f>Amnt_Deposited!D87</f>
        <v>0</v>
      </c>
      <c r="D92" s="417">
        <f>Dry_Matter_Content!D79</f>
        <v>0.44</v>
      </c>
      <c r="E92" s="283">
        <f>MCF!R91</f>
        <v>1</v>
      </c>
      <c r="F92" s="67">
        <f t="shared" si="14"/>
        <v>0</v>
      </c>
      <c r="G92" s="67">
        <f t="shared" si="15"/>
        <v>0</v>
      </c>
      <c r="H92" s="67">
        <f t="shared" si="16"/>
        <v>0</v>
      </c>
      <c r="I92" s="67">
        <f t="shared" si="17"/>
        <v>0.43506459202027264</v>
      </c>
      <c r="J92" s="67">
        <f t="shared" si="18"/>
        <v>3.1545742295497656E-2</v>
      </c>
      <c r="K92" s="100">
        <f t="shared" si="20"/>
        <v>2.1030494863665102E-2</v>
      </c>
      <c r="O92" s="96">
        <f>Amnt_Deposited!B87</f>
        <v>2073</v>
      </c>
      <c r="P92" s="99">
        <f>Amnt_Deposited!D87</f>
        <v>0</v>
      </c>
      <c r="Q92" s="283">
        <f>MCF!R91</f>
        <v>1</v>
      </c>
      <c r="R92" s="67">
        <f t="shared" si="19"/>
        <v>0</v>
      </c>
      <c r="S92" s="67">
        <f t="shared" si="21"/>
        <v>0</v>
      </c>
      <c r="T92" s="67">
        <f t="shared" si="22"/>
        <v>0</v>
      </c>
      <c r="U92" s="67">
        <f t="shared" si="23"/>
        <v>0.89889378516585272</v>
      </c>
      <c r="V92" s="67">
        <f t="shared" si="24"/>
        <v>6.5177153503094332E-2</v>
      </c>
      <c r="W92" s="100">
        <f t="shared" si="25"/>
        <v>4.3451435668729554E-2</v>
      </c>
    </row>
    <row r="93" spans="2:23">
      <c r="B93" s="96">
        <f>Amnt_Deposited!B88</f>
        <v>2074</v>
      </c>
      <c r="C93" s="99">
        <f>Amnt_Deposited!D88</f>
        <v>0</v>
      </c>
      <c r="D93" s="417">
        <f>Dry_Matter_Content!D80</f>
        <v>0.44</v>
      </c>
      <c r="E93" s="283">
        <f>MCF!R92</f>
        <v>1</v>
      </c>
      <c r="F93" s="67">
        <f t="shared" si="14"/>
        <v>0</v>
      </c>
      <c r="G93" s="67">
        <f t="shared" si="15"/>
        <v>0</v>
      </c>
      <c r="H93" s="67">
        <f t="shared" si="16"/>
        <v>0</v>
      </c>
      <c r="I93" s="67">
        <f t="shared" si="17"/>
        <v>0.40565153685960498</v>
      </c>
      <c r="J93" s="67">
        <f t="shared" si="18"/>
        <v>2.9413055160667691E-2</v>
      </c>
      <c r="K93" s="100">
        <f t="shared" si="20"/>
        <v>1.9608703440445126E-2</v>
      </c>
      <c r="O93" s="96">
        <f>Amnt_Deposited!B88</f>
        <v>2074</v>
      </c>
      <c r="P93" s="99">
        <f>Amnt_Deposited!D88</f>
        <v>0</v>
      </c>
      <c r="Q93" s="283">
        <f>MCF!R92</f>
        <v>1</v>
      </c>
      <c r="R93" s="67">
        <f t="shared" si="19"/>
        <v>0</v>
      </c>
      <c r="S93" s="67">
        <f t="shared" si="21"/>
        <v>0</v>
      </c>
      <c r="T93" s="67">
        <f t="shared" si="22"/>
        <v>0</v>
      </c>
      <c r="U93" s="67">
        <f t="shared" si="23"/>
        <v>0.83812301004050627</v>
      </c>
      <c r="V93" s="67">
        <f t="shared" si="24"/>
        <v>6.0770775125346482E-2</v>
      </c>
      <c r="W93" s="100">
        <f t="shared" si="25"/>
        <v>4.0513850083564319E-2</v>
      </c>
    </row>
    <row r="94" spans="2:23">
      <c r="B94" s="96">
        <f>Amnt_Deposited!B89</f>
        <v>2075</v>
      </c>
      <c r="C94" s="99">
        <f>Amnt_Deposited!D89</f>
        <v>0</v>
      </c>
      <c r="D94" s="417">
        <f>Dry_Matter_Content!D81</f>
        <v>0.44</v>
      </c>
      <c r="E94" s="283">
        <f>MCF!R93</f>
        <v>1</v>
      </c>
      <c r="F94" s="67">
        <f t="shared" si="14"/>
        <v>0</v>
      </c>
      <c r="G94" s="67">
        <f t="shared" si="15"/>
        <v>0</v>
      </c>
      <c r="H94" s="67">
        <f t="shared" si="16"/>
        <v>0</v>
      </c>
      <c r="I94" s="67">
        <f t="shared" si="17"/>
        <v>0.37822698600324567</v>
      </c>
      <c r="J94" s="67">
        <f t="shared" si="18"/>
        <v>2.7424550856359316E-2</v>
      </c>
      <c r="K94" s="100">
        <f t="shared" si="20"/>
        <v>1.8283033904239542E-2</v>
      </c>
      <c r="O94" s="96">
        <f>Amnt_Deposited!B89</f>
        <v>2075</v>
      </c>
      <c r="P94" s="99">
        <f>Amnt_Deposited!D89</f>
        <v>0</v>
      </c>
      <c r="Q94" s="283">
        <f>MCF!R93</f>
        <v>1</v>
      </c>
      <c r="R94" s="67">
        <f t="shared" si="19"/>
        <v>0</v>
      </c>
      <c r="S94" s="67">
        <f t="shared" si="21"/>
        <v>0</v>
      </c>
      <c r="T94" s="67">
        <f t="shared" si="22"/>
        <v>0</v>
      </c>
      <c r="U94" s="67">
        <f t="shared" si="23"/>
        <v>0.78146071488273905</v>
      </c>
      <c r="V94" s="67">
        <f t="shared" si="24"/>
        <v>5.666229515776719E-2</v>
      </c>
      <c r="W94" s="100">
        <f t="shared" si="25"/>
        <v>3.7774863438511455E-2</v>
      </c>
    </row>
    <row r="95" spans="2:23">
      <c r="B95" s="96">
        <f>Amnt_Deposited!B90</f>
        <v>2076</v>
      </c>
      <c r="C95" s="99">
        <f>Amnt_Deposited!D90</f>
        <v>0</v>
      </c>
      <c r="D95" s="417">
        <f>Dry_Matter_Content!D82</f>
        <v>0.44</v>
      </c>
      <c r="E95" s="283">
        <f>MCF!R94</f>
        <v>1</v>
      </c>
      <c r="F95" s="67">
        <f t="shared" si="14"/>
        <v>0</v>
      </c>
      <c r="G95" s="67">
        <f t="shared" si="15"/>
        <v>0</v>
      </c>
      <c r="H95" s="67">
        <f t="shared" si="16"/>
        <v>0</v>
      </c>
      <c r="I95" s="67">
        <f t="shared" si="17"/>
        <v>0.35265650427107986</v>
      </c>
      <c r="J95" s="67">
        <f t="shared" si="18"/>
        <v>2.557048173216581E-2</v>
      </c>
      <c r="K95" s="100">
        <f t="shared" si="20"/>
        <v>1.7046987821443871E-2</v>
      </c>
      <c r="O95" s="96">
        <f>Amnt_Deposited!B90</f>
        <v>2076</v>
      </c>
      <c r="P95" s="99">
        <f>Amnt_Deposited!D90</f>
        <v>0</v>
      </c>
      <c r="Q95" s="283">
        <f>MCF!R94</f>
        <v>1</v>
      </c>
      <c r="R95" s="67">
        <f t="shared" si="19"/>
        <v>0</v>
      </c>
      <c r="S95" s="67">
        <f t="shared" si="21"/>
        <v>0</v>
      </c>
      <c r="T95" s="67">
        <f t="shared" si="22"/>
        <v>0</v>
      </c>
      <c r="U95" s="67">
        <f t="shared" si="23"/>
        <v>0.72862914105595022</v>
      </c>
      <c r="V95" s="67">
        <f t="shared" si="24"/>
        <v>5.2831573826788866E-2</v>
      </c>
      <c r="W95" s="100">
        <f t="shared" si="25"/>
        <v>3.5221049217859242E-2</v>
      </c>
    </row>
    <row r="96" spans="2:23">
      <c r="B96" s="96">
        <f>Amnt_Deposited!B91</f>
        <v>2077</v>
      </c>
      <c r="C96" s="99">
        <f>Amnt_Deposited!D91</f>
        <v>0</v>
      </c>
      <c r="D96" s="417">
        <f>Dry_Matter_Content!D83</f>
        <v>0.44</v>
      </c>
      <c r="E96" s="283">
        <f>MCF!R95</f>
        <v>1</v>
      </c>
      <c r="F96" s="67">
        <f t="shared" si="14"/>
        <v>0</v>
      </c>
      <c r="G96" s="67">
        <f t="shared" si="15"/>
        <v>0</v>
      </c>
      <c r="H96" s="67">
        <f t="shared" si="16"/>
        <v>0</v>
      </c>
      <c r="I96" s="67">
        <f t="shared" si="17"/>
        <v>0.32881474513199049</v>
      </c>
      <c r="J96" s="67">
        <f t="shared" si="18"/>
        <v>2.3841759139089348E-2</v>
      </c>
      <c r="K96" s="100">
        <f t="shared" si="20"/>
        <v>1.5894506092726232E-2</v>
      </c>
      <c r="O96" s="96">
        <f>Amnt_Deposited!B91</f>
        <v>2077</v>
      </c>
      <c r="P96" s="99">
        <f>Amnt_Deposited!D91</f>
        <v>0</v>
      </c>
      <c r="Q96" s="283">
        <f>MCF!R95</f>
        <v>1</v>
      </c>
      <c r="R96" s="67">
        <f t="shared" si="19"/>
        <v>0</v>
      </c>
      <c r="S96" s="67">
        <f t="shared" si="21"/>
        <v>0</v>
      </c>
      <c r="T96" s="67">
        <f t="shared" si="22"/>
        <v>0</v>
      </c>
      <c r="U96" s="67">
        <f t="shared" si="23"/>
        <v>0.67936930812394747</v>
      </c>
      <c r="V96" s="67">
        <f t="shared" si="24"/>
        <v>4.9259832932002791E-2</v>
      </c>
      <c r="W96" s="100">
        <f t="shared" si="25"/>
        <v>3.2839888621335189E-2</v>
      </c>
    </row>
    <row r="97" spans="2:23">
      <c r="B97" s="96">
        <f>Amnt_Deposited!B92</f>
        <v>2078</v>
      </c>
      <c r="C97" s="99">
        <f>Amnt_Deposited!D92</f>
        <v>0</v>
      </c>
      <c r="D97" s="417">
        <f>Dry_Matter_Content!D84</f>
        <v>0.44</v>
      </c>
      <c r="E97" s="283">
        <f>MCF!R96</f>
        <v>1</v>
      </c>
      <c r="F97" s="67">
        <f t="shared" si="14"/>
        <v>0</v>
      </c>
      <c r="G97" s="67">
        <f t="shared" si="15"/>
        <v>0</v>
      </c>
      <c r="H97" s="67">
        <f t="shared" si="16"/>
        <v>0</v>
      </c>
      <c r="I97" s="67">
        <f t="shared" si="17"/>
        <v>0.30658483625501742</v>
      </c>
      <c r="J97" s="67">
        <f t="shared" si="18"/>
        <v>2.2229908876973067E-2</v>
      </c>
      <c r="K97" s="100">
        <f t="shared" si="20"/>
        <v>1.4819939251315377E-2</v>
      </c>
      <c r="O97" s="96">
        <f>Amnt_Deposited!B92</f>
        <v>2078</v>
      </c>
      <c r="P97" s="99">
        <f>Amnt_Deposited!D92</f>
        <v>0</v>
      </c>
      <c r="Q97" s="283">
        <f>MCF!R96</f>
        <v>1</v>
      </c>
      <c r="R97" s="67">
        <f t="shared" si="19"/>
        <v>0</v>
      </c>
      <c r="S97" s="67">
        <f t="shared" si="21"/>
        <v>0</v>
      </c>
      <c r="T97" s="67">
        <f t="shared" si="22"/>
        <v>0</v>
      </c>
      <c r="U97" s="67">
        <f t="shared" si="23"/>
        <v>0.63343974432854855</v>
      </c>
      <c r="V97" s="67">
        <f t="shared" si="24"/>
        <v>4.5929563795398913E-2</v>
      </c>
      <c r="W97" s="100">
        <f t="shared" si="25"/>
        <v>3.0619709196932608E-2</v>
      </c>
    </row>
    <row r="98" spans="2:23">
      <c r="B98" s="96">
        <f>Amnt_Deposited!B93</f>
        <v>2079</v>
      </c>
      <c r="C98" s="99">
        <f>Amnt_Deposited!D93</f>
        <v>0</v>
      </c>
      <c r="D98" s="417">
        <f>Dry_Matter_Content!D85</f>
        <v>0.44</v>
      </c>
      <c r="E98" s="283">
        <f>MCF!R97</f>
        <v>1</v>
      </c>
      <c r="F98" s="67">
        <f t="shared" si="14"/>
        <v>0</v>
      </c>
      <c r="G98" s="67">
        <f t="shared" si="15"/>
        <v>0</v>
      </c>
      <c r="H98" s="67">
        <f t="shared" si="16"/>
        <v>0</v>
      </c>
      <c r="I98" s="67">
        <f t="shared" si="17"/>
        <v>0.28585780660105536</v>
      </c>
      <c r="J98" s="67">
        <f t="shared" si="18"/>
        <v>2.0727029653962066E-2</v>
      </c>
      <c r="K98" s="100">
        <f t="shared" si="20"/>
        <v>1.3818019769308043E-2</v>
      </c>
      <c r="O98" s="96">
        <f>Amnt_Deposited!B93</f>
        <v>2079</v>
      </c>
      <c r="P98" s="99">
        <f>Amnt_Deposited!D93</f>
        <v>0</v>
      </c>
      <c r="Q98" s="283">
        <f>MCF!R97</f>
        <v>1</v>
      </c>
      <c r="R98" s="67">
        <f t="shared" si="19"/>
        <v>0</v>
      </c>
      <c r="S98" s="67">
        <f t="shared" si="21"/>
        <v>0</v>
      </c>
      <c r="T98" s="67">
        <f t="shared" si="22"/>
        <v>0</v>
      </c>
      <c r="U98" s="67">
        <f t="shared" si="23"/>
        <v>0.59061530289474262</v>
      </c>
      <c r="V98" s="67">
        <f t="shared" si="24"/>
        <v>4.2824441433805933E-2</v>
      </c>
      <c r="W98" s="100">
        <f t="shared" si="25"/>
        <v>2.8549627622537287E-2</v>
      </c>
    </row>
    <row r="99" spans="2:23" ht="13.5" thickBot="1">
      <c r="B99" s="97">
        <f>Amnt_Deposited!B94</f>
        <v>2080</v>
      </c>
      <c r="C99" s="101">
        <f>Amnt_Deposited!D94</f>
        <v>0</v>
      </c>
      <c r="D99" s="418">
        <f>Dry_Matter_Content!D86</f>
        <v>0.44</v>
      </c>
      <c r="E99" s="284">
        <f>MCF!R98</f>
        <v>1</v>
      </c>
      <c r="F99" s="68">
        <f t="shared" si="14"/>
        <v>0</v>
      </c>
      <c r="G99" s="68">
        <f t="shared" si="15"/>
        <v>0</v>
      </c>
      <c r="H99" s="68">
        <f t="shared" si="16"/>
        <v>0</v>
      </c>
      <c r="I99" s="68">
        <f t="shared" si="17"/>
        <v>0.2665320522466938</v>
      </c>
      <c r="J99" s="68">
        <f t="shared" si="18"/>
        <v>1.9325754354361558E-2</v>
      </c>
      <c r="K99" s="102">
        <f t="shared" si="20"/>
        <v>1.2883836236241038E-2</v>
      </c>
      <c r="O99" s="97">
        <f>Amnt_Deposited!B94</f>
        <v>2080</v>
      </c>
      <c r="P99" s="101">
        <f>Amnt_Deposited!D94</f>
        <v>0</v>
      </c>
      <c r="Q99" s="284">
        <f>MCF!R98</f>
        <v>1</v>
      </c>
      <c r="R99" s="68">
        <f t="shared" si="19"/>
        <v>0</v>
      </c>
      <c r="S99" s="68">
        <f>R99*$W$12</f>
        <v>0</v>
      </c>
      <c r="T99" s="68">
        <f>R99*(1-$W$12)</f>
        <v>0</v>
      </c>
      <c r="U99" s="68">
        <f>S99+U98*$W$10</f>
        <v>0.55068605836093776</v>
      </c>
      <c r="V99" s="68">
        <f>U98*(1-$W$10)+T99</f>
        <v>3.9929244533804878E-2</v>
      </c>
      <c r="W99" s="102">
        <f t="shared" si="25"/>
        <v>2.6619496355869916E-2</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313</v>
      </c>
      <c r="C2" s="223"/>
      <c r="D2" s="223"/>
      <c r="E2" s="224"/>
      <c r="F2" s="225"/>
      <c r="G2" s="225"/>
      <c r="H2" s="225"/>
      <c r="I2" s="225"/>
      <c r="J2" s="225"/>
      <c r="K2" s="225"/>
    </row>
    <row r="3" spans="1:23" ht="15">
      <c r="B3" s="242" t="str">
        <f>IF(Select2=2,"This sheet applies only to the waste compositon option and can be deleted when the bulk waste option has been chosen","")</f>
        <v/>
      </c>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260">
        <f>Parameters!O21</f>
        <v>0.6</v>
      </c>
      <c r="O6" s="229"/>
      <c r="P6" s="230"/>
      <c r="Q6" s="222"/>
      <c r="R6" s="108" t="s">
        <v>9</v>
      </c>
      <c r="S6" s="109"/>
      <c r="T6" s="109"/>
      <c r="U6" s="113"/>
      <c r="V6" s="120" t="s">
        <v>9</v>
      </c>
      <c r="W6" s="260">
        <f>Parameters!R21</f>
        <v>0.24</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Parameters!O40</f>
        <v>0.17</v>
      </c>
      <c r="O8" s="47"/>
      <c r="P8" s="47"/>
      <c r="Q8" s="222"/>
      <c r="R8" s="108" t="s">
        <v>192</v>
      </c>
      <c r="S8" s="109"/>
      <c r="T8" s="109"/>
      <c r="U8" s="113"/>
      <c r="V8" s="120" t="s">
        <v>188</v>
      </c>
      <c r="W8" s="114">
        <f>Parameters!O40</f>
        <v>0.17</v>
      </c>
    </row>
    <row r="9" spans="1:23" ht="15.75">
      <c r="F9" s="246" t="s">
        <v>190</v>
      </c>
      <c r="G9" s="247"/>
      <c r="H9" s="247"/>
      <c r="I9" s="248"/>
      <c r="J9" s="249" t="s">
        <v>189</v>
      </c>
      <c r="K9" s="255">
        <f>LN(2)/$K$8</f>
        <v>4.077336356234972</v>
      </c>
      <c r="O9" s="47"/>
      <c r="P9" s="47"/>
      <c r="Q9" s="222"/>
      <c r="R9" s="246" t="s">
        <v>190</v>
      </c>
      <c r="S9" s="247"/>
      <c r="T9" s="247"/>
      <c r="U9" s="248"/>
      <c r="V9" s="249" t="s">
        <v>189</v>
      </c>
      <c r="W9" s="255">
        <f>LN(2)/$W$8</f>
        <v>4.077336356234972</v>
      </c>
    </row>
    <row r="10" spans="1:23">
      <c r="F10" s="110" t="s">
        <v>84</v>
      </c>
      <c r="G10" s="111"/>
      <c r="H10" s="111"/>
      <c r="I10" s="112"/>
      <c r="J10" s="121" t="s">
        <v>148</v>
      </c>
      <c r="K10" s="49">
        <f>EXP(-$K$8)</f>
        <v>0.8436648165963837</v>
      </c>
      <c r="O10" s="47"/>
      <c r="P10" s="47"/>
      <c r="Q10" s="222"/>
      <c r="R10" s="110" t="s">
        <v>84</v>
      </c>
      <c r="S10" s="111"/>
      <c r="T10" s="111"/>
      <c r="U10" s="112"/>
      <c r="V10" s="121" t="s">
        <v>148</v>
      </c>
      <c r="W10" s="49">
        <f>EXP(-$W$8)</f>
        <v>0.8436648165963837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Amnt_Deposited!D14</f>
        <v>3.649665482694</v>
      </c>
      <c r="D19" s="415">
        <f>Dry_Matter_Content!E6</f>
        <v>0.44</v>
      </c>
      <c r="E19" s="282">
        <f>MCF!R18</f>
        <v>1</v>
      </c>
      <c r="F19" s="130">
        <f t="shared" ref="F19:F82" si="0">C19*D19*$K$6*DOCF*E19</f>
        <v>0.48175584371560798</v>
      </c>
      <c r="G19" s="65">
        <f t="shared" ref="G19:G82" si="1">F19*$K$12</f>
        <v>0.48175584371560798</v>
      </c>
      <c r="H19" s="65">
        <f t="shared" ref="H19:H82" si="2">F19*(1-$K$12)</f>
        <v>0</v>
      </c>
      <c r="I19" s="65">
        <f t="shared" ref="I19:I82" si="3">G19+I18*$K$10</f>
        <v>0.48175584371560798</v>
      </c>
      <c r="J19" s="65">
        <f t="shared" ref="J19:J82" si="4">I18*(1-$K$10)+H19</f>
        <v>0</v>
      </c>
      <c r="K19" s="66">
        <f>J19*CH4_fraction*conv</f>
        <v>0</v>
      </c>
      <c r="O19" s="95">
        <f>Amnt_Deposited!B14</f>
        <v>2000</v>
      </c>
      <c r="P19" s="98">
        <f>Amnt_Deposited!E14</f>
        <v>0</v>
      </c>
      <c r="Q19" s="282">
        <f>MCF!R18</f>
        <v>1</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Amnt_Deposited!D15</f>
        <v>3.6964219073099995</v>
      </c>
      <c r="D20" s="417">
        <f>Dry_Matter_Content!E7</f>
        <v>0.44</v>
      </c>
      <c r="E20" s="283">
        <f>MCF!R19</f>
        <v>1</v>
      </c>
      <c r="F20" s="67">
        <f t="shared" si="0"/>
        <v>0.4879276917649199</v>
      </c>
      <c r="G20" s="67">
        <f t="shared" si="1"/>
        <v>0.4879276917649199</v>
      </c>
      <c r="H20" s="67">
        <f t="shared" si="2"/>
        <v>0</v>
      </c>
      <c r="I20" s="67">
        <f t="shared" si="3"/>
        <v>0.89436814729748437</v>
      </c>
      <c r="J20" s="67">
        <f t="shared" si="4"/>
        <v>7.531538818304348E-2</v>
      </c>
      <c r="K20" s="100">
        <f>J20*CH4_fraction*conv</f>
        <v>5.0210258788695651E-2</v>
      </c>
      <c r="M20" s="392"/>
      <c r="O20" s="96">
        <f>Amnt_Deposited!B15</f>
        <v>2001</v>
      </c>
      <c r="P20" s="99">
        <f>Amnt_Deposited!E15</f>
        <v>0</v>
      </c>
      <c r="Q20" s="283">
        <f>MCF!R19</f>
        <v>1</v>
      </c>
      <c r="R20" s="67">
        <f t="shared" si="5"/>
        <v>0</v>
      </c>
      <c r="S20" s="67">
        <f>R20*$W$12</f>
        <v>0</v>
      </c>
      <c r="T20" s="67">
        <f>R20*(1-$W$12)</f>
        <v>0</v>
      </c>
      <c r="U20" s="67">
        <f>S20+U19*$W$10</f>
        <v>0</v>
      </c>
      <c r="V20" s="67">
        <f>U19*(1-$W$10)+T20</f>
        <v>0</v>
      </c>
      <c r="W20" s="100">
        <f>V20*CH4_fraction*conv</f>
        <v>0</v>
      </c>
    </row>
    <row r="21" spans="2:23">
      <c r="B21" s="96">
        <f>Amnt_Deposited!B16</f>
        <v>2002</v>
      </c>
      <c r="C21" s="99">
        <f>Amnt_Deposited!D16</f>
        <v>3.7797168809400001</v>
      </c>
      <c r="D21" s="417">
        <f>Dry_Matter_Content!E8</f>
        <v>0.44</v>
      </c>
      <c r="E21" s="283">
        <f>MCF!R20</f>
        <v>1</v>
      </c>
      <c r="F21" s="67">
        <f t="shared" si="0"/>
        <v>0.49892262828408002</v>
      </c>
      <c r="G21" s="67">
        <f t="shared" si="1"/>
        <v>0.49892262828408002</v>
      </c>
      <c r="H21" s="67">
        <f t="shared" si="2"/>
        <v>0</v>
      </c>
      <c r="I21" s="67">
        <f t="shared" si="3"/>
        <v>1.2534695672434597</v>
      </c>
      <c r="J21" s="67">
        <f t="shared" si="4"/>
        <v>0.13982120833810474</v>
      </c>
      <c r="K21" s="100">
        <f t="shared" ref="K21:K84" si="6">J21*CH4_fraction*conv</f>
        <v>9.3214138892069823E-2</v>
      </c>
      <c r="O21" s="96">
        <f>Amnt_Deposited!B16</f>
        <v>2002</v>
      </c>
      <c r="P21" s="99">
        <f>Amnt_Deposited!E16</f>
        <v>0</v>
      </c>
      <c r="Q21" s="283">
        <f>MCF!R20</f>
        <v>1</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Amnt_Deposited!D17</f>
        <v>3.8469000858419999</v>
      </c>
      <c r="D22" s="417">
        <f>Dry_Matter_Content!E9</f>
        <v>0.44</v>
      </c>
      <c r="E22" s="283">
        <f>MCF!R21</f>
        <v>1</v>
      </c>
      <c r="F22" s="67">
        <f t="shared" si="0"/>
        <v>0.5077908113311439</v>
      </c>
      <c r="G22" s="67">
        <f t="shared" si="1"/>
        <v>0.5077908113311439</v>
      </c>
      <c r="H22" s="67">
        <f t="shared" si="2"/>
        <v>0</v>
      </c>
      <c r="I22" s="67">
        <f t="shared" si="3"/>
        <v>1.5652989838887459</v>
      </c>
      <c r="J22" s="67">
        <f t="shared" si="4"/>
        <v>0.19596139468585783</v>
      </c>
      <c r="K22" s="100">
        <f t="shared" si="6"/>
        <v>0.13064092979057187</v>
      </c>
      <c r="N22" s="257"/>
      <c r="O22" s="96">
        <f>Amnt_Deposited!B17</f>
        <v>2003</v>
      </c>
      <c r="P22" s="99">
        <f>Amnt_Deposited!E17</f>
        <v>0</v>
      </c>
      <c r="Q22" s="283">
        <f>MCF!R21</f>
        <v>1</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Amnt_Deposited!D18</f>
        <v>3.8674793717339999</v>
      </c>
      <c r="D23" s="417">
        <f>Dry_Matter_Content!E10</f>
        <v>0.44</v>
      </c>
      <c r="E23" s="283">
        <f>MCF!R22</f>
        <v>1</v>
      </c>
      <c r="F23" s="67">
        <f t="shared" si="0"/>
        <v>0.51050727706888799</v>
      </c>
      <c r="G23" s="67">
        <f t="shared" si="1"/>
        <v>0.51050727706888799</v>
      </c>
      <c r="H23" s="67">
        <f t="shared" si="2"/>
        <v>0</v>
      </c>
      <c r="I23" s="67">
        <f t="shared" si="3"/>
        <v>1.8310949572298925</v>
      </c>
      <c r="J23" s="67">
        <f t="shared" si="4"/>
        <v>0.24471130372774133</v>
      </c>
      <c r="K23" s="100">
        <f t="shared" si="6"/>
        <v>0.16314086915182754</v>
      </c>
      <c r="N23" s="257"/>
      <c r="O23" s="96">
        <f>Amnt_Deposited!B18</f>
        <v>2004</v>
      </c>
      <c r="P23" s="99">
        <f>Amnt_Deposited!E18</f>
        <v>0</v>
      </c>
      <c r="Q23" s="283">
        <f>MCF!R22</f>
        <v>1</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Amnt_Deposited!D19</f>
        <v>4.2838824725400002</v>
      </c>
      <c r="D24" s="417">
        <f>Dry_Matter_Content!E11</f>
        <v>0.44</v>
      </c>
      <c r="E24" s="283">
        <f>MCF!R23</f>
        <v>1</v>
      </c>
      <c r="F24" s="67">
        <f t="shared" si="0"/>
        <v>0.56547248637528003</v>
      </c>
      <c r="G24" s="67">
        <f t="shared" si="1"/>
        <v>0.56547248637528003</v>
      </c>
      <c r="H24" s="67">
        <f t="shared" si="2"/>
        <v>0</v>
      </c>
      <c r="I24" s="67">
        <f t="shared" si="3"/>
        <v>2.1103028776372001</v>
      </c>
      <c r="J24" s="67">
        <f t="shared" si="4"/>
        <v>0.28626456596797217</v>
      </c>
      <c r="K24" s="100">
        <f t="shared" si="6"/>
        <v>0.1908430439786481</v>
      </c>
      <c r="N24" s="257"/>
      <c r="O24" s="96">
        <f>Amnt_Deposited!B19</f>
        <v>2005</v>
      </c>
      <c r="P24" s="99">
        <f>Amnt_Deposited!E19</f>
        <v>0</v>
      </c>
      <c r="Q24" s="283">
        <f>MCF!R23</f>
        <v>1</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Amnt_Deposited!D20</f>
        <v>4.3720038000540002</v>
      </c>
      <c r="D25" s="417">
        <f>Dry_Matter_Content!E12</f>
        <v>0.44</v>
      </c>
      <c r="E25" s="283">
        <f>MCF!R24</f>
        <v>1</v>
      </c>
      <c r="F25" s="67">
        <f t="shared" si="0"/>
        <v>0.57710450160712801</v>
      </c>
      <c r="G25" s="67">
        <f t="shared" si="1"/>
        <v>0.57710450160712801</v>
      </c>
      <c r="H25" s="67">
        <f t="shared" si="2"/>
        <v>0</v>
      </c>
      <c r="I25" s="67">
        <f t="shared" si="3"/>
        <v>2.3574927918317372</v>
      </c>
      <c r="J25" s="67">
        <f t="shared" si="4"/>
        <v>0.32991458741259094</v>
      </c>
      <c r="K25" s="100">
        <f t="shared" si="6"/>
        <v>0.21994305827506061</v>
      </c>
      <c r="N25" s="257"/>
      <c r="O25" s="96">
        <f>Amnt_Deposited!B20</f>
        <v>2006</v>
      </c>
      <c r="P25" s="99">
        <f>Amnt_Deposited!E20</f>
        <v>0</v>
      </c>
      <c r="Q25" s="283">
        <f>MCF!R24</f>
        <v>1</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Amnt_Deposited!D21</f>
        <v>4.4600533602240002</v>
      </c>
      <c r="D26" s="417">
        <f>Dry_Matter_Content!E13</f>
        <v>0.44</v>
      </c>
      <c r="E26" s="283">
        <f>MCF!R25</f>
        <v>1</v>
      </c>
      <c r="F26" s="67">
        <f t="shared" si="0"/>
        <v>0.58872704354956806</v>
      </c>
      <c r="G26" s="67">
        <f t="shared" si="1"/>
        <v>0.58872704354956806</v>
      </c>
      <c r="H26" s="67">
        <f t="shared" si="2"/>
        <v>0</v>
      </c>
      <c r="I26" s="67">
        <f t="shared" si="3"/>
        <v>2.5776607673975871</v>
      </c>
      <c r="J26" s="67">
        <f t="shared" si="4"/>
        <v>0.36855906798371807</v>
      </c>
      <c r="K26" s="100">
        <f t="shared" si="6"/>
        <v>0.24570604532247869</v>
      </c>
      <c r="N26" s="257"/>
      <c r="O26" s="96">
        <f>Amnt_Deposited!B21</f>
        <v>2007</v>
      </c>
      <c r="P26" s="99">
        <f>Amnt_Deposited!E21</f>
        <v>0</v>
      </c>
      <c r="Q26" s="283">
        <f>MCF!R25</f>
        <v>1</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Amnt_Deposited!D22</f>
        <v>4.5474928979699998</v>
      </c>
      <c r="D27" s="417">
        <f>Dry_Matter_Content!E14</f>
        <v>0.44</v>
      </c>
      <c r="E27" s="283">
        <f>MCF!R26</f>
        <v>1</v>
      </c>
      <c r="F27" s="67">
        <f t="shared" si="0"/>
        <v>0.60026906253203993</v>
      </c>
      <c r="G27" s="67">
        <f t="shared" si="1"/>
        <v>0.60026906253203993</v>
      </c>
      <c r="H27" s="67">
        <f t="shared" si="2"/>
        <v>0</v>
      </c>
      <c r="I27" s="67">
        <f t="shared" si="3"/>
        <v>2.774950761106219</v>
      </c>
      <c r="J27" s="67">
        <f t="shared" si="4"/>
        <v>0.40297906882340812</v>
      </c>
      <c r="K27" s="100">
        <f t="shared" si="6"/>
        <v>0.26865271254893874</v>
      </c>
      <c r="N27" s="257"/>
      <c r="O27" s="96">
        <f>Amnt_Deposited!B22</f>
        <v>2008</v>
      </c>
      <c r="P27" s="99">
        <f>Amnt_Deposited!E22</f>
        <v>0</v>
      </c>
      <c r="Q27" s="283">
        <f>MCF!R26</f>
        <v>1</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Amnt_Deposited!D23</f>
        <v>4.6336765071960002</v>
      </c>
      <c r="D28" s="417">
        <f>Dry_Matter_Content!E15</f>
        <v>0.44</v>
      </c>
      <c r="E28" s="283">
        <f>MCF!R27</f>
        <v>1</v>
      </c>
      <c r="F28" s="67">
        <f t="shared" si="0"/>
        <v>0.61164529894987196</v>
      </c>
      <c r="G28" s="67">
        <f t="shared" si="1"/>
        <v>0.61164529894987196</v>
      </c>
      <c r="H28" s="67">
        <f t="shared" si="2"/>
        <v>0</v>
      </c>
      <c r="I28" s="67">
        <f t="shared" si="3"/>
        <v>2.9527736238825453</v>
      </c>
      <c r="J28" s="67">
        <f t="shared" si="4"/>
        <v>0.43382243617354538</v>
      </c>
      <c r="K28" s="100">
        <f t="shared" si="6"/>
        <v>0.28921495744903025</v>
      </c>
      <c r="N28" s="257"/>
      <c r="O28" s="96">
        <f>Amnt_Deposited!B23</f>
        <v>2009</v>
      </c>
      <c r="P28" s="99">
        <f>Amnt_Deposited!E23</f>
        <v>0</v>
      </c>
      <c r="Q28" s="283">
        <f>MCF!R27</f>
        <v>1</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Amnt_Deposited!D24</f>
        <v>5.0019954875220005</v>
      </c>
      <c r="D29" s="417">
        <f>Dry_Matter_Content!E16</f>
        <v>0.44</v>
      </c>
      <c r="E29" s="283">
        <f>MCF!R28</f>
        <v>1</v>
      </c>
      <c r="F29" s="67">
        <f t="shared" si="0"/>
        <v>0.66026340435290409</v>
      </c>
      <c r="G29" s="67">
        <f t="shared" si="1"/>
        <v>0.66026340435290409</v>
      </c>
      <c r="H29" s="67">
        <f t="shared" si="2"/>
        <v>0</v>
      </c>
      <c r="I29" s="67">
        <f t="shared" si="3"/>
        <v>3.1514146221964108</v>
      </c>
      <c r="J29" s="67">
        <f t="shared" si="4"/>
        <v>0.46162240603903842</v>
      </c>
      <c r="K29" s="100">
        <f t="shared" si="6"/>
        <v>0.30774827069269228</v>
      </c>
      <c r="O29" s="96">
        <f>Amnt_Deposited!B24</f>
        <v>2010</v>
      </c>
      <c r="P29" s="99">
        <f>Amnt_Deposited!E24</f>
        <v>0</v>
      </c>
      <c r="Q29" s="283">
        <f>MCF!R28</f>
        <v>1</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Amnt_Deposited!D25</f>
        <v>5.133015744912</v>
      </c>
      <c r="D30" s="417">
        <f>Dry_Matter_Content!E17</f>
        <v>0.44</v>
      </c>
      <c r="E30" s="283">
        <f>MCF!R29</f>
        <v>1</v>
      </c>
      <c r="F30" s="67">
        <f t="shared" si="0"/>
        <v>0.67755807832838399</v>
      </c>
      <c r="G30" s="67">
        <f t="shared" si="1"/>
        <v>0.67755807832838399</v>
      </c>
      <c r="H30" s="67">
        <f t="shared" si="2"/>
        <v>0</v>
      </c>
      <c r="I30" s="67">
        <f t="shared" si="3"/>
        <v>3.3362957175828809</v>
      </c>
      <c r="J30" s="67">
        <f t="shared" si="4"/>
        <v>0.49267698294191403</v>
      </c>
      <c r="K30" s="100">
        <f t="shared" si="6"/>
        <v>0.32845132196127602</v>
      </c>
      <c r="O30" s="96">
        <f>Amnt_Deposited!B25</f>
        <v>2011</v>
      </c>
      <c r="P30" s="99">
        <f>Amnt_Deposited!E25</f>
        <v>0</v>
      </c>
      <c r="Q30" s="283">
        <f>MCF!R29</f>
        <v>1</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Amnt_Deposited!D26</f>
        <v>5.2324852836959996</v>
      </c>
      <c r="D31" s="417">
        <f>Dry_Matter_Content!E18</f>
        <v>0.44</v>
      </c>
      <c r="E31" s="283">
        <f>MCF!R30</f>
        <v>1</v>
      </c>
      <c r="F31" s="67">
        <f t="shared" si="0"/>
        <v>0.69068805744787198</v>
      </c>
      <c r="G31" s="67">
        <f t="shared" si="1"/>
        <v>0.69068805744787198</v>
      </c>
      <c r="H31" s="67">
        <f t="shared" si="2"/>
        <v>0</v>
      </c>
      <c r="I31" s="67">
        <f t="shared" si="3"/>
        <v>3.5054033721337334</v>
      </c>
      <c r="J31" s="67">
        <f t="shared" si="4"/>
        <v>0.52158040289701935</v>
      </c>
      <c r="K31" s="100">
        <f t="shared" si="6"/>
        <v>0.34772026859801286</v>
      </c>
      <c r="O31" s="96">
        <f>Amnt_Deposited!B26</f>
        <v>2012</v>
      </c>
      <c r="P31" s="99">
        <f>Amnt_Deposited!E26</f>
        <v>0</v>
      </c>
      <c r="Q31" s="283">
        <f>MCF!R30</f>
        <v>1</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Amnt_Deposited!D27</f>
        <v>5.3316139275959991</v>
      </c>
      <c r="D32" s="417">
        <f>Dry_Matter_Content!E19</f>
        <v>0.44</v>
      </c>
      <c r="E32" s="283">
        <f>MCF!R31</f>
        <v>1</v>
      </c>
      <c r="F32" s="67">
        <f t="shared" si="0"/>
        <v>0.70377303844267181</v>
      </c>
      <c r="G32" s="67">
        <f t="shared" si="1"/>
        <v>0.70377303844267181</v>
      </c>
      <c r="H32" s="67">
        <f t="shared" si="2"/>
        <v>0</v>
      </c>
      <c r="I32" s="67">
        <f t="shared" si="3"/>
        <v>3.6611585314902229</v>
      </c>
      <c r="J32" s="67">
        <f t="shared" si="4"/>
        <v>0.54801787908618227</v>
      </c>
      <c r="K32" s="100">
        <f t="shared" si="6"/>
        <v>0.36534525272412149</v>
      </c>
      <c r="O32" s="96">
        <f>Amnt_Deposited!B27</f>
        <v>2013</v>
      </c>
      <c r="P32" s="99">
        <f>Amnt_Deposited!E27</f>
        <v>0</v>
      </c>
      <c r="Q32" s="283">
        <f>MCF!R31</f>
        <v>1</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Amnt_Deposited!D28</f>
        <v>5.4282665981279994</v>
      </c>
      <c r="D33" s="417">
        <f>Dry_Matter_Content!E20</f>
        <v>0.44</v>
      </c>
      <c r="E33" s="283">
        <f>MCF!R32</f>
        <v>1</v>
      </c>
      <c r="F33" s="67">
        <f t="shared" si="0"/>
        <v>0.71653119095289586</v>
      </c>
      <c r="G33" s="67">
        <f t="shared" si="1"/>
        <v>0.71653119095289586</v>
      </c>
      <c r="H33" s="67">
        <f t="shared" si="2"/>
        <v>0</v>
      </c>
      <c r="I33" s="67">
        <f t="shared" si="3"/>
        <v>3.8053218319528805</v>
      </c>
      <c r="J33" s="67">
        <f t="shared" si="4"/>
        <v>0.57236789049023851</v>
      </c>
      <c r="K33" s="100">
        <f t="shared" si="6"/>
        <v>0.381578593660159</v>
      </c>
      <c r="O33" s="96">
        <f>Amnt_Deposited!B28</f>
        <v>2014</v>
      </c>
      <c r="P33" s="99">
        <f>Amnt_Deposited!E28</f>
        <v>0</v>
      </c>
      <c r="Q33" s="283">
        <f>MCF!R32</f>
        <v>1</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Amnt_Deposited!D29</f>
        <v>5.5222638769319996</v>
      </c>
      <c r="D34" s="417">
        <f>Dry_Matter_Content!E21</f>
        <v>0.44</v>
      </c>
      <c r="E34" s="283">
        <f>MCF!R33</f>
        <v>1</v>
      </c>
      <c r="F34" s="67">
        <f t="shared" si="0"/>
        <v>0.72893883175502394</v>
      </c>
      <c r="G34" s="67">
        <f t="shared" si="1"/>
        <v>0.72893883175502394</v>
      </c>
      <c r="H34" s="67">
        <f t="shared" si="2"/>
        <v>0</v>
      </c>
      <c r="I34" s="67">
        <f t="shared" si="3"/>
        <v>3.9393549771997658</v>
      </c>
      <c r="J34" s="67">
        <f t="shared" si="4"/>
        <v>0.59490568650813869</v>
      </c>
      <c r="K34" s="100">
        <f t="shared" si="6"/>
        <v>0.39660379100542575</v>
      </c>
      <c r="O34" s="96">
        <f>Amnt_Deposited!B29</f>
        <v>2015</v>
      </c>
      <c r="P34" s="99">
        <f>Amnt_Deposited!E29</f>
        <v>0</v>
      </c>
      <c r="Q34" s="283">
        <f>MCF!R33</f>
        <v>1</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Amnt_Deposited!D30</f>
        <v>5.6155075986239993</v>
      </c>
      <c r="D35" s="417">
        <f>Dry_Matter_Content!E22</f>
        <v>0.44</v>
      </c>
      <c r="E35" s="283">
        <f>MCF!R34</f>
        <v>1</v>
      </c>
      <c r="F35" s="67">
        <f t="shared" si="0"/>
        <v>0.74124700301836788</v>
      </c>
      <c r="G35" s="67">
        <f t="shared" si="1"/>
        <v>0.74124700301836788</v>
      </c>
      <c r="H35" s="67">
        <f t="shared" si="2"/>
        <v>0</v>
      </c>
      <c r="I35" s="67">
        <f t="shared" si="3"/>
        <v>4.0647421973656597</v>
      </c>
      <c r="J35" s="67">
        <f t="shared" si="4"/>
        <v>0.61585978285247411</v>
      </c>
      <c r="K35" s="100">
        <f t="shared" si="6"/>
        <v>0.41057318856831604</v>
      </c>
      <c r="O35" s="96">
        <f>Amnt_Deposited!B30</f>
        <v>2016</v>
      </c>
      <c r="P35" s="99">
        <f>Amnt_Deposited!E30</f>
        <v>0</v>
      </c>
      <c r="Q35" s="283">
        <f>MCF!R34</f>
        <v>1</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Amnt_Deposited!D31</f>
        <v>5.6107547130095003</v>
      </c>
      <c r="D36" s="417">
        <f>Dry_Matter_Content!E23</f>
        <v>0.44</v>
      </c>
      <c r="E36" s="283">
        <f>MCF!R35</f>
        <v>1</v>
      </c>
      <c r="F36" s="67">
        <f t="shared" si="0"/>
        <v>0.74061962211725407</v>
      </c>
      <c r="G36" s="67">
        <f t="shared" si="1"/>
        <v>0.74061962211725407</v>
      </c>
      <c r="H36" s="67">
        <f t="shared" si="2"/>
        <v>0</v>
      </c>
      <c r="I36" s="67">
        <f t="shared" si="3"/>
        <v>4.1698996025693349</v>
      </c>
      <c r="J36" s="67">
        <f t="shared" si="4"/>
        <v>0.63546221691357874</v>
      </c>
      <c r="K36" s="100">
        <f t="shared" si="6"/>
        <v>0.42364147794238582</v>
      </c>
      <c r="O36" s="96">
        <f>Amnt_Deposited!B31</f>
        <v>2017</v>
      </c>
      <c r="P36" s="99">
        <f>Amnt_Deposited!E31</f>
        <v>0</v>
      </c>
      <c r="Q36" s="283">
        <f>MCF!R35</f>
        <v>1</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Amnt_Deposited!D32</f>
        <v>5.8695568032260717</v>
      </c>
      <c r="D37" s="417">
        <f>Dry_Matter_Content!E24</f>
        <v>0.44</v>
      </c>
      <c r="E37" s="283">
        <f>MCF!R36</f>
        <v>1</v>
      </c>
      <c r="F37" s="67">
        <f t="shared" si="0"/>
        <v>0.7747814980258414</v>
      </c>
      <c r="G37" s="67">
        <f t="shared" si="1"/>
        <v>0.7747814980258414</v>
      </c>
      <c r="H37" s="67">
        <f t="shared" si="2"/>
        <v>0</v>
      </c>
      <c r="I37" s="67">
        <f t="shared" si="3"/>
        <v>4.2927790814528333</v>
      </c>
      <c r="J37" s="67">
        <f t="shared" si="4"/>
        <v>0.65190201914234369</v>
      </c>
      <c r="K37" s="100">
        <f t="shared" si="6"/>
        <v>0.43460134609489576</v>
      </c>
      <c r="O37" s="96">
        <f>Amnt_Deposited!B32</f>
        <v>2018</v>
      </c>
      <c r="P37" s="99">
        <f>Amnt_Deposited!E32</f>
        <v>0</v>
      </c>
      <c r="Q37" s="283">
        <f>MCF!R36</f>
        <v>1</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Amnt_Deposited!D33</f>
        <v>6.1362033974413812</v>
      </c>
      <c r="D38" s="417">
        <f>Dry_Matter_Content!E25</f>
        <v>0.44</v>
      </c>
      <c r="E38" s="283">
        <f>MCF!R37</f>
        <v>1</v>
      </c>
      <c r="F38" s="67">
        <f t="shared" si="0"/>
        <v>0.80997884846226231</v>
      </c>
      <c r="G38" s="67">
        <f t="shared" si="1"/>
        <v>0.80997884846226231</v>
      </c>
      <c r="H38" s="67">
        <f t="shared" si="2"/>
        <v>0</v>
      </c>
      <c r="I38" s="67">
        <f t="shared" si="3"/>
        <v>4.43164552490496</v>
      </c>
      <c r="J38" s="67">
        <f t="shared" si="4"/>
        <v>0.67111240501013614</v>
      </c>
      <c r="K38" s="100">
        <f t="shared" si="6"/>
        <v>0.44740827000675742</v>
      </c>
      <c r="O38" s="96">
        <f>Amnt_Deposited!B33</f>
        <v>2019</v>
      </c>
      <c r="P38" s="99">
        <f>Amnt_Deposited!E33</f>
        <v>0</v>
      </c>
      <c r="Q38" s="283">
        <f>MCF!R37</f>
        <v>1</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Amnt_Deposited!D34</f>
        <v>6.4107809925567878</v>
      </c>
      <c r="D39" s="417">
        <f>Dry_Matter_Content!E26</f>
        <v>0.44</v>
      </c>
      <c r="E39" s="283">
        <f>MCF!R38</f>
        <v>1</v>
      </c>
      <c r="F39" s="67">
        <f t="shared" si="0"/>
        <v>0.84622309101749604</v>
      </c>
      <c r="G39" s="67">
        <f t="shared" si="1"/>
        <v>0.84622309101749604</v>
      </c>
      <c r="H39" s="67">
        <f t="shared" si="2"/>
        <v>0</v>
      </c>
      <c r="I39" s="67">
        <f t="shared" si="3"/>
        <v>4.5850465000066238</v>
      </c>
      <c r="J39" s="67">
        <f t="shared" si="4"/>
        <v>0.69282211591583232</v>
      </c>
      <c r="K39" s="100">
        <f t="shared" si="6"/>
        <v>0.46188141061055488</v>
      </c>
      <c r="O39" s="96">
        <f>Amnt_Deposited!B34</f>
        <v>2020</v>
      </c>
      <c r="P39" s="99">
        <f>Amnt_Deposited!E34</f>
        <v>0</v>
      </c>
      <c r="Q39" s="283">
        <f>MCF!R38</f>
        <v>1</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Amnt_Deposited!D35</f>
        <v>6.6933632753861749</v>
      </c>
      <c r="D40" s="417">
        <f>Dry_Matter_Content!E27</f>
        <v>0.44</v>
      </c>
      <c r="E40" s="283">
        <f>MCF!R39</f>
        <v>1</v>
      </c>
      <c r="F40" s="67">
        <f t="shared" si="0"/>
        <v>0.88352395235097514</v>
      </c>
      <c r="G40" s="67">
        <f t="shared" si="1"/>
        <v>0.88352395235097514</v>
      </c>
      <c r="H40" s="67">
        <f t="shared" si="2"/>
        <v>0</v>
      </c>
      <c r="I40" s="67">
        <f t="shared" si="3"/>
        <v>4.7517663668649543</v>
      </c>
      <c r="J40" s="67">
        <f t="shared" si="4"/>
        <v>0.71680408549264452</v>
      </c>
      <c r="K40" s="100">
        <f t="shared" si="6"/>
        <v>0.47786939032842968</v>
      </c>
      <c r="O40" s="96">
        <f>Amnt_Deposited!B35</f>
        <v>2021</v>
      </c>
      <c r="P40" s="99">
        <f>Amnt_Deposited!E35</f>
        <v>0</v>
      </c>
      <c r="Q40" s="283">
        <f>MCF!R39</f>
        <v>1</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Amnt_Deposited!D36</f>
        <v>6.984009417731003</v>
      </c>
      <c r="D41" s="417">
        <f>Dry_Matter_Content!E28</f>
        <v>0.44</v>
      </c>
      <c r="E41" s="283">
        <f>MCF!R40</f>
        <v>1</v>
      </c>
      <c r="F41" s="67">
        <f t="shared" si="0"/>
        <v>0.92188924314049236</v>
      </c>
      <c r="G41" s="67">
        <f t="shared" si="1"/>
        <v>0.92188924314049236</v>
      </c>
      <c r="H41" s="67">
        <f t="shared" si="2"/>
        <v>0</v>
      </c>
      <c r="I41" s="67">
        <f t="shared" si="3"/>
        <v>4.9307873435504792</v>
      </c>
      <c r="J41" s="67">
        <f t="shared" si="4"/>
        <v>0.74286826645496806</v>
      </c>
      <c r="K41" s="100">
        <f t="shared" si="6"/>
        <v>0.49524551096997871</v>
      </c>
      <c r="O41" s="96">
        <f>Amnt_Deposited!B36</f>
        <v>2022</v>
      </c>
      <c r="P41" s="99">
        <f>Amnt_Deposited!E36</f>
        <v>0</v>
      </c>
      <c r="Q41" s="283">
        <f>MCF!R40</f>
        <v>1</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Amnt_Deposited!D37</f>
        <v>7.2827622121008764</v>
      </c>
      <c r="D42" s="417">
        <f>Dry_Matter_Content!E29</f>
        <v>0.44</v>
      </c>
      <c r="E42" s="283">
        <f>MCF!R41</f>
        <v>1</v>
      </c>
      <c r="F42" s="67">
        <f t="shared" si="0"/>
        <v>0.96132461199731567</v>
      </c>
      <c r="G42" s="67">
        <f t="shared" si="1"/>
        <v>0.96132461199731567</v>
      </c>
      <c r="H42" s="67">
        <f t="shared" si="2"/>
        <v>0</v>
      </c>
      <c r="I42" s="67">
        <f t="shared" si="3"/>
        <v>5.1212564118696005</v>
      </c>
      <c r="J42" s="67">
        <f t="shared" si="4"/>
        <v>0.7708555436781942</v>
      </c>
      <c r="K42" s="100">
        <f t="shared" si="6"/>
        <v>0.5139036957854628</v>
      </c>
      <c r="O42" s="96">
        <f>Amnt_Deposited!B37</f>
        <v>2023</v>
      </c>
      <c r="P42" s="99">
        <f>Amnt_Deposited!E37</f>
        <v>0</v>
      </c>
      <c r="Q42" s="283">
        <f>MCF!R41</f>
        <v>1</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Amnt_Deposited!D38</f>
        <v>7.5896460345784638</v>
      </c>
      <c r="D43" s="417">
        <f>Dry_Matter_Content!E30</f>
        <v>0.44</v>
      </c>
      <c r="E43" s="283">
        <f>MCF!R42</f>
        <v>1</v>
      </c>
      <c r="F43" s="67">
        <f t="shared" si="0"/>
        <v>1.0018332765643572</v>
      </c>
      <c r="G43" s="67">
        <f t="shared" si="1"/>
        <v>1.0018332765643572</v>
      </c>
      <c r="H43" s="67">
        <f t="shared" si="2"/>
        <v>0</v>
      </c>
      <c r="I43" s="67">
        <f t="shared" si="3"/>
        <v>5.3224571280273771</v>
      </c>
      <c r="J43" s="67">
        <f t="shared" si="4"/>
        <v>0.80063256040657993</v>
      </c>
      <c r="K43" s="100">
        <f t="shared" si="6"/>
        <v>0.53375504027105325</v>
      </c>
      <c r="O43" s="96">
        <f>Amnt_Deposited!B38</f>
        <v>2024</v>
      </c>
      <c r="P43" s="99">
        <f>Amnt_Deposited!E38</f>
        <v>0</v>
      </c>
      <c r="Q43" s="283">
        <f>MCF!R42</f>
        <v>1</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Amnt_Deposited!D39</f>
        <v>7.904664620226419</v>
      </c>
      <c r="D44" s="417">
        <f>Dry_Matter_Content!E31</f>
        <v>0.44</v>
      </c>
      <c r="E44" s="283">
        <f>MCF!R43</f>
        <v>1</v>
      </c>
      <c r="F44" s="67">
        <f t="shared" si="0"/>
        <v>1.0434157298698874</v>
      </c>
      <c r="G44" s="67">
        <f t="shared" si="1"/>
        <v>1.0434157298698874</v>
      </c>
      <c r="H44" s="67">
        <f t="shared" si="2"/>
        <v>0</v>
      </c>
      <c r="I44" s="67">
        <f t="shared" si="3"/>
        <v>5.5337855466292201</v>
      </c>
      <c r="J44" s="67">
        <f t="shared" si="4"/>
        <v>0.83208731126804492</v>
      </c>
      <c r="K44" s="100">
        <f t="shared" si="6"/>
        <v>0.55472487417869654</v>
      </c>
      <c r="O44" s="96">
        <f>Amnt_Deposited!B39</f>
        <v>2025</v>
      </c>
      <c r="P44" s="99">
        <f>Amnt_Deposited!E39</f>
        <v>0</v>
      </c>
      <c r="Q44" s="283">
        <f>MCF!R43</f>
        <v>1</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Amnt_Deposited!D40</f>
        <v>8.2277986352445307</v>
      </c>
      <c r="D45" s="417">
        <f>Dry_Matter_Content!E32</f>
        <v>0.44</v>
      </c>
      <c r="E45" s="283">
        <f>MCF!R44</f>
        <v>1</v>
      </c>
      <c r="F45" s="67">
        <f t="shared" si="0"/>
        <v>1.086069419852278</v>
      </c>
      <c r="G45" s="67">
        <f t="shared" si="1"/>
        <v>1.086069419852278</v>
      </c>
      <c r="H45" s="67">
        <f t="shared" si="2"/>
        <v>0</v>
      </c>
      <c r="I45" s="67">
        <f t="shared" si="3"/>
        <v>5.7547295881329372</v>
      </c>
      <c r="J45" s="67">
        <f t="shared" si="4"/>
        <v>0.86512537834856018</v>
      </c>
      <c r="K45" s="100">
        <f t="shared" si="6"/>
        <v>0.57675025223237342</v>
      </c>
      <c r="O45" s="96">
        <f>Amnt_Deposited!B40</f>
        <v>2026</v>
      </c>
      <c r="P45" s="99">
        <f>Amnt_Deposited!E40</f>
        <v>0</v>
      </c>
      <c r="Q45" s="283">
        <f>MCF!R44</f>
        <v>1</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Amnt_Deposited!D41</f>
        <v>8.5590030288007526</v>
      </c>
      <c r="D46" s="417">
        <f>Dry_Matter_Content!E33</f>
        <v>0.44</v>
      </c>
      <c r="E46" s="283">
        <f>MCF!R45</f>
        <v>1</v>
      </c>
      <c r="F46" s="67">
        <f t="shared" si="0"/>
        <v>1.1297883998016993</v>
      </c>
      <c r="G46" s="67">
        <f t="shared" si="1"/>
        <v>1.1297883998016993</v>
      </c>
      <c r="H46" s="67">
        <f t="shared" si="2"/>
        <v>0</v>
      </c>
      <c r="I46" s="67">
        <f t="shared" si="3"/>
        <v>5.9848512823356561</v>
      </c>
      <c r="J46" s="67">
        <f t="shared" si="4"/>
        <v>0.89966670559897999</v>
      </c>
      <c r="K46" s="100">
        <f t="shared" si="6"/>
        <v>0.59977780373265333</v>
      </c>
      <c r="O46" s="96">
        <f>Amnt_Deposited!B41</f>
        <v>2027</v>
      </c>
      <c r="P46" s="99">
        <f>Amnt_Deposited!E41</f>
        <v>0</v>
      </c>
      <c r="Q46" s="283">
        <f>MCF!R45</f>
        <v>1</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Amnt_Deposited!D42</f>
        <v>8.8982041460723842</v>
      </c>
      <c r="D47" s="417">
        <f>Dry_Matter_Content!E34</f>
        <v>0.44</v>
      </c>
      <c r="E47" s="283">
        <f>MCF!R46</f>
        <v>1</v>
      </c>
      <c r="F47" s="67">
        <f t="shared" si="0"/>
        <v>1.1745629472815546</v>
      </c>
      <c r="G47" s="67">
        <f t="shared" si="1"/>
        <v>1.1745629472815546</v>
      </c>
      <c r="H47" s="67">
        <f t="shared" si="2"/>
        <v>0</v>
      </c>
      <c r="I47" s="67">
        <f t="shared" si="3"/>
        <v>6.2237714067498979</v>
      </c>
      <c r="J47" s="67">
        <f t="shared" si="4"/>
        <v>0.93564282286731293</v>
      </c>
      <c r="K47" s="100">
        <f t="shared" si="6"/>
        <v>0.62376188191154192</v>
      </c>
      <c r="O47" s="96">
        <f>Amnt_Deposited!B42</f>
        <v>2028</v>
      </c>
      <c r="P47" s="99">
        <f>Amnt_Deposited!E42</f>
        <v>0</v>
      </c>
      <c r="Q47" s="283">
        <f>MCF!R46</f>
        <v>1</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Amnt_Deposited!D43</f>
        <v>9.2452965825355395</v>
      </c>
      <c r="D48" s="417">
        <f>Dry_Matter_Content!E35</f>
        <v>0.44</v>
      </c>
      <c r="E48" s="283">
        <f>MCF!R47</f>
        <v>1</v>
      </c>
      <c r="F48" s="67">
        <f t="shared" si="0"/>
        <v>1.2203791488946911</v>
      </c>
      <c r="G48" s="67">
        <f t="shared" si="1"/>
        <v>1.2203791488946911</v>
      </c>
      <c r="H48" s="67">
        <f t="shared" si="2"/>
        <v>0</v>
      </c>
      <c r="I48" s="67">
        <f t="shared" si="3"/>
        <v>6.4711561113081615</v>
      </c>
      <c r="J48" s="67">
        <f t="shared" si="4"/>
        <v>0.97299444433642834</v>
      </c>
      <c r="K48" s="100">
        <f t="shared" si="6"/>
        <v>0.64866296289095215</v>
      </c>
      <c r="O48" s="96">
        <f>Amnt_Deposited!B43</f>
        <v>2029</v>
      </c>
      <c r="P48" s="99">
        <f>Amnt_Deposited!E43</f>
        <v>0</v>
      </c>
      <c r="Q48" s="283">
        <f>MCF!R47</f>
        <v>1</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Amnt_Deposited!D44</f>
        <v>9.6069251520000005</v>
      </c>
      <c r="D49" s="417">
        <f>Dry_Matter_Content!E36</f>
        <v>0.44</v>
      </c>
      <c r="E49" s="283">
        <f>MCF!R48</f>
        <v>1</v>
      </c>
      <c r="F49" s="67">
        <f t="shared" si="0"/>
        <v>1.268114120064</v>
      </c>
      <c r="G49" s="67">
        <f t="shared" si="1"/>
        <v>1.268114120064</v>
      </c>
      <c r="H49" s="67">
        <f t="shared" si="2"/>
        <v>0</v>
      </c>
      <c r="I49" s="67">
        <f t="shared" si="3"/>
        <v>6.7276008538773677</v>
      </c>
      <c r="J49" s="67">
        <f t="shared" si="4"/>
        <v>1.0116693774947938</v>
      </c>
      <c r="K49" s="100">
        <f t="shared" si="6"/>
        <v>0.67444625166319583</v>
      </c>
      <c r="O49" s="96">
        <f>Amnt_Deposited!B44</f>
        <v>2030</v>
      </c>
      <c r="P49" s="99">
        <f>Amnt_Deposited!E44</f>
        <v>0</v>
      </c>
      <c r="Q49" s="283">
        <f>MCF!R48</f>
        <v>1</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Amnt_Deposited!D45</f>
        <v>0</v>
      </c>
      <c r="D50" s="417">
        <f>Dry_Matter_Content!E37</f>
        <v>0.44</v>
      </c>
      <c r="E50" s="283">
        <f>MCF!R49</f>
        <v>1</v>
      </c>
      <c r="F50" s="67">
        <f t="shared" si="0"/>
        <v>0</v>
      </c>
      <c r="G50" s="67">
        <f t="shared" si="1"/>
        <v>0</v>
      </c>
      <c r="H50" s="67">
        <f t="shared" si="2"/>
        <v>0</v>
      </c>
      <c r="I50" s="67">
        <f t="shared" si="3"/>
        <v>5.6758401405201235</v>
      </c>
      <c r="J50" s="67">
        <f t="shared" si="4"/>
        <v>1.051760713357244</v>
      </c>
      <c r="K50" s="100">
        <f t="shared" si="6"/>
        <v>0.70117380890482928</v>
      </c>
      <c r="O50" s="96">
        <f>Amnt_Deposited!B45</f>
        <v>2031</v>
      </c>
      <c r="P50" s="99">
        <f>Amnt_Deposited!E45</f>
        <v>0</v>
      </c>
      <c r="Q50" s="283">
        <f>MCF!R49</f>
        <v>1</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Amnt_Deposited!D46</f>
        <v>0</v>
      </c>
      <c r="D51" s="417">
        <f>Dry_Matter_Content!E38</f>
        <v>0.44</v>
      </c>
      <c r="E51" s="283">
        <f>MCF!R50</f>
        <v>1</v>
      </c>
      <c r="F51" s="67">
        <f t="shared" si="0"/>
        <v>0</v>
      </c>
      <c r="G51" s="67">
        <f t="shared" si="1"/>
        <v>0</v>
      </c>
      <c r="H51" s="67">
        <f t="shared" si="2"/>
        <v>0</v>
      </c>
      <c r="I51" s="67">
        <f t="shared" si="3"/>
        <v>4.7885066311823028</v>
      </c>
      <c r="J51" s="67">
        <f t="shared" si="4"/>
        <v>0.88733350933782085</v>
      </c>
      <c r="K51" s="100">
        <f t="shared" si="6"/>
        <v>0.59155567289188049</v>
      </c>
      <c r="O51" s="96">
        <f>Amnt_Deposited!B46</f>
        <v>2032</v>
      </c>
      <c r="P51" s="99">
        <f>Amnt_Deposited!E46</f>
        <v>0</v>
      </c>
      <c r="Q51" s="283">
        <f>MCF!R50</f>
        <v>1</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Amnt_Deposited!D47</f>
        <v>0</v>
      </c>
      <c r="D52" s="417">
        <f>Dry_Matter_Content!E39</f>
        <v>0.44</v>
      </c>
      <c r="E52" s="283">
        <f>MCF!R51</f>
        <v>1</v>
      </c>
      <c r="F52" s="67">
        <f t="shared" si="0"/>
        <v>0</v>
      </c>
      <c r="G52" s="67">
        <f t="shared" si="1"/>
        <v>0</v>
      </c>
      <c r="H52" s="67">
        <f t="shared" si="2"/>
        <v>0</v>
      </c>
      <c r="I52" s="67">
        <f t="shared" si="3"/>
        <v>4.0398945687669849</v>
      </c>
      <c r="J52" s="67">
        <f t="shared" si="4"/>
        <v>0.74861206241531808</v>
      </c>
      <c r="K52" s="100">
        <f t="shared" si="6"/>
        <v>0.49907470827687872</v>
      </c>
      <c r="O52" s="96">
        <f>Amnt_Deposited!B47</f>
        <v>2033</v>
      </c>
      <c r="P52" s="99">
        <f>Amnt_Deposited!E47</f>
        <v>0</v>
      </c>
      <c r="Q52" s="283">
        <f>MCF!R51</f>
        <v>1</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Amnt_Deposited!D48</f>
        <v>0</v>
      </c>
      <c r="D53" s="417">
        <f>Dry_Matter_Content!E40</f>
        <v>0.44</v>
      </c>
      <c r="E53" s="283">
        <f>MCF!R52</f>
        <v>1</v>
      </c>
      <c r="F53" s="67">
        <f t="shared" si="0"/>
        <v>0</v>
      </c>
      <c r="G53" s="67">
        <f t="shared" si="1"/>
        <v>0</v>
      </c>
      <c r="H53" s="67">
        <f t="shared" si="2"/>
        <v>0</v>
      </c>
      <c r="I53" s="67">
        <f t="shared" si="3"/>
        <v>3.408316910427525</v>
      </c>
      <c r="J53" s="67">
        <f t="shared" si="4"/>
        <v>0.63157765833946</v>
      </c>
      <c r="K53" s="100">
        <f t="shared" si="6"/>
        <v>0.42105177222630663</v>
      </c>
      <c r="O53" s="96">
        <f>Amnt_Deposited!B48</f>
        <v>2034</v>
      </c>
      <c r="P53" s="99">
        <f>Amnt_Deposited!E48</f>
        <v>0</v>
      </c>
      <c r="Q53" s="283">
        <f>MCF!R52</f>
        <v>1</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Amnt_Deposited!D49</f>
        <v>0</v>
      </c>
      <c r="D54" s="417">
        <f>Dry_Matter_Content!E41</f>
        <v>0.44</v>
      </c>
      <c r="E54" s="283">
        <f>MCF!R53</f>
        <v>1</v>
      </c>
      <c r="F54" s="67">
        <f t="shared" si="0"/>
        <v>0</v>
      </c>
      <c r="G54" s="67">
        <f t="shared" si="1"/>
        <v>0</v>
      </c>
      <c r="H54" s="67">
        <f t="shared" si="2"/>
        <v>0</v>
      </c>
      <c r="I54" s="67">
        <f t="shared" si="3"/>
        <v>2.875477061138191</v>
      </c>
      <c r="J54" s="67">
        <f t="shared" si="4"/>
        <v>0.53283984928933403</v>
      </c>
      <c r="K54" s="100">
        <f t="shared" si="6"/>
        <v>0.35522656619288934</v>
      </c>
      <c r="O54" s="96">
        <f>Amnt_Deposited!B49</f>
        <v>2035</v>
      </c>
      <c r="P54" s="99">
        <f>Amnt_Deposited!E49</f>
        <v>0</v>
      </c>
      <c r="Q54" s="283">
        <f>MCF!R53</f>
        <v>1</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Amnt_Deposited!D50</f>
        <v>0</v>
      </c>
      <c r="D55" s="417">
        <f>Dry_Matter_Content!E42</f>
        <v>0.44</v>
      </c>
      <c r="E55" s="283">
        <f>MCF!R54</f>
        <v>1</v>
      </c>
      <c r="F55" s="67">
        <f t="shared" si="0"/>
        <v>0</v>
      </c>
      <c r="G55" s="67">
        <f t="shared" si="1"/>
        <v>0</v>
      </c>
      <c r="H55" s="67">
        <f t="shared" si="2"/>
        <v>0</v>
      </c>
      <c r="I55" s="67">
        <f t="shared" si="3"/>
        <v>2.4259388274122604</v>
      </c>
      <c r="J55" s="67">
        <f t="shared" si="4"/>
        <v>0.44953823372593066</v>
      </c>
      <c r="K55" s="100">
        <f t="shared" si="6"/>
        <v>0.29969215581728709</v>
      </c>
      <c r="O55" s="96">
        <f>Amnt_Deposited!B50</f>
        <v>2036</v>
      </c>
      <c r="P55" s="99">
        <f>Amnt_Deposited!E50</f>
        <v>0</v>
      </c>
      <c r="Q55" s="283">
        <f>MCF!R54</f>
        <v>1</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Amnt_Deposited!D51</f>
        <v>0</v>
      </c>
      <c r="D56" s="417">
        <f>Dry_Matter_Content!E43</f>
        <v>0.44</v>
      </c>
      <c r="E56" s="283">
        <f>MCF!R55</f>
        <v>1</v>
      </c>
      <c r="F56" s="67">
        <f t="shared" si="0"/>
        <v>0</v>
      </c>
      <c r="G56" s="67">
        <f t="shared" si="1"/>
        <v>0</v>
      </c>
      <c r="H56" s="67">
        <f t="shared" si="2"/>
        <v>0</v>
      </c>
      <c r="I56" s="67">
        <f t="shared" si="3"/>
        <v>2.0466792359028108</v>
      </c>
      <c r="J56" s="67">
        <f t="shared" si="4"/>
        <v>0.3792595915094496</v>
      </c>
      <c r="K56" s="100">
        <f t="shared" si="6"/>
        <v>0.25283972767296636</v>
      </c>
      <c r="O56" s="96">
        <f>Amnt_Deposited!B51</f>
        <v>2037</v>
      </c>
      <c r="P56" s="99">
        <f>Amnt_Deposited!E51</f>
        <v>0</v>
      </c>
      <c r="Q56" s="283">
        <f>MCF!R55</f>
        <v>1</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Amnt_Deposited!D52</f>
        <v>0</v>
      </c>
      <c r="D57" s="417">
        <f>Dry_Matter_Content!E44</f>
        <v>0.44</v>
      </c>
      <c r="E57" s="283">
        <f>MCF!R56</f>
        <v>1</v>
      </c>
      <c r="F57" s="67">
        <f t="shared" si="0"/>
        <v>0</v>
      </c>
      <c r="G57" s="67">
        <f t="shared" si="1"/>
        <v>0</v>
      </c>
      <c r="H57" s="67">
        <f t="shared" si="2"/>
        <v>0</v>
      </c>
      <c r="I57" s="67">
        <f t="shared" si="3"/>
        <v>1.7267112621895715</v>
      </c>
      <c r="J57" s="67">
        <f t="shared" si="4"/>
        <v>0.31996797371323921</v>
      </c>
      <c r="K57" s="100">
        <f t="shared" si="6"/>
        <v>0.2133119824754928</v>
      </c>
      <c r="O57" s="96">
        <f>Amnt_Deposited!B52</f>
        <v>2038</v>
      </c>
      <c r="P57" s="99">
        <f>Amnt_Deposited!E52</f>
        <v>0</v>
      </c>
      <c r="Q57" s="283">
        <f>MCF!R56</f>
        <v>1</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Amnt_Deposited!D53</f>
        <v>0</v>
      </c>
      <c r="D58" s="417">
        <f>Dry_Matter_Content!E45</f>
        <v>0.44</v>
      </c>
      <c r="E58" s="283">
        <f>MCF!R57</f>
        <v>1</v>
      </c>
      <c r="F58" s="67">
        <f t="shared" si="0"/>
        <v>0</v>
      </c>
      <c r="G58" s="67">
        <f t="shared" si="1"/>
        <v>0</v>
      </c>
      <c r="H58" s="67">
        <f t="shared" si="2"/>
        <v>0</v>
      </c>
      <c r="I58" s="67">
        <f t="shared" si="3"/>
        <v>1.456765540330075</v>
      </c>
      <c r="J58" s="67">
        <f t="shared" si="4"/>
        <v>0.26994572185949645</v>
      </c>
      <c r="K58" s="100">
        <f t="shared" si="6"/>
        <v>0.17996381457299762</v>
      </c>
      <c r="O58" s="96">
        <f>Amnt_Deposited!B53</f>
        <v>2039</v>
      </c>
      <c r="P58" s="99">
        <f>Amnt_Deposited!E53</f>
        <v>0</v>
      </c>
      <c r="Q58" s="283">
        <f>MCF!R57</f>
        <v>1</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Amnt_Deposited!D54</f>
        <v>0</v>
      </c>
      <c r="D59" s="417">
        <f>Dry_Matter_Content!E46</f>
        <v>0.44</v>
      </c>
      <c r="E59" s="283">
        <f>MCF!R58</f>
        <v>1</v>
      </c>
      <c r="F59" s="67">
        <f t="shared" si="0"/>
        <v>0</v>
      </c>
      <c r="G59" s="67">
        <f t="shared" si="1"/>
        <v>0</v>
      </c>
      <c r="H59" s="67">
        <f t="shared" si="2"/>
        <v>0</v>
      </c>
      <c r="I59" s="67">
        <f t="shared" si="3"/>
        <v>1.2290218324065045</v>
      </c>
      <c r="J59" s="67">
        <f t="shared" si="4"/>
        <v>0.22774370792357046</v>
      </c>
      <c r="K59" s="100">
        <f t="shared" si="6"/>
        <v>0.15182913861571362</v>
      </c>
      <c r="O59" s="96">
        <f>Amnt_Deposited!B54</f>
        <v>2040</v>
      </c>
      <c r="P59" s="99">
        <f>Amnt_Deposited!E54</f>
        <v>0</v>
      </c>
      <c r="Q59" s="283">
        <f>MCF!R58</f>
        <v>1</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Amnt_Deposited!D55</f>
        <v>0</v>
      </c>
      <c r="D60" s="417">
        <f>Dry_Matter_Content!E47</f>
        <v>0.44</v>
      </c>
      <c r="E60" s="283">
        <f>MCF!R59</f>
        <v>1</v>
      </c>
      <c r="F60" s="67">
        <f t="shared" si="0"/>
        <v>0</v>
      </c>
      <c r="G60" s="67">
        <f t="shared" si="1"/>
        <v>0</v>
      </c>
      <c r="H60" s="67">
        <f t="shared" si="2"/>
        <v>0</v>
      </c>
      <c r="I60" s="67">
        <f t="shared" si="3"/>
        <v>1.0368824788301851</v>
      </c>
      <c r="J60" s="67">
        <f t="shared" si="4"/>
        <v>0.19213935357631945</v>
      </c>
      <c r="K60" s="100">
        <f t="shared" si="6"/>
        <v>0.12809290238421295</v>
      </c>
      <c r="O60" s="96">
        <f>Amnt_Deposited!B55</f>
        <v>2041</v>
      </c>
      <c r="P60" s="99">
        <f>Amnt_Deposited!E55</f>
        <v>0</v>
      </c>
      <c r="Q60" s="283">
        <f>MCF!R59</f>
        <v>1</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Amnt_Deposited!D56</f>
        <v>0</v>
      </c>
      <c r="D61" s="417">
        <f>Dry_Matter_Content!E48</f>
        <v>0.44</v>
      </c>
      <c r="E61" s="283">
        <f>MCF!R60</f>
        <v>1</v>
      </c>
      <c r="F61" s="67">
        <f t="shared" si="0"/>
        <v>0</v>
      </c>
      <c r="G61" s="67">
        <f t="shared" si="1"/>
        <v>0</v>
      </c>
      <c r="H61" s="67">
        <f t="shared" si="2"/>
        <v>0</v>
      </c>
      <c r="I61" s="67">
        <f t="shared" si="3"/>
        <v>0.87478126633427189</v>
      </c>
      <c r="J61" s="67">
        <f t="shared" si="4"/>
        <v>0.16210121249591328</v>
      </c>
      <c r="K61" s="100">
        <f t="shared" si="6"/>
        <v>0.10806747499727551</v>
      </c>
      <c r="O61" s="96">
        <f>Amnt_Deposited!B56</f>
        <v>2042</v>
      </c>
      <c r="P61" s="99">
        <f>Amnt_Deposited!E56</f>
        <v>0</v>
      </c>
      <c r="Q61" s="283">
        <f>MCF!R60</f>
        <v>1</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Amnt_Deposited!D57</f>
        <v>0</v>
      </c>
      <c r="D62" s="417">
        <f>Dry_Matter_Content!E49</f>
        <v>0.44</v>
      </c>
      <c r="E62" s="283">
        <f>MCF!R61</f>
        <v>1</v>
      </c>
      <c r="F62" s="67">
        <f t="shared" si="0"/>
        <v>0</v>
      </c>
      <c r="G62" s="67">
        <f t="shared" si="1"/>
        <v>0</v>
      </c>
      <c r="H62" s="67">
        <f t="shared" si="2"/>
        <v>0</v>
      </c>
      <c r="I62" s="67">
        <f t="shared" si="3"/>
        <v>0.73802217662385583</v>
      </c>
      <c r="J62" s="67">
        <f t="shared" si="4"/>
        <v>0.13675908971041612</v>
      </c>
      <c r="K62" s="100">
        <f t="shared" si="6"/>
        <v>9.1172726473610743E-2</v>
      </c>
      <c r="O62" s="96">
        <f>Amnt_Deposited!B57</f>
        <v>2043</v>
      </c>
      <c r="P62" s="99">
        <f>Amnt_Deposited!E57</f>
        <v>0</v>
      </c>
      <c r="Q62" s="283">
        <f>MCF!R61</f>
        <v>1</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Amnt_Deposited!D58</f>
        <v>0</v>
      </c>
      <c r="D63" s="417">
        <f>Dry_Matter_Content!E50</f>
        <v>0.44</v>
      </c>
      <c r="E63" s="283">
        <f>MCF!R62</f>
        <v>1</v>
      </c>
      <c r="F63" s="67">
        <f t="shared" si="0"/>
        <v>0</v>
      </c>
      <c r="G63" s="67">
        <f t="shared" si="1"/>
        <v>0</v>
      </c>
      <c r="H63" s="67">
        <f t="shared" si="2"/>
        <v>0</v>
      </c>
      <c r="I63" s="67">
        <f t="shared" si="3"/>
        <v>0.62264334428542922</v>
      </c>
      <c r="J63" s="67">
        <f t="shared" si="4"/>
        <v>0.11537883233842661</v>
      </c>
      <c r="K63" s="100">
        <f t="shared" si="6"/>
        <v>7.6919221558951062E-2</v>
      </c>
      <c r="O63" s="96">
        <f>Amnt_Deposited!B58</f>
        <v>2044</v>
      </c>
      <c r="P63" s="99">
        <f>Amnt_Deposited!E58</f>
        <v>0</v>
      </c>
      <c r="Q63" s="283">
        <f>MCF!R62</f>
        <v>1</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Amnt_Deposited!D59</f>
        <v>0</v>
      </c>
      <c r="D64" s="417">
        <f>Dry_Matter_Content!E51</f>
        <v>0.44</v>
      </c>
      <c r="E64" s="283">
        <f>MCF!R63</f>
        <v>1</v>
      </c>
      <c r="F64" s="67">
        <f t="shared" si="0"/>
        <v>0</v>
      </c>
      <c r="G64" s="67">
        <f t="shared" si="1"/>
        <v>0</v>
      </c>
      <c r="H64" s="67">
        <f t="shared" si="2"/>
        <v>0</v>
      </c>
      <c r="I64" s="67">
        <f t="shared" si="3"/>
        <v>0.52530228286152569</v>
      </c>
      <c r="J64" s="67">
        <f t="shared" si="4"/>
        <v>9.7341061423903585E-2</v>
      </c>
      <c r="K64" s="100">
        <f t="shared" si="6"/>
        <v>6.4894040949269052E-2</v>
      </c>
      <c r="O64" s="96">
        <f>Amnt_Deposited!B59</f>
        <v>2045</v>
      </c>
      <c r="P64" s="99">
        <f>Amnt_Deposited!E59</f>
        <v>0</v>
      </c>
      <c r="Q64" s="283">
        <f>MCF!R63</f>
        <v>1</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Amnt_Deposited!D60</f>
        <v>0</v>
      </c>
      <c r="D65" s="417">
        <f>Dry_Matter_Content!E52</f>
        <v>0.44</v>
      </c>
      <c r="E65" s="283">
        <f>MCF!R64</f>
        <v>1</v>
      </c>
      <c r="F65" s="67">
        <f t="shared" si="0"/>
        <v>0</v>
      </c>
      <c r="G65" s="67">
        <f t="shared" si="1"/>
        <v>0</v>
      </c>
      <c r="H65" s="67">
        <f t="shared" si="2"/>
        <v>0</v>
      </c>
      <c r="I65" s="67">
        <f t="shared" si="3"/>
        <v>0.44317905412803077</v>
      </c>
      <c r="J65" s="67">
        <f t="shared" si="4"/>
        <v>8.2123228733494938E-2</v>
      </c>
      <c r="K65" s="100">
        <f t="shared" si="6"/>
        <v>5.4748819155663292E-2</v>
      </c>
      <c r="O65" s="96">
        <f>Amnt_Deposited!B60</f>
        <v>2046</v>
      </c>
      <c r="P65" s="99">
        <f>Amnt_Deposited!E60</f>
        <v>0</v>
      </c>
      <c r="Q65" s="283">
        <f>MCF!R64</f>
        <v>1</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Amnt_Deposited!D61</f>
        <v>0</v>
      </c>
      <c r="D66" s="417">
        <f>Dry_Matter_Content!E53</f>
        <v>0.44</v>
      </c>
      <c r="E66" s="283">
        <f>MCF!R65</f>
        <v>1</v>
      </c>
      <c r="F66" s="67">
        <f t="shared" si="0"/>
        <v>0</v>
      </c>
      <c r="G66" s="67">
        <f t="shared" si="1"/>
        <v>0</v>
      </c>
      <c r="H66" s="67">
        <f t="shared" si="2"/>
        <v>0</v>
      </c>
      <c r="I66" s="67">
        <f t="shared" si="3"/>
        <v>0.37389457542028387</v>
      </c>
      <c r="J66" s="67">
        <f t="shared" si="4"/>
        <v>6.9284478707746885E-2</v>
      </c>
      <c r="K66" s="100">
        <f t="shared" si="6"/>
        <v>4.6189652471831252E-2</v>
      </c>
      <c r="O66" s="96">
        <f>Amnt_Deposited!B61</f>
        <v>2047</v>
      </c>
      <c r="P66" s="99">
        <f>Amnt_Deposited!E61</f>
        <v>0</v>
      </c>
      <c r="Q66" s="283">
        <f>MCF!R65</f>
        <v>1</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Amnt_Deposited!D62</f>
        <v>0</v>
      </c>
      <c r="D67" s="417">
        <f>Dry_Matter_Content!E54</f>
        <v>0.44</v>
      </c>
      <c r="E67" s="283">
        <f>MCF!R66</f>
        <v>1</v>
      </c>
      <c r="F67" s="67">
        <f t="shared" si="0"/>
        <v>0</v>
      </c>
      <c r="G67" s="67">
        <f t="shared" si="1"/>
        <v>0</v>
      </c>
      <c r="H67" s="67">
        <f t="shared" si="2"/>
        <v>0</v>
      </c>
      <c r="I67" s="67">
        <f t="shared" si="3"/>
        <v>0.31544169839833652</v>
      </c>
      <c r="J67" s="67">
        <f t="shared" si="4"/>
        <v>5.8452877021947326E-2</v>
      </c>
      <c r="K67" s="100">
        <f t="shared" si="6"/>
        <v>3.8968584681298213E-2</v>
      </c>
      <c r="O67" s="96">
        <f>Amnt_Deposited!B62</f>
        <v>2048</v>
      </c>
      <c r="P67" s="99">
        <f>Amnt_Deposited!E62</f>
        <v>0</v>
      </c>
      <c r="Q67" s="283">
        <f>MCF!R66</f>
        <v>1</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Amnt_Deposited!D63</f>
        <v>0</v>
      </c>
      <c r="D68" s="417">
        <f>Dry_Matter_Content!E55</f>
        <v>0.44</v>
      </c>
      <c r="E68" s="283">
        <f>MCF!R67</f>
        <v>1</v>
      </c>
      <c r="F68" s="67">
        <f t="shared" si="0"/>
        <v>0</v>
      </c>
      <c r="G68" s="67">
        <f t="shared" si="1"/>
        <v>0</v>
      </c>
      <c r="H68" s="67">
        <f t="shared" si="2"/>
        <v>0</v>
      </c>
      <c r="I68" s="67">
        <f t="shared" si="3"/>
        <v>0.26612706262608438</v>
      </c>
      <c r="J68" s="67">
        <f t="shared" si="4"/>
        <v>4.9314635772252154E-2</v>
      </c>
      <c r="K68" s="100">
        <f t="shared" si="6"/>
        <v>3.28764238481681E-2</v>
      </c>
      <c r="O68" s="96">
        <f>Amnt_Deposited!B63</f>
        <v>2049</v>
      </c>
      <c r="P68" s="99">
        <f>Amnt_Deposited!E63</f>
        <v>0</v>
      </c>
      <c r="Q68" s="283">
        <f>MCF!R67</f>
        <v>1</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Amnt_Deposited!D64</f>
        <v>0</v>
      </c>
      <c r="D69" s="417">
        <f>Dry_Matter_Content!E56</f>
        <v>0.44</v>
      </c>
      <c r="E69" s="283">
        <f>MCF!R68</f>
        <v>1</v>
      </c>
      <c r="F69" s="67">
        <f t="shared" si="0"/>
        <v>0</v>
      </c>
      <c r="G69" s="67">
        <f t="shared" si="1"/>
        <v>0</v>
      </c>
      <c r="H69" s="67">
        <f t="shared" si="2"/>
        <v>0</v>
      </c>
      <c r="I69" s="67">
        <f t="shared" si="3"/>
        <v>0.2245220394817698</v>
      </c>
      <c r="J69" s="67">
        <f t="shared" si="4"/>
        <v>4.1605023144314579E-2</v>
      </c>
      <c r="K69" s="100">
        <f t="shared" si="6"/>
        <v>2.7736682096209719E-2</v>
      </c>
      <c r="O69" s="96">
        <f>Amnt_Deposited!B64</f>
        <v>2050</v>
      </c>
      <c r="P69" s="99">
        <f>Amnt_Deposited!E64</f>
        <v>0</v>
      </c>
      <c r="Q69" s="283">
        <f>MCF!R68</f>
        <v>1</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Amnt_Deposited!D65</f>
        <v>0</v>
      </c>
      <c r="D70" s="417">
        <f>Dry_Matter_Content!E57</f>
        <v>0.44</v>
      </c>
      <c r="E70" s="283">
        <f>MCF!R69</f>
        <v>1</v>
      </c>
      <c r="F70" s="67">
        <f t="shared" si="0"/>
        <v>0</v>
      </c>
      <c r="G70" s="67">
        <f t="shared" si="1"/>
        <v>0</v>
      </c>
      <c r="H70" s="67">
        <f t="shared" si="2"/>
        <v>0</v>
      </c>
      <c r="I70" s="67">
        <f t="shared" si="3"/>
        <v>0.18942134526123333</v>
      </c>
      <c r="J70" s="67">
        <f t="shared" si="4"/>
        <v>3.5100694220536459E-2</v>
      </c>
      <c r="K70" s="100">
        <f t="shared" si="6"/>
        <v>2.3400462813690973E-2</v>
      </c>
      <c r="O70" s="96">
        <f>Amnt_Deposited!B65</f>
        <v>2051</v>
      </c>
      <c r="P70" s="99">
        <f>Amnt_Deposited!E65</f>
        <v>0</v>
      </c>
      <c r="Q70" s="283">
        <f>MCF!R69</f>
        <v>1</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Amnt_Deposited!D66</f>
        <v>0</v>
      </c>
      <c r="D71" s="417">
        <f>Dry_Matter_Content!E58</f>
        <v>0.44</v>
      </c>
      <c r="E71" s="283">
        <f>MCF!R70</f>
        <v>1</v>
      </c>
      <c r="F71" s="67">
        <f t="shared" si="0"/>
        <v>0</v>
      </c>
      <c r="G71" s="67">
        <f t="shared" si="1"/>
        <v>0</v>
      </c>
      <c r="H71" s="67">
        <f t="shared" si="2"/>
        <v>0</v>
      </c>
      <c r="I71" s="67">
        <f t="shared" si="3"/>
        <v>0.15980812450925869</v>
      </c>
      <c r="J71" s="67">
        <f t="shared" si="4"/>
        <v>2.9613220751974638E-2</v>
      </c>
      <c r="K71" s="100">
        <f t="shared" si="6"/>
        <v>1.9742147167983091E-2</v>
      </c>
      <c r="O71" s="96">
        <f>Amnt_Deposited!B66</f>
        <v>2052</v>
      </c>
      <c r="P71" s="99">
        <f>Amnt_Deposited!E66</f>
        <v>0</v>
      </c>
      <c r="Q71" s="283">
        <f>MCF!R70</f>
        <v>1</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Amnt_Deposited!D67</f>
        <v>0</v>
      </c>
      <c r="D72" s="417">
        <f>Dry_Matter_Content!E59</f>
        <v>0.44</v>
      </c>
      <c r="E72" s="283">
        <f>MCF!R71</f>
        <v>1</v>
      </c>
      <c r="F72" s="67">
        <f t="shared" si="0"/>
        <v>0</v>
      </c>
      <c r="G72" s="67">
        <f t="shared" si="1"/>
        <v>0</v>
      </c>
      <c r="H72" s="67">
        <f t="shared" si="2"/>
        <v>0</v>
      </c>
      <c r="I72" s="67">
        <f t="shared" si="3"/>
        <v>0.13482449205471578</v>
      </c>
      <c r="J72" s="67">
        <f t="shared" si="4"/>
        <v>2.4983632454542905E-2</v>
      </c>
      <c r="K72" s="100">
        <f t="shared" si="6"/>
        <v>1.665575496969527E-2</v>
      </c>
      <c r="O72" s="96">
        <f>Amnt_Deposited!B67</f>
        <v>2053</v>
      </c>
      <c r="P72" s="99">
        <f>Amnt_Deposited!E67</f>
        <v>0</v>
      </c>
      <c r="Q72" s="283">
        <f>MCF!R71</f>
        <v>1</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Amnt_Deposited!D68</f>
        <v>0</v>
      </c>
      <c r="D73" s="417">
        <f>Dry_Matter_Content!E60</f>
        <v>0.44</v>
      </c>
      <c r="E73" s="283">
        <f>MCF!R72</f>
        <v>1</v>
      </c>
      <c r="F73" s="67">
        <f t="shared" si="0"/>
        <v>0</v>
      </c>
      <c r="G73" s="67">
        <f t="shared" si="1"/>
        <v>0</v>
      </c>
      <c r="H73" s="67">
        <f t="shared" si="2"/>
        <v>0</v>
      </c>
      <c r="I73" s="67">
        <f t="shared" si="3"/>
        <v>0.11374668036204238</v>
      </c>
      <c r="J73" s="67">
        <f t="shared" si="4"/>
        <v>2.10778116926734E-2</v>
      </c>
      <c r="K73" s="100">
        <f t="shared" si="6"/>
        <v>1.4051874461782266E-2</v>
      </c>
      <c r="O73" s="96">
        <f>Amnt_Deposited!B68</f>
        <v>2054</v>
      </c>
      <c r="P73" s="99">
        <f>Amnt_Deposited!E68</f>
        <v>0</v>
      </c>
      <c r="Q73" s="283">
        <f>MCF!R72</f>
        <v>1</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Amnt_Deposited!D69</f>
        <v>0</v>
      </c>
      <c r="D74" s="417">
        <f>Dry_Matter_Content!E61</f>
        <v>0.44</v>
      </c>
      <c r="E74" s="283">
        <f>MCF!R73</f>
        <v>1</v>
      </c>
      <c r="F74" s="67">
        <f t="shared" si="0"/>
        <v>0</v>
      </c>
      <c r="G74" s="67">
        <f t="shared" si="1"/>
        <v>0</v>
      </c>
      <c r="H74" s="67">
        <f t="shared" si="2"/>
        <v>0</v>
      </c>
      <c r="I74" s="67">
        <f t="shared" si="3"/>
        <v>9.5964072226089964E-2</v>
      </c>
      <c r="J74" s="67">
        <f t="shared" si="4"/>
        <v>1.7782608135952418E-2</v>
      </c>
      <c r="K74" s="100">
        <f t="shared" si="6"/>
        <v>1.1855072090634945E-2</v>
      </c>
      <c r="O74" s="96">
        <f>Amnt_Deposited!B69</f>
        <v>2055</v>
      </c>
      <c r="P74" s="99">
        <f>Amnt_Deposited!E69</f>
        <v>0</v>
      </c>
      <c r="Q74" s="283">
        <f>MCF!R73</f>
        <v>1</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Amnt_Deposited!D70</f>
        <v>0</v>
      </c>
      <c r="D75" s="417">
        <f>Dry_Matter_Content!E62</f>
        <v>0.44</v>
      </c>
      <c r="E75" s="283">
        <f>MCF!R74</f>
        <v>1</v>
      </c>
      <c r="F75" s="67">
        <f t="shared" si="0"/>
        <v>0</v>
      </c>
      <c r="G75" s="67">
        <f t="shared" si="1"/>
        <v>0</v>
      </c>
      <c r="H75" s="67">
        <f t="shared" si="2"/>
        <v>0</v>
      </c>
      <c r="I75" s="67">
        <f t="shared" si="3"/>
        <v>8.0961511394466307E-2</v>
      </c>
      <c r="J75" s="67">
        <f t="shared" si="4"/>
        <v>1.5002560831623655E-2</v>
      </c>
      <c r="K75" s="100">
        <f t="shared" si="6"/>
        <v>1.0001707221082436E-2</v>
      </c>
      <c r="O75" s="96">
        <f>Amnt_Deposited!B70</f>
        <v>2056</v>
      </c>
      <c r="P75" s="99">
        <f>Amnt_Deposited!E70</f>
        <v>0</v>
      </c>
      <c r="Q75" s="283">
        <f>MCF!R74</f>
        <v>1</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Amnt_Deposited!D71</f>
        <v>0</v>
      </c>
      <c r="D76" s="417">
        <f>Dry_Matter_Content!E63</f>
        <v>0.44</v>
      </c>
      <c r="E76" s="283">
        <f>MCF!R75</f>
        <v>1</v>
      </c>
      <c r="F76" s="67">
        <f t="shared" si="0"/>
        <v>0</v>
      </c>
      <c r="G76" s="67">
        <f t="shared" si="1"/>
        <v>0</v>
      </c>
      <c r="H76" s="67">
        <f t="shared" si="2"/>
        <v>0</v>
      </c>
      <c r="I76" s="67">
        <f t="shared" si="3"/>
        <v>6.8304378661978443E-2</v>
      </c>
      <c r="J76" s="67">
        <f t="shared" si="4"/>
        <v>1.265713273248786E-2</v>
      </c>
      <c r="K76" s="100">
        <f t="shared" si="6"/>
        <v>8.4380884883252395E-3</v>
      </c>
      <c r="O76" s="96">
        <f>Amnt_Deposited!B71</f>
        <v>2057</v>
      </c>
      <c r="P76" s="99">
        <f>Amnt_Deposited!E71</f>
        <v>0</v>
      </c>
      <c r="Q76" s="283">
        <f>MCF!R75</f>
        <v>1</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Amnt_Deposited!D72</f>
        <v>0</v>
      </c>
      <c r="D77" s="417">
        <f>Dry_Matter_Content!E64</f>
        <v>0.44</v>
      </c>
      <c r="E77" s="283">
        <f>MCF!R76</f>
        <v>1</v>
      </c>
      <c r="F77" s="67">
        <f t="shared" si="0"/>
        <v>0</v>
      </c>
      <c r="G77" s="67">
        <f t="shared" si="1"/>
        <v>0</v>
      </c>
      <c r="H77" s="67">
        <f t="shared" si="2"/>
        <v>0</v>
      </c>
      <c r="I77" s="67">
        <f t="shared" si="3"/>
        <v>5.7626001096587991E-2</v>
      </c>
      <c r="J77" s="67">
        <f t="shared" si="4"/>
        <v>1.0678377565390456E-2</v>
      </c>
      <c r="K77" s="100">
        <f t="shared" si="6"/>
        <v>7.1189183769269707E-3</v>
      </c>
      <c r="O77" s="96">
        <f>Amnt_Deposited!B72</f>
        <v>2058</v>
      </c>
      <c r="P77" s="99">
        <f>Amnt_Deposited!E72</f>
        <v>0</v>
      </c>
      <c r="Q77" s="283">
        <f>MCF!R76</f>
        <v>1</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Amnt_Deposited!D73</f>
        <v>0</v>
      </c>
      <c r="D78" s="417">
        <f>Dry_Matter_Content!E65</f>
        <v>0.44</v>
      </c>
      <c r="E78" s="283">
        <f>MCF!R77</f>
        <v>1</v>
      </c>
      <c r="F78" s="67">
        <f t="shared" si="0"/>
        <v>0</v>
      </c>
      <c r="G78" s="67">
        <f t="shared" si="1"/>
        <v>0</v>
      </c>
      <c r="H78" s="67">
        <f t="shared" si="2"/>
        <v>0</v>
      </c>
      <c r="I78" s="67">
        <f t="shared" si="3"/>
        <v>4.8617029646335914E-2</v>
      </c>
      <c r="J78" s="67">
        <f t="shared" si="4"/>
        <v>9.008971450252078E-3</v>
      </c>
      <c r="K78" s="100">
        <f t="shared" si="6"/>
        <v>6.0059809668347184E-3</v>
      </c>
      <c r="O78" s="96">
        <f>Amnt_Deposited!B73</f>
        <v>2059</v>
      </c>
      <c r="P78" s="99">
        <f>Amnt_Deposited!E73</f>
        <v>0</v>
      </c>
      <c r="Q78" s="283">
        <f>MCF!R77</f>
        <v>1</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Amnt_Deposited!D74</f>
        <v>0</v>
      </c>
      <c r="D79" s="417">
        <f>Dry_Matter_Content!E66</f>
        <v>0.44</v>
      </c>
      <c r="E79" s="283">
        <f>MCF!R78</f>
        <v>1</v>
      </c>
      <c r="F79" s="67">
        <f t="shared" si="0"/>
        <v>0</v>
      </c>
      <c r="G79" s="67">
        <f t="shared" si="1"/>
        <v>0</v>
      </c>
      <c r="H79" s="67">
        <f t="shared" si="2"/>
        <v>0</v>
      </c>
      <c r="I79" s="67">
        <f t="shared" si="3"/>
        <v>4.1016477400036937E-2</v>
      </c>
      <c r="J79" s="67">
        <f t="shared" si="4"/>
        <v>7.600552246298976E-3</v>
      </c>
      <c r="K79" s="100">
        <f t="shared" si="6"/>
        <v>5.0670348308659834E-3</v>
      </c>
      <c r="O79" s="96">
        <f>Amnt_Deposited!B74</f>
        <v>2060</v>
      </c>
      <c r="P79" s="99">
        <f>Amnt_Deposited!E74</f>
        <v>0</v>
      </c>
      <c r="Q79" s="283">
        <f>MCF!R78</f>
        <v>1</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Amnt_Deposited!D75</f>
        <v>0</v>
      </c>
      <c r="D80" s="417">
        <f>Dry_Matter_Content!E67</f>
        <v>0.44</v>
      </c>
      <c r="E80" s="283">
        <f>MCF!R79</f>
        <v>1</v>
      </c>
      <c r="F80" s="67">
        <f t="shared" si="0"/>
        <v>0</v>
      </c>
      <c r="G80" s="67">
        <f t="shared" si="1"/>
        <v>0</v>
      </c>
      <c r="H80" s="67">
        <f t="shared" si="2"/>
        <v>0</v>
      </c>
      <c r="I80" s="67">
        <f t="shared" si="3"/>
        <v>3.4604158883131876E-2</v>
      </c>
      <c r="J80" s="67">
        <f t="shared" si="4"/>
        <v>6.4123185169050571E-3</v>
      </c>
      <c r="K80" s="100">
        <f t="shared" si="6"/>
        <v>4.2748790112700375E-3</v>
      </c>
      <c r="O80" s="96">
        <f>Amnt_Deposited!B75</f>
        <v>2061</v>
      </c>
      <c r="P80" s="99">
        <f>Amnt_Deposited!E75</f>
        <v>0</v>
      </c>
      <c r="Q80" s="283">
        <f>MCF!R79</f>
        <v>1</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Amnt_Deposited!D76</f>
        <v>0</v>
      </c>
      <c r="D81" s="417">
        <f>Dry_Matter_Content!E68</f>
        <v>0.44</v>
      </c>
      <c r="E81" s="283">
        <f>MCF!R80</f>
        <v>1</v>
      </c>
      <c r="F81" s="67">
        <f t="shared" si="0"/>
        <v>0</v>
      </c>
      <c r="G81" s="67">
        <f t="shared" si="1"/>
        <v>0</v>
      </c>
      <c r="H81" s="67">
        <f t="shared" si="2"/>
        <v>0</v>
      </c>
      <c r="I81" s="67">
        <f t="shared" si="3"/>
        <v>2.9194311357609578E-2</v>
      </c>
      <c r="J81" s="67">
        <f t="shared" si="4"/>
        <v>5.4098475255222999E-3</v>
      </c>
      <c r="K81" s="100">
        <f t="shared" si="6"/>
        <v>3.6065650170148665E-3</v>
      </c>
      <c r="O81" s="96">
        <f>Amnt_Deposited!B76</f>
        <v>2062</v>
      </c>
      <c r="P81" s="99">
        <f>Amnt_Deposited!E76</f>
        <v>0</v>
      </c>
      <c r="Q81" s="283">
        <f>MCF!R80</f>
        <v>1</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Amnt_Deposited!D77</f>
        <v>0</v>
      </c>
      <c r="D82" s="417">
        <f>Dry_Matter_Content!E69</f>
        <v>0.44</v>
      </c>
      <c r="E82" s="283">
        <f>MCF!R81</f>
        <v>1</v>
      </c>
      <c r="F82" s="67">
        <f t="shared" si="0"/>
        <v>0</v>
      </c>
      <c r="G82" s="67">
        <f t="shared" si="1"/>
        <v>0</v>
      </c>
      <c r="H82" s="67">
        <f t="shared" si="2"/>
        <v>0</v>
      </c>
      <c r="I82" s="67">
        <f t="shared" si="3"/>
        <v>2.4630213337175407E-2</v>
      </c>
      <c r="J82" s="67">
        <f t="shared" si="4"/>
        <v>4.5640980204341717E-3</v>
      </c>
      <c r="K82" s="100">
        <f t="shared" si="6"/>
        <v>3.0427320136227811E-3</v>
      </c>
      <c r="O82" s="96">
        <f>Amnt_Deposited!B77</f>
        <v>2063</v>
      </c>
      <c r="P82" s="99">
        <f>Amnt_Deposited!E77</f>
        <v>0</v>
      </c>
      <c r="Q82" s="283">
        <f>MCF!R81</f>
        <v>1</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Amnt_Deposited!D78</f>
        <v>0</v>
      </c>
      <c r="D83" s="417">
        <f>Dry_Matter_Content!E70</f>
        <v>0.44</v>
      </c>
      <c r="E83" s="283">
        <f>MCF!R82</f>
        <v>1</v>
      </c>
      <c r="F83" s="67">
        <f t="shared" ref="F83:F99" si="12">C83*D83*$K$6*DOCF*E83</f>
        <v>0</v>
      </c>
      <c r="G83" s="67">
        <f t="shared" ref="G83:G99" si="13">F83*$K$12</f>
        <v>0</v>
      </c>
      <c r="H83" s="67">
        <f t="shared" ref="H83:H99" si="14">F83*(1-$K$12)</f>
        <v>0</v>
      </c>
      <c r="I83" s="67">
        <f t="shared" ref="I83:I99" si="15">G83+I82*$K$10</f>
        <v>2.0779644417837893E-2</v>
      </c>
      <c r="J83" s="67">
        <f t="shared" ref="J83:J99" si="16">I82*(1-$K$10)+H83</f>
        <v>3.8505689193375136E-3</v>
      </c>
      <c r="K83" s="100">
        <f t="shared" si="6"/>
        <v>2.5670459462250089E-3</v>
      </c>
      <c r="O83" s="96">
        <f>Amnt_Deposited!B78</f>
        <v>2064</v>
      </c>
      <c r="P83" s="99">
        <f>Amnt_Deposited!E78</f>
        <v>0</v>
      </c>
      <c r="Q83" s="283">
        <f>MCF!R82</f>
        <v>1</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Amnt_Deposited!D79</f>
        <v>0</v>
      </c>
      <c r="D84" s="417">
        <f>Dry_Matter_Content!E71</f>
        <v>0.44</v>
      </c>
      <c r="E84" s="283">
        <f>MCF!R83</f>
        <v>1</v>
      </c>
      <c r="F84" s="67">
        <f t="shared" si="12"/>
        <v>0</v>
      </c>
      <c r="G84" s="67">
        <f t="shared" si="13"/>
        <v>0</v>
      </c>
      <c r="H84" s="67">
        <f t="shared" si="14"/>
        <v>0</v>
      </c>
      <c r="I84" s="67">
        <f t="shared" si="15"/>
        <v>1.7531054896713274E-2</v>
      </c>
      <c r="J84" s="67">
        <f t="shared" si="16"/>
        <v>3.2485895211246184E-3</v>
      </c>
      <c r="K84" s="100">
        <f t="shared" si="6"/>
        <v>2.1657263474164122E-3</v>
      </c>
      <c r="O84" s="96">
        <f>Amnt_Deposited!B79</f>
        <v>2065</v>
      </c>
      <c r="P84" s="99">
        <f>Amnt_Deposited!E79</f>
        <v>0</v>
      </c>
      <c r="Q84" s="283">
        <f>MCF!R83</f>
        <v>1</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Amnt_Deposited!D80</f>
        <v>0</v>
      </c>
      <c r="D85" s="417">
        <f>Dry_Matter_Content!E72</f>
        <v>0.44</v>
      </c>
      <c r="E85" s="283">
        <f>MCF!R84</f>
        <v>1</v>
      </c>
      <c r="F85" s="67">
        <f t="shared" si="12"/>
        <v>0</v>
      </c>
      <c r="G85" s="67">
        <f t="shared" si="13"/>
        <v>0</v>
      </c>
      <c r="H85" s="67">
        <f t="shared" si="14"/>
        <v>0</v>
      </c>
      <c r="I85" s="67">
        <f t="shared" si="15"/>
        <v>1.4790334214176739E-2</v>
      </c>
      <c r="J85" s="67">
        <f t="shared" si="16"/>
        <v>2.7407206825365354E-3</v>
      </c>
      <c r="K85" s="100">
        <f t="shared" ref="K85:K99" si="18">J85*CH4_fraction*conv</f>
        <v>1.8271471216910235E-3</v>
      </c>
      <c r="O85" s="96">
        <f>Amnt_Deposited!B80</f>
        <v>2066</v>
      </c>
      <c r="P85" s="99">
        <f>Amnt_Deposited!E80</f>
        <v>0</v>
      </c>
      <c r="Q85" s="283">
        <f>MCF!R84</f>
        <v>1</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Amnt_Deposited!D81</f>
        <v>0</v>
      </c>
      <c r="D86" s="417">
        <f>Dry_Matter_Content!E73</f>
        <v>0.44</v>
      </c>
      <c r="E86" s="283">
        <f>MCF!R85</f>
        <v>1</v>
      </c>
      <c r="F86" s="67">
        <f t="shared" si="12"/>
        <v>0</v>
      </c>
      <c r="G86" s="67">
        <f t="shared" si="13"/>
        <v>0</v>
      </c>
      <c r="H86" s="67">
        <f t="shared" si="14"/>
        <v>0</v>
      </c>
      <c r="I86" s="67">
        <f t="shared" si="15"/>
        <v>1.2478084602202637E-2</v>
      </c>
      <c r="J86" s="67">
        <f t="shared" si="16"/>
        <v>2.3122496119741018E-3</v>
      </c>
      <c r="K86" s="100">
        <f t="shared" si="18"/>
        <v>1.5414997413160678E-3</v>
      </c>
      <c r="O86" s="96">
        <f>Amnt_Deposited!B81</f>
        <v>2067</v>
      </c>
      <c r="P86" s="99">
        <f>Amnt_Deposited!E81</f>
        <v>0</v>
      </c>
      <c r="Q86" s="283">
        <f>MCF!R85</f>
        <v>1</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Amnt_Deposited!D82</f>
        <v>0</v>
      </c>
      <c r="D87" s="417">
        <f>Dry_Matter_Content!E74</f>
        <v>0.44</v>
      </c>
      <c r="E87" s="283">
        <f>MCF!R86</f>
        <v>1</v>
      </c>
      <c r="F87" s="67">
        <f t="shared" si="12"/>
        <v>0</v>
      </c>
      <c r="G87" s="67">
        <f t="shared" si="13"/>
        <v>0</v>
      </c>
      <c r="H87" s="67">
        <f t="shared" si="14"/>
        <v>0</v>
      </c>
      <c r="I87" s="67">
        <f t="shared" si="15"/>
        <v>1.0527320957391447E-2</v>
      </c>
      <c r="J87" s="67">
        <f t="shared" si="16"/>
        <v>1.9507636448111898E-3</v>
      </c>
      <c r="K87" s="100">
        <f t="shared" si="18"/>
        <v>1.3005090965407932E-3</v>
      </c>
      <c r="O87" s="96">
        <f>Amnt_Deposited!B82</f>
        <v>2068</v>
      </c>
      <c r="P87" s="99">
        <f>Amnt_Deposited!E82</f>
        <v>0</v>
      </c>
      <c r="Q87" s="283">
        <f>MCF!R86</f>
        <v>1</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Amnt_Deposited!D83</f>
        <v>0</v>
      </c>
      <c r="D88" s="417">
        <f>Dry_Matter_Content!E75</f>
        <v>0.44</v>
      </c>
      <c r="E88" s="283">
        <f>MCF!R87</f>
        <v>1</v>
      </c>
      <c r="F88" s="67">
        <f t="shared" si="12"/>
        <v>0</v>
      </c>
      <c r="G88" s="67">
        <f t="shared" si="13"/>
        <v>0</v>
      </c>
      <c r="H88" s="67">
        <f t="shared" si="14"/>
        <v>0</v>
      </c>
      <c r="I88" s="67">
        <f t="shared" si="15"/>
        <v>8.8815303047689222E-3</v>
      </c>
      <c r="J88" s="67">
        <f t="shared" si="16"/>
        <v>1.6457906526225253E-3</v>
      </c>
      <c r="K88" s="100">
        <f t="shared" si="18"/>
        <v>1.0971937684150167E-3</v>
      </c>
      <c r="O88" s="96">
        <f>Amnt_Deposited!B83</f>
        <v>2069</v>
      </c>
      <c r="P88" s="99">
        <f>Amnt_Deposited!E83</f>
        <v>0</v>
      </c>
      <c r="Q88" s="283">
        <f>MCF!R87</f>
        <v>1</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Amnt_Deposited!D84</f>
        <v>0</v>
      </c>
      <c r="D89" s="417">
        <f>Dry_Matter_Content!E76</f>
        <v>0.44</v>
      </c>
      <c r="E89" s="283">
        <f>MCF!R88</f>
        <v>1</v>
      </c>
      <c r="F89" s="67">
        <f t="shared" si="12"/>
        <v>0</v>
      </c>
      <c r="G89" s="67">
        <f t="shared" si="13"/>
        <v>0</v>
      </c>
      <c r="H89" s="67">
        <f t="shared" si="14"/>
        <v>0</v>
      </c>
      <c r="I89" s="67">
        <f t="shared" si="15"/>
        <v>7.4930346356680963E-3</v>
      </c>
      <c r="J89" s="67">
        <f t="shared" si="16"/>
        <v>1.3884956691008255E-3</v>
      </c>
      <c r="K89" s="100">
        <f t="shared" si="18"/>
        <v>9.2566377940055036E-4</v>
      </c>
      <c r="O89" s="96">
        <f>Amnt_Deposited!B84</f>
        <v>2070</v>
      </c>
      <c r="P89" s="99">
        <f>Amnt_Deposited!E84</f>
        <v>0</v>
      </c>
      <c r="Q89" s="283">
        <f>MCF!R88</f>
        <v>1</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Amnt_Deposited!D85</f>
        <v>0</v>
      </c>
      <c r="D90" s="417">
        <f>Dry_Matter_Content!E77</f>
        <v>0.44</v>
      </c>
      <c r="E90" s="283">
        <f>MCF!R89</f>
        <v>1</v>
      </c>
      <c r="F90" s="67">
        <f t="shared" si="12"/>
        <v>0</v>
      </c>
      <c r="G90" s="67">
        <f t="shared" si="13"/>
        <v>0</v>
      </c>
      <c r="H90" s="67">
        <f t="shared" si="14"/>
        <v>0</v>
      </c>
      <c r="I90" s="67">
        <f t="shared" si="15"/>
        <v>6.3216096916512751E-3</v>
      </c>
      <c r="J90" s="67">
        <f t="shared" si="16"/>
        <v>1.171424944016821E-3</v>
      </c>
      <c r="K90" s="100">
        <f t="shared" si="18"/>
        <v>7.8094996267788063E-4</v>
      </c>
      <c r="O90" s="96">
        <f>Amnt_Deposited!B85</f>
        <v>2071</v>
      </c>
      <c r="P90" s="99">
        <f>Amnt_Deposited!E85</f>
        <v>0</v>
      </c>
      <c r="Q90" s="283">
        <f>MCF!R89</f>
        <v>1</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Amnt_Deposited!D86</f>
        <v>0</v>
      </c>
      <c r="D91" s="417">
        <f>Dry_Matter_Content!E78</f>
        <v>0.44</v>
      </c>
      <c r="E91" s="283">
        <f>MCF!R90</f>
        <v>1</v>
      </c>
      <c r="F91" s="67">
        <f t="shared" si="12"/>
        <v>0</v>
      </c>
      <c r="G91" s="67">
        <f t="shared" si="13"/>
        <v>0</v>
      </c>
      <c r="H91" s="67">
        <f t="shared" si="14"/>
        <v>0</v>
      </c>
      <c r="I91" s="67">
        <f t="shared" si="15"/>
        <v>5.3333196811008949E-3</v>
      </c>
      <c r="J91" s="67">
        <f t="shared" si="16"/>
        <v>9.8829001055038041E-4</v>
      </c>
      <c r="K91" s="100">
        <f t="shared" si="18"/>
        <v>6.5886000703358687E-4</v>
      </c>
      <c r="O91" s="96">
        <f>Amnt_Deposited!B86</f>
        <v>2072</v>
      </c>
      <c r="P91" s="99">
        <f>Amnt_Deposited!E86</f>
        <v>0</v>
      </c>
      <c r="Q91" s="283">
        <f>MCF!R90</f>
        <v>1</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Amnt_Deposited!D87</f>
        <v>0</v>
      </c>
      <c r="D92" s="417">
        <f>Dry_Matter_Content!E79</f>
        <v>0.44</v>
      </c>
      <c r="E92" s="283">
        <f>MCF!R91</f>
        <v>1</v>
      </c>
      <c r="F92" s="67">
        <f t="shared" si="12"/>
        <v>0</v>
      </c>
      <c r="G92" s="67">
        <f t="shared" si="13"/>
        <v>0</v>
      </c>
      <c r="H92" s="67">
        <f t="shared" si="14"/>
        <v>0</v>
      </c>
      <c r="I92" s="67">
        <f t="shared" si="15"/>
        <v>4.4995341706058701E-3</v>
      </c>
      <c r="J92" s="67">
        <f t="shared" si="16"/>
        <v>8.3378551049502481E-4</v>
      </c>
      <c r="K92" s="100">
        <f t="shared" si="18"/>
        <v>5.5585700699668317E-4</v>
      </c>
      <c r="O92" s="96">
        <f>Amnt_Deposited!B87</f>
        <v>2073</v>
      </c>
      <c r="P92" s="99">
        <f>Amnt_Deposited!E87</f>
        <v>0</v>
      </c>
      <c r="Q92" s="283">
        <f>MCF!R91</f>
        <v>1</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Amnt_Deposited!D88</f>
        <v>0</v>
      </c>
      <c r="D93" s="417">
        <f>Dry_Matter_Content!E80</f>
        <v>0.44</v>
      </c>
      <c r="E93" s="283">
        <f>MCF!R92</f>
        <v>1</v>
      </c>
      <c r="F93" s="67">
        <f t="shared" si="12"/>
        <v>0</v>
      </c>
      <c r="G93" s="67">
        <f t="shared" si="13"/>
        <v>0</v>
      </c>
      <c r="H93" s="67">
        <f t="shared" si="14"/>
        <v>0</v>
      </c>
      <c r="I93" s="67">
        <f t="shared" si="15"/>
        <v>3.7960986708133627E-3</v>
      </c>
      <c r="J93" s="67">
        <f t="shared" si="16"/>
        <v>7.0343549979250727E-4</v>
      </c>
      <c r="K93" s="100">
        <f t="shared" si="18"/>
        <v>4.6895699986167151E-4</v>
      </c>
      <c r="O93" s="96">
        <f>Amnt_Deposited!B88</f>
        <v>2074</v>
      </c>
      <c r="P93" s="99">
        <f>Amnt_Deposited!E88</f>
        <v>0</v>
      </c>
      <c r="Q93" s="283">
        <f>MCF!R92</f>
        <v>1</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Amnt_Deposited!D89</f>
        <v>0</v>
      </c>
      <c r="D94" s="417">
        <f>Dry_Matter_Content!E81</f>
        <v>0.44</v>
      </c>
      <c r="E94" s="283">
        <f>MCF!R93</f>
        <v>1</v>
      </c>
      <c r="F94" s="67">
        <f t="shared" si="12"/>
        <v>0</v>
      </c>
      <c r="G94" s="67">
        <f t="shared" si="13"/>
        <v>0</v>
      </c>
      <c r="H94" s="67">
        <f t="shared" si="14"/>
        <v>0</v>
      </c>
      <c r="I94" s="67">
        <f t="shared" si="15"/>
        <v>3.2026348888935315E-3</v>
      </c>
      <c r="J94" s="67">
        <f t="shared" si="16"/>
        <v>5.934637819198311E-4</v>
      </c>
      <c r="K94" s="100">
        <f t="shared" si="18"/>
        <v>3.956425212798874E-4</v>
      </c>
      <c r="O94" s="96">
        <f>Amnt_Deposited!B89</f>
        <v>2075</v>
      </c>
      <c r="P94" s="99">
        <f>Amnt_Deposited!E89</f>
        <v>0</v>
      </c>
      <c r="Q94" s="283">
        <f>MCF!R93</f>
        <v>1</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Amnt_Deposited!D90</f>
        <v>0</v>
      </c>
      <c r="D95" s="417">
        <f>Dry_Matter_Content!E82</f>
        <v>0.44</v>
      </c>
      <c r="E95" s="283">
        <f>MCF!R94</f>
        <v>1</v>
      </c>
      <c r="F95" s="67">
        <f t="shared" si="12"/>
        <v>0</v>
      </c>
      <c r="G95" s="67">
        <f t="shared" si="13"/>
        <v>0</v>
      </c>
      <c r="H95" s="67">
        <f t="shared" si="14"/>
        <v>0</v>
      </c>
      <c r="I95" s="67">
        <f t="shared" si="15"/>
        <v>2.7019503761635411E-3</v>
      </c>
      <c r="J95" s="67">
        <f t="shared" si="16"/>
        <v>5.0068451272999056E-4</v>
      </c>
      <c r="K95" s="100">
        <f t="shared" si="18"/>
        <v>3.3378967515332704E-4</v>
      </c>
      <c r="O95" s="96">
        <f>Amnt_Deposited!B90</f>
        <v>2076</v>
      </c>
      <c r="P95" s="99">
        <f>Amnt_Deposited!E90</f>
        <v>0</v>
      </c>
      <c r="Q95" s="283">
        <f>MCF!R94</f>
        <v>1</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Amnt_Deposited!D91</f>
        <v>0</v>
      </c>
      <c r="D96" s="417">
        <f>Dry_Matter_Content!E83</f>
        <v>0.44</v>
      </c>
      <c r="E96" s="283">
        <f>MCF!R95</f>
        <v>1</v>
      </c>
      <c r="F96" s="67">
        <f t="shared" si="12"/>
        <v>0</v>
      </c>
      <c r="G96" s="67">
        <f t="shared" si="13"/>
        <v>0</v>
      </c>
      <c r="H96" s="67">
        <f t="shared" si="14"/>
        <v>0</v>
      </c>
      <c r="I96" s="67">
        <f t="shared" si="15"/>
        <v>2.279540468558544E-3</v>
      </c>
      <c r="J96" s="67">
        <f t="shared" si="16"/>
        <v>4.2240990760499723E-4</v>
      </c>
      <c r="K96" s="100">
        <f t="shared" si="18"/>
        <v>2.8160660506999812E-4</v>
      </c>
      <c r="O96" s="96">
        <f>Amnt_Deposited!B91</f>
        <v>2077</v>
      </c>
      <c r="P96" s="99">
        <f>Amnt_Deposited!E91</f>
        <v>0</v>
      </c>
      <c r="Q96" s="283">
        <f>MCF!R95</f>
        <v>1</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Amnt_Deposited!D92</f>
        <v>0</v>
      </c>
      <c r="D97" s="417">
        <f>Dry_Matter_Content!E84</f>
        <v>0.44</v>
      </c>
      <c r="E97" s="283">
        <f>MCF!R96</f>
        <v>1</v>
      </c>
      <c r="F97" s="67">
        <f t="shared" si="12"/>
        <v>0</v>
      </c>
      <c r="G97" s="67">
        <f t="shared" si="13"/>
        <v>0</v>
      </c>
      <c r="H97" s="67">
        <f t="shared" si="14"/>
        <v>0</v>
      </c>
      <c r="I97" s="67">
        <f t="shared" si="15"/>
        <v>1.9231680913304786E-3</v>
      </c>
      <c r="J97" s="67">
        <f t="shared" si="16"/>
        <v>3.5637237722806539E-4</v>
      </c>
      <c r="K97" s="100">
        <f t="shared" si="18"/>
        <v>2.3758158481871025E-4</v>
      </c>
      <c r="O97" s="96">
        <f>Amnt_Deposited!B92</f>
        <v>2078</v>
      </c>
      <c r="P97" s="99">
        <f>Amnt_Deposited!E92</f>
        <v>0</v>
      </c>
      <c r="Q97" s="283">
        <f>MCF!R96</f>
        <v>1</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Amnt_Deposited!D93</f>
        <v>0</v>
      </c>
      <c r="D98" s="417">
        <f>Dry_Matter_Content!E85</f>
        <v>0.44</v>
      </c>
      <c r="E98" s="283">
        <f>MCF!R97</f>
        <v>1</v>
      </c>
      <c r="F98" s="67">
        <f t="shared" si="12"/>
        <v>0</v>
      </c>
      <c r="G98" s="67">
        <f t="shared" si="13"/>
        <v>0</v>
      </c>
      <c r="H98" s="67">
        <f t="shared" si="14"/>
        <v>0</v>
      </c>
      <c r="I98" s="67">
        <f t="shared" si="15"/>
        <v>1.6225092550563455E-3</v>
      </c>
      <c r="J98" s="67">
        <f t="shared" si="16"/>
        <v>3.0065883627413309E-4</v>
      </c>
      <c r="K98" s="100">
        <f t="shared" si="18"/>
        <v>2.0043922418275538E-4</v>
      </c>
      <c r="O98" s="96">
        <f>Amnt_Deposited!B93</f>
        <v>2079</v>
      </c>
      <c r="P98" s="99">
        <f>Amnt_Deposited!E93</f>
        <v>0</v>
      </c>
      <c r="Q98" s="283">
        <f>MCF!R97</f>
        <v>1</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101">
        <f>Amnt_Deposited!D94</f>
        <v>0</v>
      </c>
      <c r="D99" s="417">
        <f>Dry_Matter_Content!E86</f>
        <v>0.44</v>
      </c>
      <c r="E99" s="284">
        <f>MCF!R98</f>
        <v>1</v>
      </c>
      <c r="F99" s="68">
        <f t="shared" si="12"/>
        <v>0</v>
      </c>
      <c r="G99" s="68">
        <f t="shared" si="13"/>
        <v>0</v>
      </c>
      <c r="H99" s="68">
        <f t="shared" si="14"/>
        <v>0</v>
      </c>
      <c r="I99" s="68">
        <f t="shared" si="15"/>
        <v>1.3688539730930468E-3</v>
      </c>
      <c r="J99" s="68">
        <f t="shared" si="16"/>
        <v>2.5365528196329861E-4</v>
      </c>
      <c r="K99" s="102">
        <f t="shared" si="18"/>
        <v>1.6910352130886574E-4</v>
      </c>
      <c r="O99" s="97">
        <f>Amnt_Deposited!B94</f>
        <v>2080</v>
      </c>
      <c r="P99" s="99">
        <f>Amnt_Deposited!E94</f>
        <v>0</v>
      </c>
      <c r="Q99" s="284">
        <f>MCF!R98</f>
        <v>1</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3"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312</v>
      </c>
      <c r="C2" s="223"/>
      <c r="D2" s="223"/>
      <c r="E2" s="224"/>
      <c r="F2" s="225"/>
      <c r="G2" s="225"/>
      <c r="H2" s="225"/>
      <c r="I2" s="225"/>
      <c r="J2" s="225"/>
      <c r="K2" s="225"/>
    </row>
    <row r="3" spans="1:23" ht="15">
      <c r="B3" s="242" t="str">
        <f>IF(Select2=2,"This sheet applies only to the waste compositon option and can be deleted when the bulk waste option has been chosen","")</f>
        <v/>
      </c>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260">
        <f>Parameters!O17</f>
        <v>0.49</v>
      </c>
      <c r="O6" s="229"/>
      <c r="P6" s="230"/>
      <c r="Q6" s="222"/>
      <c r="R6" s="108" t="s">
        <v>9</v>
      </c>
      <c r="S6" s="109"/>
      <c r="T6" s="109"/>
      <c r="U6" s="113"/>
      <c r="V6" s="120" t="s">
        <v>9</v>
      </c>
      <c r="W6" s="260">
        <f>Parameters!R17</f>
        <v>0.2</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Parameters!O36</f>
        <v>0.17</v>
      </c>
      <c r="O8" s="47"/>
      <c r="P8" s="47"/>
      <c r="Q8" s="222"/>
      <c r="R8" s="108" t="s">
        <v>192</v>
      </c>
      <c r="S8" s="109"/>
      <c r="T8" s="109"/>
      <c r="U8" s="113"/>
      <c r="V8" s="120" t="s">
        <v>188</v>
      </c>
      <c r="W8" s="114">
        <f>Parameters!O36</f>
        <v>0.17</v>
      </c>
    </row>
    <row r="9" spans="1:23" ht="15.75">
      <c r="F9" s="246" t="s">
        <v>190</v>
      </c>
      <c r="G9" s="247"/>
      <c r="H9" s="247"/>
      <c r="I9" s="248"/>
      <c r="J9" s="249" t="s">
        <v>189</v>
      </c>
      <c r="K9" s="255">
        <f>LN(2)/$K$8</f>
        <v>4.077336356234972</v>
      </c>
      <c r="O9" s="47"/>
      <c r="P9" s="47"/>
      <c r="Q9" s="222"/>
      <c r="R9" s="246" t="s">
        <v>190</v>
      </c>
      <c r="S9" s="247"/>
      <c r="T9" s="247"/>
      <c r="U9" s="248"/>
      <c r="V9" s="249" t="s">
        <v>189</v>
      </c>
      <c r="W9" s="255">
        <f>LN(2)/$W$8</f>
        <v>4.077336356234972</v>
      </c>
    </row>
    <row r="10" spans="1:23">
      <c r="F10" s="110" t="s">
        <v>84</v>
      </c>
      <c r="G10" s="111"/>
      <c r="H10" s="111"/>
      <c r="I10" s="112"/>
      <c r="J10" s="121" t="s">
        <v>148</v>
      </c>
      <c r="K10" s="49">
        <f>EXP(-$K$8)</f>
        <v>0.8436648165963837</v>
      </c>
      <c r="O10" s="47"/>
      <c r="P10" s="47"/>
      <c r="Q10" s="222"/>
      <c r="R10" s="110" t="s">
        <v>84</v>
      </c>
      <c r="S10" s="111"/>
      <c r="T10" s="111"/>
      <c r="U10" s="112"/>
      <c r="V10" s="121" t="s">
        <v>148</v>
      </c>
      <c r="W10" s="49">
        <f>EXP(-$W$8)</f>
        <v>0.8436648165963837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Amnt_Deposited!F14</f>
        <v>0</v>
      </c>
      <c r="D19" s="415">
        <f>Dry_Matter_Content!F6</f>
        <v>0.56999999999999995</v>
      </c>
      <c r="E19" s="282">
        <f>MCF!R18</f>
        <v>1</v>
      </c>
      <c r="F19" s="130">
        <f t="shared" ref="F19:F50"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Amnt_Deposited!F14</f>
        <v>0</v>
      </c>
      <c r="Q19" s="282">
        <f>MCF!R18</f>
        <v>1</v>
      </c>
      <c r="R19" s="130">
        <f t="shared" ref="R19:R50" si="5">P19*$W$6*DOCF*Q19</f>
        <v>0</v>
      </c>
      <c r="S19" s="65">
        <f>R19*$W$12</f>
        <v>0</v>
      </c>
      <c r="T19" s="65">
        <f>R19*(1-$W$12)</f>
        <v>0</v>
      </c>
      <c r="U19" s="65">
        <f>S19+U18*$W$10</f>
        <v>0</v>
      </c>
      <c r="V19" s="65">
        <f>U18*(1-$W$10)+T19</f>
        <v>0</v>
      </c>
      <c r="W19" s="66">
        <f>V19*CH4_fraction*conv</f>
        <v>0</v>
      </c>
    </row>
    <row r="20" spans="2:23">
      <c r="B20" s="96">
        <f>Amnt_Deposited!B15</f>
        <v>2001</v>
      </c>
      <c r="C20" s="99">
        <f>Amnt_Deposited!F15</f>
        <v>0</v>
      </c>
      <c r="D20" s="417">
        <f>Dry_Matter_Content!F7</f>
        <v>0.56999999999999995</v>
      </c>
      <c r="E20" s="283">
        <f>MCF!R19</f>
        <v>1</v>
      </c>
      <c r="F20" s="67">
        <f t="shared" si="0"/>
        <v>0</v>
      </c>
      <c r="G20" s="67">
        <f t="shared" si="1"/>
        <v>0</v>
      </c>
      <c r="H20" s="67">
        <f t="shared" si="2"/>
        <v>0</v>
      </c>
      <c r="I20" s="67">
        <f t="shared" si="3"/>
        <v>0</v>
      </c>
      <c r="J20" s="67">
        <f t="shared" si="4"/>
        <v>0</v>
      </c>
      <c r="K20" s="100">
        <f>J20*CH4_fraction*conv</f>
        <v>0</v>
      </c>
      <c r="M20" s="392"/>
      <c r="O20" s="96">
        <f>Amnt_Deposited!B15</f>
        <v>2001</v>
      </c>
      <c r="P20" s="99">
        <f>Amnt_Deposited!F15</f>
        <v>0</v>
      </c>
      <c r="Q20" s="283">
        <f>MCF!R19</f>
        <v>1</v>
      </c>
      <c r="R20" s="67">
        <f t="shared" si="5"/>
        <v>0</v>
      </c>
      <c r="S20" s="67">
        <f>R20*$W$12</f>
        <v>0</v>
      </c>
      <c r="T20" s="67">
        <f>R20*(1-$W$12)</f>
        <v>0</v>
      </c>
      <c r="U20" s="67">
        <f>S20+U19*$W$10</f>
        <v>0</v>
      </c>
      <c r="V20" s="67">
        <f>U19*(1-$W$10)+T20</f>
        <v>0</v>
      </c>
      <c r="W20" s="100">
        <f>V20*CH4_fraction*conv</f>
        <v>0</v>
      </c>
    </row>
    <row r="21" spans="2:23">
      <c r="B21" s="96">
        <f>Amnt_Deposited!B16</f>
        <v>2002</v>
      </c>
      <c r="C21" s="99">
        <f>Amnt_Deposited!F16</f>
        <v>0</v>
      </c>
      <c r="D21" s="417">
        <f>Dry_Matter_Content!F8</f>
        <v>0.56999999999999995</v>
      </c>
      <c r="E21" s="283">
        <f>MCF!R20</f>
        <v>1</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Amnt_Deposited!F16</f>
        <v>0</v>
      </c>
      <c r="Q21" s="283">
        <f>MCF!R20</f>
        <v>1</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Amnt_Deposited!F17</f>
        <v>0</v>
      </c>
      <c r="D22" s="417">
        <f>Dry_Matter_Content!F9</f>
        <v>0.56999999999999995</v>
      </c>
      <c r="E22" s="283">
        <f>MCF!R21</f>
        <v>1</v>
      </c>
      <c r="F22" s="67">
        <f t="shared" si="0"/>
        <v>0</v>
      </c>
      <c r="G22" s="67">
        <f t="shared" si="1"/>
        <v>0</v>
      </c>
      <c r="H22" s="67">
        <f t="shared" si="2"/>
        <v>0</v>
      </c>
      <c r="I22" s="67">
        <f t="shared" si="3"/>
        <v>0</v>
      </c>
      <c r="J22" s="67">
        <f t="shared" si="4"/>
        <v>0</v>
      </c>
      <c r="K22" s="100">
        <f t="shared" si="6"/>
        <v>0</v>
      </c>
      <c r="N22" s="257"/>
      <c r="O22" s="96">
        <f>Amnt_Deposited!B17</f>
        <v>2003</v>
      </c>
      <c r="P22" s="99">
        <f>Amnt_Deposited!F17</f>
        <v>0</v>
      </c>
      <c r="Q22" s="283">
        <f>MCF!R21</f>
        <v>1</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Amnt_Deposited!F18</f>
        <v>0</v>
      </c>
      <c r="D23" s="417">
        <f>Dry_Matter_Content!F10</f>
        <v>0.56999999999999995</v>
      </c>
      <c r="E23" s="283">
        <f>MCF!R22</f>
        <v>1</v>
      </c>
      <c r="F23" s="67">
        <f t="shared" si="0"/>
        <v>0</v>
      </c>
      <c r="G23" s="67">
        <f t="shared" si="1"/>
        <v>0</v>
      </c>
      <c r="H23" s="67">
        <f t="shared" si="2"/>
        <v>0</v>
      </c>
      <c r="I23" s="67">
        <f t="shared" si="3"/>
        <v>0</v>
      </c>
      <c r="J23" s="67">
        <f t="shared" si="4"/>
        <v>0</v>
      </c>
      <c r="K23" s="100">
        <f t="shared" si="6"/>
        <v>0</v>
      </c>
      <c r="N23" s="257"/>
      <c r="O23" s="96">
        <f>Amnt_Deposited!B18</f>
        <v>2004</v>
      </c>
      <c r="P23" s="99">
        <f>Amnt_Deposited!F18</f>
        <v>0</v>
      </c>
      <c r="Q23" s="283">
        <f>MCF!R22</f>
        <v>1</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Amnt_Deposited!F19</f>
        <v>0</v>
      </c>
      <c r="D24" s="417">
        <f>Dry_Matter_Content!F11</f>
        <v>0.56999999999999995</v>
      </c>
      <c r="E24" s="283">
        <f>MCF!R23</f>
        <v>1</v>
      </c>
      <c r="F24" s="67">
        <f t="shared" si="0"/>
        <v>0</v>
      </c>
      <c r="G24" s="67">
        <f t="shared" si="1"/>
        <v>0</v>
      </c>
      <c r="H24" s="67">
        <f t="shared" si="2"/>
        <v>0</v>
      </c>
      <c r="I24" s="67">
        <f t="shared" si="3"/>
        <v>0</v>
      </c>
      <c r="J24" s="67">
        <f t="shared" si="4"/>
        <v>0</v>
      </c>
      <c r="K24" s="100">
        <f t="shared" si="6"/>
        <v>0</v>
      </c>
      <c r="N24" s="257"/>
      <c r="O24" s="96">
        <f>Amnt_Deposited!B19</f>
        <v>2005</v>
      </c>
      <c r="P24" s="99">
        <f>Amnt_Deposited!F19</f>
        <v>0</v>
      </c>
      <c r="Q24" s="283">
        <f>MCF!R23</f>
        <v>1</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Amnt_Deposited!F20</f>
        <v>0</v>
      </c>
      <c r="D25" s="417">
        <f>Dry_Matter_Content!F12</f>
        <v>0.56999999999999995</v>
      </c>
      <c r="E25" s="283">
        <f>MCF!R24</f>
        <v>1</v>
      </c>
      <c r="F25" s="67">
        <f t="shared" si="0"/>
        <v>0</v>
      </c>
      <c r="G25" s="67">
        <f t="shared" si="1"/>
        <v>0</v>
      </c>
      <c r="H25" s="67">
        <f t="shared" si="2"/>
        <v>0</v>
      </c>
      <c r="I25" s="67">
        <f t="shared" si="3"/>
        <v>0</v>
      </c>
      <c r="J25" s="67">
        <f t="shared" si="4"/>
        <v>0</v>
      </c>
      <c r="K25" s="100">
        <f t="shared" si="6"/>
        <v>0</v>
      </c>
      <c r="N25" s="257"/>
      <c r="O25" s="96">
        <f>Amnt_Deposited!B20</f>
        <v>2006</v>
      </c>
      <c r="P25" s="99">
        <f>Amnt_Deposited!F20</f>
        <v>0</v>
      </c>
      <c r="Q25" s="283">
        <f>MCF!R24</f>
        <v>1</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Amnt_Deposited!F21</f>
        <v>0</v>
      </c>
      <c r="D26" s="417">
        <f>Dry_Matter_Content!F13</f>
        <v>0.56999999999999995</v>
      </c>
      <c r="E26" s="283">
        <f>MCF!R25</f>
        <v>1</v>
      </c>
      <c r="F26" s="67">
        <f t="shared" si="0"/>
        <v>0</v>
      </c>
      <c r="G26" s="67">
        <f t="shared" si="1"/>
        <v>0</v>
      </c>
      <c r="H26" s="67">
        <f t="shared" si="2"/>
        <v>0</v>
      </c>
      <c r="I26" s="67">
        <f t="shared" si="3"/>
        <v>0</v>
      </c>
      <c r="J26" s="67">
        <f t="shared" si="4"/>
        <v>0</v>
      </c>
      <c r="K26" s="100">
        <f t="shared" si="6"/>
        <v>0</v>
      </c>
      <c r="N26" s="257"/>
      <c r="O26" s="96">
        <f>Amnt_Deposited!B21</f>
        <v>2007</v>
      </c>
      <c r="P26" s="99">
        <f>Amnt_Deposited!F21</f>
        <v>0</v>
      </c>
      <c r="Q26" s="283">
        <f>MCF!R25</f>
        <v>1</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Amnt_Deposited!F22</f>
        <v>0</v>
      </c>
      <c r="D27" s="417">
        <f>Dry_Matter_Content!F14</f>
        <v>0.56999999999999995</v>
      </c>
      <c r="E27" s="283">
        <f>MCF!R26</f>
        <v>1</v>
      </c>
      <c r="F27" s="67">
        <f t="shared" si="0"/>
        <v>0</v>
      </c>
      <c r="G27" s="67">
        <f t="shared" si="1"/>
        <v>0</v>
      </c>
      <c r="H27" s="67">
        <f t="shared" si="2"/>
        <v>0</v>
      </c>
      <c r="I27" s="67">
        <f t="shared" si="3"/>
        <v>0</v>
      </c>
      <c r="J27" s="67">
        <f t="shared" si="4"/>
        <v>0</v>
      </c>
      <c r="K27" s="100">
        <f t="shared" si="6"/>
        <v>0</v>
      </c>
      <c r="N27" s="257"/>
      <c r="O27" s="96">
        <f>Amnt_Deposited!B22</f>
        <v>2008</v>
      </c>
      <c r="P27" s="99">
        <f>Amnt_Deposited!F22</f>
        <v>0</v>
      </c>
      <c r="Q27" s="283">
        <f>MCF!R26</f>
        <v>1</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Amnt_Deposited!F23</f>
        <v>0</v>
      </c>
      <c r="D28" s="417">
        <f>Dry_Matter_Content!F15</f>
        <v>0.56999999999999995</v>
      </c>
      <c r="E28" s="283">
        <f>MCF!R27</f>
        <v>1</v>
      </c>
      <c r="F28" s="67">
        <f t="shared" si="0"/>
        <v>0</v>
      </c>
      <c r="G28" s="67">
        <f t="shared" si="1"/>
        <v>0</v>
      </c>
      <c r="H28" s="67">
        <f t="shared" si="2"/>
        <v>0</v>
      </c>
      <c r="I28" s="67">
        <f t="shared" si="3"/>
        <v>0</v>
      </c>
      <c r="J28" s="67">
        <f t="shared" si="4"/>
        <v>0</v>
      </c>
      <c r="K28" s="100">
        <f t="shared" si="6"/>
        <v>0</v>
      </c>
      <c r="N28" s="257"/>
      <c r="O28" s="96">
        <f>Amnt_Deposited!B23</f>
        <v>2009</v>
      </c>
      <c r="P28" s="99">
        <f>Amnt_Deposited!F23</f>
        <v>0</v>
      </c>
      <c r="Q28" s="283">
        <f>MCF!R27</f>
        <v>1</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Amnt_Deposited!F24</f>
        <v>0</v>
      </c>
      <c r="D29" s="417">
        <f>Dry_Matter_Content!F16</f>
        <v>0.56999999999999995</v>
      </c>
      <c r="E29" s="283">
        <f>MCF!R28</f>
        <v>1</v>
      </c>
      <c r="F29" s="67">
        <f t="shared" si="0"/>
        <v>0</v>
      </c>
      <c r="G29" s="67">
        <f t="shared" si="1"/>
        <v>0</v>
      </c>
      <c r="H29" s="67">
        <f t="shared" si="2"/>
        <v>0</v>
      </c>
      <c r="I29" s="67">
        <f t="shared" si="3"/>
        <v>0</v>
      </c>
      <c r="J29" s="67">
        <f t="shared" si="4"/>
        <v>0</v>
      </c>
      <c r="K29" s="100">
        <f t="shared" si="6"/>
        <v>0</v>
      </c>
      <c r="O29" s="96">
        <f>Amnt_Deposited!B24</f>
        <v>2010</v>
      </c>
      <c r="P29" s="99">
        <f>Amnt_Deposited!F24</f>
        <v>0</v>
      </c>
      <c r="Q29" s="283">
        <f>MCF!R28</f>
        <v>1</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Amnt_Deposited!F25</f>
        <v>0</v>
      </c>
      <c r="D30" s="417">
        <f>Dry_Matter_Content!F17</f>
        <v>0.56999999999999995</v>
      </c>
      <c r="E30" s="283">
        <f>MCF!R29</f>
        <v>1</v>
      </c>
      <c r="F30" s="67">
        <f t="shared" si="0"/>
        <v>0</v>
      </c>
      <c r="G30" s="67">
        <f t="shared" si="1"/>
        <v>0</v>
      </c>
      <c r="H30" s="67">
        <f t="shared" si="2"/>
        <v>0</v>
      </c>
      <c r="I30" s="67">
        <f t="shared" si="3"/>
        <v>0</v>
      </c>
      <c r="J30" s="67">
        <f t="shared" si="4"/>
        <v>0</v>
      </c>
      <c r="K30" s="100">
        <f t="shared" si="6"/>
        <v>0</v>
      </c>
      <c r="O30" s="96">
        <f>Amnt_Deposited!B25</f>
        <v>2011</v>
      </c>
      <c r="P30" s="99">
        <f>Amnt_Deposited!F25</f>
        <v>0</v>
      </c>
      <c r="Q30" s="283">
        <f>MCF!R29</f>
        <v>1</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Amnt_Deposited!F26</f>
        <v>0</v>
      </c>
      <c r="D31" s="417">
        <f>Dry_Matter_Content!F18</f>
        <v>0.56999999999999995</v>
      </c>
      <c r="E31" s="283">
        <f>MCF!R30</f>
        <v>1</v>
      </c>
      <c r="F31" s="67">
        <f t="shared" si="0"/>
        <v>0</v>
      </c>
      <c r="G31" s="67">
        <f t="shared" si="1"/>
        <v>0</v>
      </c>
      <c r="H31" s="67">
        <f t="shared" si="2"/>
        <v>0</v>
      </c>
      <c r="I31" s="67">
        <f t="shared" si="3"/>
        <v>0</v>
      </c>
      <c r="J31" s="67">
        <f t="shared" si="4"/>
        <v>0</v>
      </c>
      <c r="K31" s="100">
        <f t="shared" si="6"/>
        <v>0</v>
      </c>
      <c r="O31" s="96">
        <f>Amnt_Deposited!B26</f>
        <v>2012</v>
      </c>
      <c r="P31" s="99">
        <f>Amnt_Deposited!F26</f>
        <v>0</v>
      </c>
      <c r="Q31" s="283">
        <f>MCF!R30</f>
        <v>1</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Amnt_Deposited!F27</f>
        <v>0</v>
      </c>
      <c r="D32" s="417">
        <f>Dry_Matter_Content!F19</f>
        <v>0.56999999999999995</v>
      </c>
      <c r="E32" s="283">
        <f>MCF!R31</f>
        <v>1</v>
      </c>
      <c r="F32" s="67">
        <f t="shared" si="0"/>
        <v>0</v>
      </c>
      <c r="G32" s="67">
        <f t="shared" si="1"/>
        <v>0</v>
      </c>
      <c r="H32" s="67">
        <f t="shared" si="2"/>
        <v>0</v>
      </c>
      <c r="I32" s="67">
        <f t="shared" si="3"/>
        <v>0</v>
      </c>
      <c r="J32" s="67">
        <f t="shared" si="4"/>
        <v>0</v>
      </c>
      <c r="K32" s="100">
        <f t="shared" si="6"/>
        <v>0</v>
      </c>
      <c r="O32" s="96">
        <f>Amnt_Deposited!B27</f>
        <v>2013</v>
      </c>
      <c r="P32" s="99">
        <f>Amnt_Deposited!F27</f>
        <v>0</v>
      </c>
      <c r="Q32" s="283">
        <f>MCF!R31</f>
        <v>1</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Amnt_Deposited!F28</f>
        <v>0</v>
      </c>
      <c r="D33" s="417">
        <f>Dry_Matter_Content!F20</f>
        <v>0.56999999999999995</v>
      </c>
      <c r="E33" s="283">
        <f>MCF!R32</f>
        <v>1</v>
      </c>
      <c r="F33" s="67">
        <f t="shared" si="0"/>
        <v>0</v>
      </c>
      <c r="G33" s="67">
        <f t="shared" si="1"/>
        <v>0</v>
      </c>
      <c r="H33" s="67">
        <f t="shared" si="2"/>
        <v>0</v>
      </c>
      <c r="I33" s="67">
        <f t="shared" si="3"/>
        <v>0</v>
      </c>
      <c r="J33" s="67">
        <f t="shared" si="4"/>
        <v>0</v>
      </c>
      <c r="K33" s="100">
        <f t="shared" si="6"/>
        <v>0</v>
      </c>
      <c r="O33" s="96">
        <f>Amnt_Deposited!B28</f>
        <v>2014</v>
      </c>
      <c r="P33" s="99">
        <f>Amnt_Deposited!F28</f>
        <v>0</v>
      </c>
      <c r="Q33" s="283">
        <f>MCF!R32</f>
        <v>1</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Amnt_Deposited!F29</f>
        <v>0</v>
      </c>
      <c r="D34" s="417">
        <f>Dry_Matter_Content!F21</f>
        <v>0.56999999999999995</v>
      </c>
      <c r="E34" s="283">
        <f>MCF!R33</f>
        <v>1</v>
      </c>
      <c r="F34" s="67">
        <f t="shared" si="0"/>
        <v>0</v>
      </c>
      <c r="G34" s="67">
        <f t="shared" si="1"/>
        <v>0</v>
      </c>
      <c r="H34" s="67">
        <f t="shared" si="2"/>
        <v>0</v>
      </c>
      <c r="I34" s="67">
        <f t="shared" si="3"/>
        <v>0</v>
      </c>
      <c r="J34" s="67">
        <f t="shared" si="4"/>
        <v>0</v>
      </c>
      <c r="K34" s="100">
        <f t="shared" si="6"/>
        <v>0</v>
      </c>
      <c r="O34" s="96">
        <f>Amnt_Deposited!B29</f>
        <v>2015</v>
      </c>
      <c r="P34" s="99">
        <f>Amnt_Deposited!F29</f>
        <v>0</v>
      </c>
      <c r="Q34" s="283">
        <f>MCF!R33</f>
        <v>1</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Amnt_Deposited!F30</f>
        <v>0</v>
      </c>
      <c r="D35" s="417">
        <f>Dry_Matter_Content!F22</f>
        <v>0.56999999999999995</v>
      </c>
      <c r="E35" s="283">
        <f>MCF!R34</f>
        <v>1</v>
      </c>
      <c r="F35" s="67">
        <f t="shared" si="0"/>
        <v>0</v>
      </c>
      <c r="G35" s="67">
        <f t="shared" si="1"/>
        <v>0</v>
      </c>
      <c r="H35" s="67">
        <f t="shared" si="2"/>
        <v>0</v>
      </c>
      <c r="I35" s="67">
        <f t="shared" si="3"/>
        <v>0</v>
      </c>
      <c r="J35" s="67">
        <f t="shared" si="4"/>
        <v>0</v>
      </c>
      <c r="K35" s="100">
        <f t="shared" si="6"/>
        <v>0</v>
      </c>
      <c r="O35" s="96">
        <f>Amnt_Deposited!B30</f>
        <v>2016</v>
      </c>
      <c r="P35" s="99">
        <f>Amnt_Deposited!F30</f>
        <v>0</v>
      </c>
      <c r="Q35" s="283">
        <f>MCF!R34</f>
        <v>1</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Amnt_Deposited!F31</f>
        <v>0</v>
      </c>
      <c r="D36" s="417">
        <f>Dry_Matter_Content!F23</f>
        <v>0.56999999999999995</v>
      </c>
      <c r="E36" s="283">
        <f>MCF!R35</f>
        <v>1</v>
      </c>
      <c r="F36" s="67">
        <f t="shared" si="0"/>
        <v>0</v>
      </c>
      <c r="G36" s="67">
        <f t="shared" si="1"/>
        <v>0</v>
      </c>
      <c r="H36" s="67">
        <f t="shared" si="2"/>
        <v>0</v>
      </c>
      <c r="I36" s="67">
        <f t="shared" si="3"/>
        <v>0</v>
      </c>
      <c r="J36" s="67">
        <f t="shared" si="4"/>
        <v>0</v>
      </c>
      <c r="K36" s="100">
        <f t="shared" si="6"/>
        <v>0</v>
      </c>
      <c r="O36" s="96">
        <f>Amnt_Deposited!B31</f>
        <v>2017</v>
      </c>
      <c r="P36" s="99">
        <f>Amnt_Deposited!F31</f>
        <v>0</v>
      </c>
      <c r="Q36" s="283">
        <f>MCF!R35</f>
        <v>1</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Amnt_Deposited!F32</f>
        <v>0</v>
      </c>
      <c r="D37" s="417">
        <f>Dry_Matter_Content!F24</f>
        <v>0.56999999999999995</v>
      </c>
      <c r="E37" s="283">
        <f>MCF!R36</f>
        <v>1</v>
      </c>
      <c r="F37" s="67">
        <f t="shared" si="0"/>
        <v>0</v>
      </c>
      <c r="G37" s="67">
        <f t="shared" si="1"/>
        <v>0</v>
      </c>
      <c r="H37" s="67">
        <f t="shared" si="2"/>
        <v>0</v>
      </c>
      <c r="I37" s="67">
        <f t="shared" si="3"/>
        <v>0</v>
      </c>
      <c r="J37" s="67">
        <f t="shared" si="4"/>
        <v>0</v>
      </c>
      <c r="K37" s="100">
        <f t="shared" si="6"/>
        <v>0</v>
      </c>
      <c r="O37" s="96">
        <f>Amnt_Deposited!B32</f>
        <v>2018</v>
      </c>
      <c r="P37" s="99">
        <f>Amnt_Deposited!F32</f>
        <v>0</v>
      </c>
      <c r="Q37" s="283">
        <f>MCF!R36</f>
        <v>1</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Amnt_Deposited!F33</f>
        <v>0</v>
      </c>
      <c r="D38" s="417">
        <f>Dry_Matter_Content!F25</f>
        <v>0.56999999999999995</v>
      </c>
      <c r="E38" s="283">
        <f>MCF!R37</f>
        <v>1</v>
      </c>
      <c r="F38" s="67">
        <f t="shared" si="0"/>
        <v>0</v>
      </c>
      <c r="G38" s="67">
        <f t="shared" si="1"/>
        <v>0</v>
      </c>
      <c r="H38" s="67">
        <f t="shared" si="2"/>
        <v>0</v>
      </c>
      <c r="I38" s="67">
        <f t="shared" si="3"/>
        <v>0</v>
      </c>
      <c r="J38" s="67">
        <f t="shared" si="4"/>
        <v>0</v>
      </c>
      <c r="K38" s="100">
        <f t="shared" si="6"/>
        <v>0</v>
      </c>
      <c r="O38" s="96">
        <f>Amnt_Deposited!B33</f>
        <v>2019</v>
      </c>
      <c r="P38" s="99">
        <f>Amnt_Deposited!F33</f>
        <v>0</v>
      </c>
      <c r="Q38" s="283">
        <f>MCF!R37</f>
        <v>1</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Amnt_Deposited!F34</f>
        <v>0</v>
      </c>
      <c r="D39" s="417">
        <f>Dry_Matter_Content!F26</f>
        <v>0.56999999999999995</v>
      </c>
      <c r="E39" s="283">
        <f>MCF!R38</f>
        <v>1</v>
      </c>
      <c r="F39" s="67">
        <f t="shared" si="0"/>
        <v>0</v>
      </c>
      <c r="G39" s="67">
        <f t="shared" si="1"/>
        <v>0</v>
      </c>
      <c r="H39" s="67">
        <f t="shared" si="2"/>
        <v>0</v>
      </c>
      <c r="I39" s="67">
        <f t="shared" si="3"/>
        <v>0</v>
      </c>
      <c r="J39" s="67">
        <f t="shared" si="4"/>
        <v>0</v>
      </c>
      <c r="K39" s="100">
        <f t="shared" si="6"/>
        <v>0</v>
      </c>
      <c r="O39" s="96">
        <f>Amnt_Deposited!B34</f>
        <v>2020</v>
      </c>
      <c r="P39" s="99">
        <f>Amnt_Deposited!F34</f>
        <v>0</v>
      </c>
      <c r="Q39" s="283">
        <f>MCF!R38</f>
        <v>1</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Amnt_Deposited!F35</f>
        <v>0</v>
      </c>
      <c r="D40" s="417">
        <f>Dry_Matter_Content!F27</f>
        <v>0.56999999999999995</v>
      </c>
      <c r="E40" s="283">
        <f>MCF!R39</f>
        <v>1</v>
      </c>
      <c r="F40" s="67">
        <f t="shared" si="0"/>
        <v>0</v>
      </c>
      <c r="G40" s="67">
        <f t="shared" si="1"/>
        <v>0</v>
      </c>
      <c r="H40" s="67">
        <f t="shared" si="2"/>
        <v>0</v>
      </c>
      <c r="I40" s="67">
        <f t="shared" si="3"/>
        <v>0</v>
      </c>
      <c r="J40" s="67">
        <f t="shared" si="4"/>
        <v>0</v>
      </c>
      <c r="K40" s="100">
        <f t="shared" si="6"/>
        <v>0</v>
      </c>
      <c r="O40" s="96">
        <f>Amnt_Deposited!B35</f>
        <v>2021</v>
      </c>
      <c r="P40" s="99">
        <f>Amnt_Deposited!F35</f>
        <v>0</v>
      </c>
      <c r="Q40" s="283">
        <f>MCF!R39</f>
        <v>1</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Amnt_Deposited!F36</f>
        <v>0</v>
      </c>
      <c r="D41" s="417">
        <f>Dry_Matter_Content!F28</f>
        <v>0.56999999999999995</v>
      </c>
      <c r="E41" s="283">
        <f>MCF!R40</f>
        <v>1</v>
      </c>
      <c r="F41" s="67">
        <f t="shared" si="0"/>
        <v>0</v>
      </c>
      <c r="G41" s="67">
        <f t="shared" si="1"/>
        <v>0</v>
      </c>
      <c r="H41" s="67">
        <f t="shared" si="2"/>
        <v>0</v>
      </c>
      <c r="I41" s="67">
        <f t="shared" si="3"/>
        <v>0</v>
      </c>
      <c r="J41" s="67">
        <f t="shared" si="4"/>
        <v>0</v>
      </c>
      <c r="K41" s="100">
        <f t="shared" si="6"/>
        <v>0</v>
      </c>
      <c r="O41" s="96">
        <f>Amnt_Deposited!B36</f>
        <v>2022</v>
      </c>
      <c r="P41" s="99">
        <f>Amnt_Deposited!F36</f>
        <v>0</v>
      </c>
      <c r="Q41" s="283">
        <f>MCF!R40</f>
        <v>1</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Amnt_Deposited!F37</f>
        <v>0</v>
      </c>
      <c r="D42" s="417">
        <f>Dry_Matter_Content!F29</f>
        <v>0.56999999999999995</v>
      </c>
      <c r="E42" s="283">
        <f>MCF!R41</f>
        <v>1</v>
      </c>
      <c r="F42" s="67">
        <f t="shared" si="0"/>
        <v>0</v>
      </c>
      <c r="G42" s="67">
        <f t="shared" si="1"/>
        <v>0</v>
      </c>
      <c r="H42" s="67">
        <f t="shared" si="2"/>
        <v>0</v>
      </c>
      <c r="I42" s="67">
        <f t="shared" si="3"/>
        <v>0</v>
      </c>
      <c r="J42" s="67">
        <f t="shared" si="4"/>
        <v>0</v>
      </c>
      <c r="K42" s="100">
        <f t="shared" si="6"/>
        <v>0</v>
      </c>
      <c r="O42" s="96">
        <f>Amnt_Deposited!B37</f>
        <v>2023</v>
      </c>
      <c r="P42" s="99">
        <f>Amnt_Deposited!F37</f>
        <v>0</v>
      </c>
      <c r="Q42" s="283">
        <f>MCF!R41</f>
        <v>1</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Amnt_Deposited!F38</f>
        <v>0</v>
      </c>
      <c r="D43" s="417">
        <f>Dry_Matter_Content!F30</f>
        <v>0.56999999999999995</v>
      </c>
      <c r="E43" s="283">
        <f>MCF!R42</f>
        <v>1</v>
      </c>
      <c r="F43" s="67">
        <f t="shared" si="0"/>
        <v>0</v>
      </c>
      <c r="G43" s="67">
        <f t="shared" si="1"/>
        <v>0</v>
      </c>
      <c r="H43" s="67">
        <f t="shared" si="2"/>
        <v>0</v>
      </c>
      <c r="I43" s="67">
        <f t="shared" si="3"/>
        <v>0</v>
      </c>
      <c r="J43" s="67">
        <f t="shared" si="4"/>
        <v>0</v>
      </c>
      <c r="K43" s="100">
        <f t="shared" si="6"/>
        <v>0</v>
      </c>
      <c r="O43" s="96">
        <f>Amnt_Deposited!B38</f>
        <v>2024</v>
      </c>
      <c r="P43" s="99">
        <f>Amnt_Deposited!F38</f>
        <v>0</v>
      </c>
      <c r="Q43" s="283">
        <f>MCF!R42</f>
        <v>1</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Amnt_Deposited!F39</f>
        <v>0</v>
      </c>
      <c r="D44" s="417">
        <f>Dry_Matter_Content!F31</f>
        <v>0.56999999999999995</v>
      </c>
      <c r="E44" s="283">
        <f>MCF!R43</f>
        <v>1</v>
      </c>
      <c r="F44" s="67">
        <f t="shared" si="0"/>
        <v>0</v>
      </c>
      <c r="G44" s="67">
        <f t="shared" si="1"/>
        <v>0</v>
      </c>
      <c r="H44" s="67">
        <f t="shared" si="2"/>
        <v>0</v>
      </c>
      <c r="I44" s="67">
        <f t="shared" si="3"/>
        <v>0</v>
      </c>
      <c r="J44" s="67">
        <f t="shared" si="4"/>
        <v>0</v>
      </c>
      <c r="K44" s="100">
        <f t="shared" si="6"/>
        <v>0</v>
      </c>
      <c r="O44" s="96">
        <f>Amnt_Deposited!B39</f>
        <v>2025</v>
      </c>
      <c r="P44" s="99">
        <f>Amnt_Deposited!F39</f>
        <v>0</v>
      </c>
      <c r="Q44" s="283">
        <f>MCF!R43</f>
        <v>1</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Amnt_Deposited!F40</f>
        <v>0</v>
      </c>
      <c r="D45" s="417">
        <f>Dry_Matter_Content!F32</f>
        <v>0.56999999999999995</v>
      </c>
      <c r="E45" s="283">
        <f>MCF!R44</f>
        <v>1</v>
      </c>
      <c r="F45" s="67">
        <f t="shared" si="0"/>
        <v>0</v>
      </c>
      <c r="G45" s="67">
        <f t="shared" si="1"/>
        <v>0</v>
      </c>
      <c r="H45" s="67">
        <f t="shared" si="2"/>
        <v>0</v>
      </c>
      <c r="I45" s="67">
        <f t="shared" si="3"/>
        <v>0</v>
      </c>
      <c r="J45" s="67">
        <f t="shared" si="4"/>
        <v>0</v>
      </c>
      <c r="K45" s="100">
        <f t="shared" si="6"/>
        <v>0</v>
      </c>
      <c r="O45" s="96">
        <f>Amnt_Deposited!B40</f>
        <v>2026</v>
      </c>
      <c r="P45" s="99">
        <f>Amnt_Deposited!F40</f>
        <v>0</v>
      </c>
      <c r="Q45" s="283">
        <f>MCF!R44</f>
        <v>1</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Amnt_Deposited!F41</f>
        <v>0</v>
      </c>
      <c r="D46" s="417">
        <f>Dry_Matter_Content!F33</f>
        <v>0.56999999999999995</v>
      </c>
      <c r="E46" s="283">
        <f>MCF!R45</f>
        <v>1</v>
      </c>
      <c r="F46" s="67">
        <f t="shared" si="0"/>
        <v>0</v>
      </c>
      <c r="G46" s="67">
        <f t="shared" si="1"/>
        <v>0</v>
      </c>
      <c r="H46" s="67">
        <f t="shared" si="2"/>
        <v>0</v>
      </c>
      <c r="I46" s="67">
        <f t="shared" si="3"/>
        <v>0</v>
      </c>
      <c r="J46" s="67">
        <f t="shared" si="4"/>
        <v>0</v>
      </c>
      <c r="K46" s="100">
        <f t="shared" si="6"/>
        <v>0</v>
      </c>
      <c r="O46" s="96">
        <f>Amnt_Deposited!B41</f>
        <v>2027</v>
      </c>
      <c r="P46" s="99">
        <f>Amnt_Deposited!F41</f>
        <v>0</v>
      </c>
      <c r="Q46" s="283">
        <f>MCF!R45</f>
        <v>1</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Amnt_Deposited!F42</f>
        <v>0</v>
      </c>
      <c r="D47" s="417">
        <f>Dry_Matter_Content!F34</f>
        <v>0.56999999999999995</v>
      </c>
      <c r="E47" s="283">
        <f>MCF!R46</f>
        <v>1</v>
      </c>
      <c r="F47" s="67">
        <f t="shared" si="0"/>
        <v>0</v>
      </c>
      <c r="G47" s="67">
        <f t="shared" si="1"/>
        <v>0</v>
      </c>
      <c r="H47" s="67">
        <f t="shared" si="2"/>
        <v>0</v>
      </c>
      <c r="I47" s="67">
        <f t="shared" si="3"/>
        <v>0</v>
      </c>
      <c r="J47" s="67">
        <f t="shared" si="4"/>
        <v>0</v>
      </c>
      <c r="K47" s="100">
        <f t="shared" si="6"/>
        <v>0</v>
      </c>
      <c r="O47" s="96">
        <f>Amnt_Deposited!B42</f>
        <v>2028</v>
      </c>
      <c r="P47" s="99">
        <f>Amnt_Deposited!F42</f>
        <v>0</v>
      </c>
      <c r="Q47" s="283">
        <f>MCF!R46</f>
        <v>1</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Amnt_Deposited!F43</f>
        <v>0</v>
      </c>
      <c r="D48" s="417">
        <f>Dry_Matter_Content!F35</f>
        <v>0.56999999999999995</v>
      </c>
      <c r="E48" s="283">
        <f>MCF!R47</f>
        <v>1</v>
      </c>
      <c r="F48" s="67">
        <f t="shared" si="0"/>
        <v>0</v>
      </c>
      <c r="G48" s="67">
        <f t="shared" si="1"/>
        <v>0</v>
      </c>
      <c r="H48" s="67">
        <f t="shared" si="2"/>
        <v>0</v>
      </c>
      <c r="I48" s="67">
        <f t="shared" si="3"/>
        <v>0</v>
      </c>
      <c r="J48" s="67">
        <f t="shared" si="4"/>
        <v>0</v>
      </c>
      <c r="K48" s="100">
        <f t="shared" si="6"/>
        <v>0</v>
      </c>
      <c r="O48" s="96">
        <f>Amnt_Deposited!B43</f>
        <v>2029</v>
      </c>
      <c r="P48" s="99">
        <f>Amnt_Deposited!F43</f>
        <v>0</v>
      </c>
      <c r="Q48" s="283">
        <f>MCF!R47</f>
        <v>1</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Amnt_Deposited!F44</f>
        <v>0</v>
      </c>
      <c r="D49" s="417">
        <f>Dry_Matter_Content!F36</f>
        <v>0.56999999999999995</v>
      </c>
      <c r="E49" s="283">
        <f>MCF!R48</f>
        <v>1</v>
      </c>
      <c r="F49" s="67">
        <f t="shared" si="0"/>
        <v>0</v>
      </c>
      <c r="G49" s="67">
        <f t="shared" si="1"/>
        <v>0</v>
      </c>
      <c r="H49" s="67">
        <f t="shared" si="2"/>
        <v>0</v>
      </c>
      <c r="I49" s="67">
        <f t="shared" si="3"/>
        <v>0</v>
      </c>
      <c r="J49" s="67">
        <f t="shared" si="4"/>
        <v>0</v>
      </c>
      <c r="K49" s="100">
        <f t="shared" si="6"/>
        <v>0</v>
      </c>
      <c r="O49" s="96">
        <f>Amnt_Deposited!B44</f>
        <v>2030</v>
      </c>
      <c r="P49" s="99">
        <f>Amnt_Deposited!F44</f>
        <v>0</v>
      </c>
      <c r="Q49" s="283">
        <f>MCF!R48</f>
        <v>1</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Amnt_Deposited!F45</f>
        <v>0</v>
      </c>
      <c r="D50" s="417">
        <f>Dry_Matter_Content!F37</f>
        <v>0.56999999999999995</v>
      </c>
      <c r="E50" s="283">
        <f>MCF!R49</f>
        <v>1</v>
      </c>
      <c r="F50" s="67">
        <f t="shared" si="0"/>
        <v>0</v>
      </c>
      <c r="G50" s="67">
        <f t="shared" si="1"/>
        <v>0</v>
      </c>
      <c r="H50" s="67">
        <f t="shared" si="2"/>
        <v>0</v>
      </c>
      <c r="I50" s="67">
        <f t="shared" si="3"/>
        <v>0</v>
      </c>
      <c r="J50" s="67">
        <f t="shared" si="4"/>
        <v>0</v>
      </c>
      <c r="K50" s="100">
        <f t="shared" si="6"/>
        <v>0</v>
      </c>
      <c r="O50" s="96">
        <f>Amnt_Deposited!B45</f>
        <v>2031</v>
      </c>
      <c r="P50" s="99">
        <f>Amnt_Deposited!F45</f>
        <v>0</v>
      </c>
      <c r="Q50" s="283">
        <f>MCF!R49</f>
        <v>1</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Amnt_Deposited!F46</f>
        <v>0</v>
      </c>
      <c r="D51" s="417">
        <f>Dry_Matter_Content!F38</f>
        <v>0.56999999999999995</v>
      </c>
      <c r="E51" s="283">
        <f>MCF!R50</f>
        <v>1</v>
      </c>
      <c r="F51" s="67">
        <f t="shared" ref="F51:F82" si="12">C51*D51*$K$6*DOCF*E51</f>
        <v>0</v>
      </c>
      <c r="G51" s="67">
        <f t="shared" si="1"/>
        <v>0</v>
      </c>
      <c r="H51" s="67">
        <f t="shared" si="2"/>
        <v>0</v>
      </c>
      <c r="I51" s="67">
        <f t="shared" si="3"/>
        <v>0</v>
      </c>
      <c r="J51" s="67">
        <f t="shared" si="4"/>
        <v>0</v>
      </c>
      <c r="K51" s="100">
        <f t="shared" si="6"/>
        <v>0</v>
      </c>
      <c r="O51" s="96">
        <f>Amnt_Deposited!B46</f>
        <v>2032</v>
      </c>
      <c r="P51" s="99">
        <f>Amnt_Deposited!F46</f>
        <v>0</v>
      </c>
      <c r="Q51" s="283">
        <f>MCF!R50</f>
        <v>1</v>
      </c>
      <c r="R51" s="67">
        <f t="shared" ref="R51:R82" si="13">P51*$W$6*DOCF*Q51</f>
        <v>0</v>
      </c>
      <c r="S51" s="67">
        <f t="shared" si="7"/>
        <v>0</v>
      </c>
      <c r="T51" s="67">
        <f t="shared" si="8"/>
        <v>0</v>
      </c>
      <c r="U51" s="67">
        <f t="shared" si="9"/>
        <v>0</v>
      </c>
      <c r="V51" s="67">
        <f t="shared" si="10"/>
        <v>0</v>
      </c>
      <c r="W51" s="100">
        <f t="shared" si="11"/>
        <v>0</v>
      </c>
    </row>
    <row r="52" spans="2:23">
      <c r="B52" s="96">
        <f>Amnt_Deposited!B47</f>
        <v>2033</v>
      </c>
      <c r="C52" s="99">
        <f>Amnt_Deposited!F47</f>
        <v>0</v>
      </c>
      <c r="D52" s="417">
        <f>Dry_Matter_Content!F39</f>
        <v>0.56999999999999995</v>
      </c>
      <c r="E52" s="283">
        <f>MCF!R51</f>
        <v>1</v>
      </c>
      <c r="F52" s="67">
        <f t="shared" si="12"/>
        <v>0</v>
      </c>
      <c r="G52" s="67">
        <f t="shared" si="1"/>
        <v>0</v>
      </c>
      <c r="H52" s="67">
        <f t="shared" si="2"/>
        <v>0</v>
      </c>
      <c r="I52" s="67">
        <f t="shared" si="3"/>
        <v>0</v>
      </c>
      <c r="J52" s="67">
        <f t="shared" si="4"/>
        <v>0</v>
      </c>
      <c r="K52" s="100">
        <f t="shared" si="6"/>
        <v>0</v>
      </c>
      <c r="O52" s="96">
        <f>Amnt_Deposited!B47</f>
        <v>2033</v>
      </c>
      <c r="P52" s="99">
        <f>Amnt_Deposited!F47</f>
        <v>0</v>
      </c>
      <c r="Q52" s="283">
        <f>MCF!R51</f>
        <v>1</v>
      </c>
      <c r="R52" s="67">
        <f t="shared" si="13"/>
        <v>0</v>
      </c>
      <c r="S52" s="67">
        <f t="shared" si="7"/>
        <v>0</v>
      </c>
      <c r="T52" s="67">
        <f t="shared" si="8"/>
        <v>0</v>
      </c>
      <c r="U52" s="67">
        <f t="shared" si="9"/>
        <v>0</v>
      </c>
      <c r="V52" s="67">
        <f t="shared" si="10"/>
        <v>0</v>
      </c>
      <c r="W52" s="100">
        <f t="shared" si="11"/>
        <v>0</v>
      </c>
    </row>
    <row r="53" spans="2:23">
      <c r="B53" s="96">
        <f>Amnt_Deposited!B48</f>
        <v>2034</v>
      </c>
      <c r="C53" s="99">
        <f>Amnt_Deposited!F48</f>
        <v>0</v>
      </c>
      <c r="D53" s="417">
        <f>Dry_Matter_Content!F40</f>
        <v>0.56999999999999995</v>
      </c>
      <c r="E53" s="283">
        <f>MCF!R52</f>
        <v>1</v>
      </c>
      <c r="F53" s="67">
        <f t="shared" si="12"/>
        <v>0</v>
      </c>
      <c r="G53" s="67">
        <f t="shared" si="1"/>
        <v>0</v>
      </c>
      <c r="H53" s="67">
        <f t="shared" si="2"/>
        <v>0</v>
      </c>
      <c r="I53" s="67">
        <f t="shared" si="3"/>
        <v>0</v>
      </c>
      <c r="J53" s="67">
        <f t="shared" si="4"/>
        <v>0</v>
      </c>
      <c r="K53" s="100">
        <f t="shared" si="6"/>
        <v>0</v>
      </c>
      <c r="O53" s="96">
        <f>Amnt_Deposited!B48</f>
        <v>2034</v>
      </c>
      <c r="P53" s="99">
        <f>Amnt_Deposited!F48</f>
        <v>0</v>
      </c>
      <c r="Q53" s="283">
        <f>MCF!R52</f>
        <v>1</v>
      </c>
      <c r="R53" s="67">
        <f t="shared" si="13"/>
        <v>0</v>
      </c>
      <c r="S53" s="67">
        <f t="shared" si="7"/>
        <v>0</v>
      </c>
      <c r="T53" s="67">
        <f t="shared" si="8"/>
        <v>0</v>
      </c>
      <c r="U53" s="67">
        <f t="shared" si="9"/>
        <v>0</v>
      </c>
      <c r="V53" s="67">
        <f t="shared" si="10"/>
        <v>0</v>
      </c>
      <c r="W53" s="100">
        <f t="shared" si="11"/>
        <v>0</v>
      </c>
    </row>
    <row r="54" spans="2:23">
      <c r="B54" s="96">
        <f>Amnt_Deposited!B49</f>
        <v>2035</v>
      </c>
      <c r="C54" s="99">
        <f>Amnt_Deposited!F49</f>
        <v>0</v>
      </c>
      <c r="D54" s="417">
        <f>Dry_Matter_Content!F41</f>
        <v>0.56999999999999995</v>
      </c>
      <c r="E54" s="283">
        <f>MCF!R53</f>
        <v>1</v>
      </c>
      <c r="F54" s="67">
        <f t="shared" si="12"/>
        <v>0</v>
      </c>
      <c r="G54" s="67">
        <f t="shared" si="1"/>
        <v>0</v>
      </c>
      <c r="H54" s="67">
        <f t="shared" si="2"/>
        <v>0</v>
      </c>
      <c r="I54" s="67">
        <f t="shared" si="3"/>
        <v>0</v>
      </c>
      <c r="J54" s="67">
        <f t="shared" si="4"/>
        <v>0</v>
      </c>
      <c r="K54" s="100">
        <f t="shared" si="6"/>
        <v>0</v>
      </c>
      <c r="O54" s="96">
        <f>Amnt_Deposited!B49</f>
        <v>2035</v>
      </c>
      <c r="P54" s="99">
        <f>Amnt_Deposited!F49</f>
        <v>0</v>
      </c>
      <c r="Q54" s="283">
        <f>MCF!R53</f>
        <v>1</v>
      </c>
      <c r="R54" s="67">
        <f t="shared" si="13"/>
        <v>0</v>
      </c>
      <c r="S54" s="67">
        <f t="shared" si="7"/>
        <v>0</v>
      </c>
      <c r="T54" s="67">
        <f t="shared" si="8"/>
        <v>0</v>
      </c>
      <c r="U54" s="67">
        <f t="shared" si="9"/>
        <v>0</v>
      </c>
      <c r="V54" s="67">
        <f t="shared" si="10"/>
        <v>0</v>
      </c>
      <c r="W54" s="100">
        <f t="shared" si="11"/>
        <v>0</v>
      </c>
    </row>
    <row r="55" spans="2:23">
      <c r="B55" s="96">
        <f>Amnt_Deposited!B50</f>
        <v>2036</v>
      </c>
      <c r="C55" s="99">
        <f>Amnt_Deposited!F50</f>
        <v>0</v>
      </c>
      <c r="D55" s="417">
        <f>Dry_Matter_Content!F42</f>
        <v>0.56999999999999995</v>
      </c>
      <c r="E55" s="283">
        <f>MCF!R54</f>
        <v>1</v>
      </c>
      <c r="F55" s="67">
        <f t="shared" si="12"/>
        <v>0</v>
      </c>
      <c r="G55" s="67">
        <f t="shared" si="1"/>
        <v>0</v>
      </c>
      <c r="H55" s="67">
        <f t="shared" si="2"/>
        <v>0</v>
      </c>
      <c r="I55" s="67">
        <f t="shared" si="3"/>
        <v>0</v>
      </c>
      <c r="J55" s="67">
        <f t="shared" si="4"/>
        <v>0</v>
      </c>
      <c r="K55" s="100">
        <f t="shared" si="6"/>
        <v>0</v>
      </c>
      <c r="O55" s="96">
        <f>Amnt_Deposited!B50</f>
        <v>2036</v>
      </c>
      <c r="P55" s="99">
        <f>Amnt_Deposited!F50</f>
        <v>0</v>
      </c>
      <c r="Q55" s="283">
        <f>MCF!R54</f>
        <v>1</v>
      </c>
      <c r="R55" s="67">
        <f t="shared" si="13"/>
        <v>0</v>
      </c>
      <c r="S55" s="67">
        <f t="shared" si="7"/>
        <v>0</v>
      </c>
      <c r="T55" s="67">
        <f t="shared" si="8"/>
        <v>0</v>
      </c>
      <c r="U55" s="67">
        <f t="shared" si="9"/>
        <v>0</v>
      </c>
      <c r="V55" s="67">
        <f t="shared" si="10"/>
        <v>0</v>
      </c>
      <c r="W55" s="100">
        <f t="shared" si="11"/>
        <v>0</v>
      </c>
    </row>
    <row r="56" spans="2:23">
      <c r="B56" s="96">
        <f>Amnt_Deposited!B51</f>
        <v>2037</v>
      </c>
      <c r="C56" s="99">
        <f>Amnt_Deposited!F51</f>
        <v>0</v>
      </c>
      <c r="D56" s="417">
        <f>Dry_Matter_Content!F43</f>
        <v>0.56999999999999995</v>
      </c>
      <c r="E56" s="283">
        <f>MCF!R55</f>
        <v>1</v>
      </c>
      <c r="F56" s="67">
        <f t="shared" si="12"/>
        <v>0</v>
      </c>
      <c r="G56" s="67">
        <f t="shared" si="1"/>
        <v>0</v>
      </c>
      <c r="H56" s="67">
        <f t="shared" si="2"/>
        <v>0</v>
      </c>
      <c r="I56" s="67">
        <f t="shared" si="3"/>
        <v>0</v>
      </c>
      <c r="J56" s="67">
        <f t="shared" si="4"/>
        <v>0</v>
      </c>
      <c r="K56" s="100">
        <f t="shared" si="6"/>
        <v>0</v>
      </c>
      <c r="O56" s="96">
        <f>Amnt_Deposited!B51</f>
        <v>2037</v>
      </c>
      <c r="P56" s="99">
        <f>Amnt_Deposited!F51</f>
        <v>0</v>
      </c>
      <c r="Q56" s="283">
        <f>MCF!R55</f>
        <v>1</v>
      </c>
      <c r="R56" s="67">
        <f t="shared" si="13"/>
        <v>0</v>
      </c>
      <c r="S56" s="67">
        <f t="shared" si="7"/>
        <v>0</v>
      </c>
      <c r="T56" s="67">
        <f t="shared" si="8"/>
        <v>0</v>
      </c>
      <c r="U56" s="67">
        <f t="shared" si="9"/>
        <v>0</v>
      </c>
      <c r="V56" s="67">
        <f t="shared" si="10"/>
        <v>0</v>
      </c>
      <c r="W56" s="100">
        <f t="shared" si="11"/>
        <v>0</v>
      </c>
    </row>
    <row r="57" spans="2:23">
      <c r="B57" s="96">
        <f>Amnt_Deposited!B52</f>
        <v>2038</v>
      </c>
      <c r="C57" s="99">
        <f>Amnt_Deposited!F52</f>
        <v>0</v>
      </c>
      <c r="D57" s="417">
        <f>Dry_Matter_Content!F44</f>
        <v>0.56999999999999995</v>
      </c>
      <c r="E57" s="283">
        <f>MCF!R56</f>
        <v>1</v>
      </c>
      <c r="F57" s="67">
        <f t="shared" si="12"/>
        <v>0</v>
      </c>
      <c r="G57" s="67">
        <f t="shared" si="1"/>
        <v>0</v>
      </c>
      <c r="H57" s="67">
        <f t="shared" si="2"/>
        <v>0</v>
      </c>
      <c r="I57" s="67">
        <f t="shared" si="3"/>
        <v>0</v>
      </c>
      <c r="J57" s="67">
        <f t="shared" si="4"/>
        <v>0</v>
      </c>
      <c r="K57" s="100">
        <f t="shared" si="6"/>
        <v>0</v>
      </c>
      <c r="O57" s="96">
        <f>Amnt_Deposited!B52</f>
        <v>2038</v>
      </c>
      <c r="P57" s="99">
        <f>Amnt_Deposited!F52</f>
        <v>0</v>
      </c>
      <c r="Q57" s="283">
        <f>MCF!R56</f>
        <v>1</v>
      </c>
      <c r="R57" s="67">
        <f t="shared" si="13"/>
        <v>0</v>
      </c>
      <c r="S57" s="67">
        <f t="shared" si="7"/>
        <v>0</v>
      </c>
      <c r="T57" s="67">
        <f t="shared" si="8"/>
        <v>0</v>
      </c>
      <c r="U57" s="67">
        <f t="shared" si="9"/>
        <v>0</v>
      </c>
      <c r="V57" s="67">
        <f t="shared" si="10"/>
        <v>0</v>
      </c>
      <c r="W57" s="100">
        <f t="shared" si="11"/>
        <v>0</v>
      </c>
    </row>
    <row r="58" spans="2:23">
      <c r="B58" s="96">
        <f>Amnt_Deposited!B53</f>
        <v>2039</v>
      </c>
      <c r="C58" s="99">
        <f>Amnt_Deposited!F53</f>
        <v>0</v>
      </c>
      <c r="D58" s="417">
        <f>Dry_Matter_Content!F45</f>
        <v>0.56999999999999995</v>
      </c>
      <c r="E58" s="283">
        <f>MCF!R57</f>
        <v>1</v>
      </c>
      <c r="F58" s="67">
        <f t="shared" si="12"/>
        <v>0</v>
      </c>
      <c r="G58" s="67">
        <f t="shared" si="1"/>
        <v>0</v>
      </c>
      <c r="H58" s="67">
        <f t="shared" si="2"/>
        <v>0</v>
      </c>
      <c r="I58" s="67">
        <f t="shared" si="3"/>
        <v>0</v>
      </c>
      <c r="J58" s="67">
        <f t="shared" si="4"/>
        <v>0</v>
      </c>
      <c r="K58" s="100">
        <f t="shared" si="6"/>
        <v>0</v>
      </c>
      <c r="O58" s="96">
        <f>Amnt_Deposited!B53</f>
        <v>2039</v>
      </c>
      <c r="P58" s="99">
        <f>Amnt_Deposited!F53</f>
        <v>0</v>
      </c>
      <c r="Q58" s="283">
        <f>MCF!R57</f>
        <v>1</v>
      </c>
      <c r="R58" s="67">
        <f t="shared" si="13"/>
        <v>0</v>
      </c>
      <c r="S58" s="67">
        <f t="shared" si="7"/>
        <v>0</v>
      </c>
      <c r="T58" s="67">
        <f t="shared" si="8"/>
        <v>0</v>
      </c>
      <c r="U58" s="67">
        <f t="shared" si="9"/>
        <v>0</v>
      </c>
      <c r="V58" s="67">
        <f t="shared" si="10"/>
        <v>0</v>
      </c>
      <c r="W58" s="100">
        <f t="shared" si="11"/>
        <v>0</v>
      </c>
    </row>
    <row r="59" spans="2:23">
      <c r="B59" s="96">
        <f>Amnt_Deposited!B54</f>
        <v>2040</v>
      </c>
      <c r="C59" s="99">
        <f>Amnt_Deposited!F54</f>
        <v>0</v>
      </c>
      <c r="D59" s="417">
        <f>Dry_Matter_Content!F46</f>
        <v>0.56999999999999995</v>
      </c>
      <c r="E59" s="283">
        <f>MCF!R58</f>
        <v>1</v>
      </c>
      <c r="F59" s="67">
        <f t="shared" si="12"/>
        <v>0</v>
      </c>
      <c r="G59" s="67">
        <f t="shared" si="1"/>
        <v>0</v>
      </c>
      <c r="H59" s="67">
        <f t="shared" si="2"/>
        <v>0</v>
      </c>
      <c r="I59" s="67">
        <f t="shared" si="3"/>
        <v>0</v>
      </c>
      <c r="J59" s="67">
        <f t="shared" si="4"/>
        <v>0</v>
      </c>
      <c r="K59" s="100">
        <f t="shared" si="6"/>
        <v>0</v>
      </c>
      <c r="O59" s="96">
        <f>Amnt_Deposited!B54</f>
        <v>2040</v>
      </c>
      <c r="P59" s="99">
        <f>Amnt_Deposited!F54</f>
        <v>0</v>
      </c>
      <c r="Q59" s="283">
        <f>MCF!R58</f>
        <v>1</v>
      </c>
      <c r="R59" s="67">
        <f t="shared" si="13"/>
        <v>0</v>
      </c>
      <c r="S59" s="67">
        <f t="shared" si="7"/>
        <v>0</v>
      </c>
      <c r="T59" s="67">
        <f t="shared" si="8"/>
        <v>0</v>
      </c>
      <c r="U59" s="67">
        <f t="shared" si="9"/>
        <v>0</v>
      </c>
      <c r="V59" s="67">
        <f t="shared" si="10"/>
        <v>0</v>
      </c>
      <c r="W59" s="100">
        <f t="shared" si="11"/>
        <v>0</v>
      </c>
    </row>
    <row r="60" spans="2:23">
      <c r="B60" s="96">
        <f>Amnt_Deposited!B55</f>
        <v>2041</v>
      </c>
      <c r="C60" s="99">
        <f>Amnt_Deposited!F55</f>
        <v>0</v>
      </c>
      <c r="D60" s="417">
        <f>Dry_Matter_Content!F47</f>
        <v>0.56999999999999995</v>
      </c>
      <c r="E60" s="283">
        <f>MCF!R59</f>
        <v>1</v>
      </c>
      <c r="F60" s="67">
        <f t="shared" si="12"/>
        <v>0</v>
      </c>
      <c r="G60" s="67">
        <f t="shared" si="1"/>
        <v>0</v>
      </c>
      <c r="H60" s="67">
        <f t="shared" si="2"/>
        <v>0</v>
      </c>
      <c r="I60" s="67">
        <f t="shared" si="3"/>
        <v>0</v>
      </c>
      <c r="J60" s="67">
        <f t="shared" si="4"/>
        <v>0</v>
      </c>
      <c r="K60" s="100">
        <f t="shared" si="6"/>
        <v>0</v>
      </c>
      <c r="O60" s="96">
        <f>Amnt_Deposited!B55</f>
        <v>2041</v>
      </c>
      <c r="P60" s="99">
        <f>Amnt_Deposited!F55</f>
        <v>0</v>
      </c>
      <c r="Q60" s="283">
        <f>MCF!R59</f>
        <v>1</v>
      </c>
      <c r="R60" s="67">
        <f t="shared" si="13"/>
        <v>0</v>
      </c>
      <c r="S60" s="67">
        <f t="shared" si="7"/>
        <v>0</v>
      </c>
      <c r="T60" s="67">
        <f t="shared" si="8"/>
        <v>0</v>
      </c>
      <c r="U60" s="67">
        <f t="shared" si="9"/>
        <v>0</v>
      </c>
      <c r="V60" s="67">
        <f t="shared" si="10"/>
        <v>0</v>
      </c>
      <c r="W60" s="100">
        <f t="shared" si="11"/>
        <v>0</v>
      </c>
    </row>
    <row r="61" spans="2:23">
      <c r="B61" s="96">
        <f>Amnt_Deposited!B56</f>
        <v>2042</v>
      </c>
      <c r="C61" s="99">
        <f>Amnt_Deposited!F56</f>
        <v>0</v>
      </c>
      <c r="D61" s="417">
        <f>Dry_Matter_Content!F48</f>
        <v>0.56999999999999995</v>
      </c>
      <c r="E61" s="283">
        <f>MCF!R60</f>
        <v>1</v>
      </c>
      <c r="F61" s="67">
        <f t="shared" si="12"/>
        <v>0</v>
      </c>
      <c r="G61" s="67">
        <f t="shared" si="1"/>
        <v>0</v>
      </c>
      <c r="H61" s="67">
        <f t="shared" si="2"/>
        <v>0</v>
      </c>
      <c r="I61" s="67">
        <f t="shared" si="3"/>
        <v>0</v>
      </c>
      <c r="J61" s="67">
        <f t="shared" si="4"/>
        <v>0</v>
      </c>
      <c r="K61" s="100">
        <f t="shared" si="6"/>
        <v>0</v>
      </c>
      <c r="O61" s="96">
        <f>Amnt_Deposited!B56</f>
        <v>2042</v>
      </c>
      <c r="P61" s="99">
        <f>Amnt_Deposited!F56</f>
        <v>0</v>
      </c>
      <c r="Q61" s="283">
        <f>MCF!R60</f>
        <v>1</v>
      </c>
      <c r="R61" s="67">
        <f t="shared" si="13"/>
        <v>0</v>
      </c>
      <c r="S61" s="67">
        <f t="shared" si="7"/>
        <v>0</v>
      </c>
      <c r="T61" s="67">
        <f t="shared" si="8"/>
        <v>0</v>
      </c>
      <c r="U61" s="67">
        <f t="shared" si="9"/>
        <v>0</v>
      </c>
      <c r="V61" s="67">
        <f t="shared" si="10"/>
        <v>0</v>
      </c>
      <c r="W61" s="100">
        <f t="shared" si="11"/>
        <v>0</v>
      </c>
    </row>
    <row r="62" spans="2:23">
      <c r="B62" s="96">
        <f>Amnt_Deposited!B57</f>
        <v>2043</v>
      </c>
      <c r="C62" s="99">
        <f>Amnt_Deposited!F57</f>
        <v>0</v>
      </c>
      <c r="D62" s="417">
        <f>Dry_Matter_Content!F49</f>
        <v>0.56999999999999995</v>
      </c>
      <c r="E62" s="283">
        <f>MCF!R61</f>
        <v>1</v>
      </c>
      <c r="F62" s="67">
        <f t="shared" si="12"/>
        <v>0</v>
      </c>
      <c r="G62" s="67">
        <f t="shared" si="1"/>
        <v>0</v>
      </c>
      <c r="H62" s="67">
        <f t="shared" si="2"/>
        <v>0</v>
      </c>
      <c r="I62" s="67">
        <f t="shared" si="3"/>
        <v>0</v>
      </c>
      <c r="J62" s="67">
        <f t="shared" si="4"/>
        <v>0</v>
      </c>
      <c r="K62" s="100">
        <f t="shared" si="6"/>
        <v>0</v>
      </c>
      <c r="O62" s="96">
        <f>Amnt_Deposited!B57</f>
        <v>2043</v>
      </c>
      <c r="P62" s="99">
        <f>Amnt_Deposited!F57</f>
        <v>0</v>
      </c>
      <c r="Q62" s="283">
        <f>MCF!R61</f>
        <v>1</v>
      </c>
      <c r="R62" s="67">
        <f t="shared" si="13"/>
        <v>0</v>
      </c>
      <c r="S62" s="67">
        <f t="shared" si="7"/>
        <v>0</v>
      </c>
      <c r="T62" s="67">
        <f t="shared" si="8"/>
        <v>0</v>
      </c>
      <c r="U62" s="67">
        <f t="shared" si="9"/>
        <v>0</v>
      </c>
      <c r="V62" s="67">
        <f t="shared" si="10"/>
        <v>0</v>
      </c>
      <c r="W62" s="100">
        <f t="shared" si="11"/>
        <v>0</v>
      </c>
    </row>
    <row r="63" spans="2:23">
      <c r="B63" s="96">
        <f>Amnt_Deposited!B58</f>
        <v>2044</v>
      </c>
      <c r="C63" s="99">
        <f>Amnt_Deposited!F58</f>
        <v>0</v>
      </c>
      <c r="D63" s="417">
        <f>Dry_Matter_Content!F50</f>
        <v>0.56999999999999995</v>
      </c>
      <c r="E63" s="283">
        <f>MCF!R62</f>
        <v>1</v>
      </c>
      <c r="F63" s="67">
        <f t="shared" si="12"/>
        <v>0</v>
      </c>
      <c r="G63" s="67">
        <f t="shared" si="1"/>
        <v>0</v>
      </c>
      <c r="H63" s="67">
        <f t="shared" si="2"/>
        <v>0</v>
      </c>
      <c r="I63" s="67">
        <f t="shared" si="3"/>
        <v>0</v>
      </c>
      <c r="J63" s="67">
        <f t="shared" si="4"/>
        <v>0</v>
      </c>
      <c r="K63" s="100">
        <f t="shared" si="6"/>
        <v>0</v>
      </c>
      <c r="O63" s="96">
        <f>Amnt_Deposited!B58</f>
        <v>2044</v>
      </c>
      <c r="P63" s="99">
        <f>Amnt_Deposited!F58</f>
        <v>0</v>
      </c>
      <c r="Q63" s="283">
        <f>MCF!R62</f>
        <v>1</v>
      </c>
      <c r="R63" s="67">
        <f t="shared" si="13"/>
        <v>0</v>
      </c>
      <c r="S63" s="67">
        <f t="shared" si="7"/>
        <v>0</v>
      </c>
      <c r="T63" s="67">
        <f t="shared" si="8"/>
        <v>0</v>
      </c>
      <c r="U63" s="67">
        <f t="shared" si="9"/>
        <v>0</v>
      </c>
      <c r="V63" s="67">
        <f t="shared" si="10"/>
        <v>0</v>
      </c>
      <c r="W63" s="100">
        <f t="shared" si="11"/>
        <v>0</v>
      </c>
    </row>
    <row r="64" spans="2:23">
      <c r="B64" s="96">
        <f>Amnt_Deposited!B59</f>
        <v>2045</v>
      </c>
      <c r="C64" s="99">
        <f>Amnt_Deposited!F59</f>
        <v>0</v>
      </c>
      <c r="D64" s="417">
        <f>Dry_Matter_Content!F51</f>
        <v>0.56999999999999995</v>
      </c>
      <c r="E64" s="283">
        <f>MCF!R63</f>
        <v>1</v>
      </c>
      <c r="F64" s="67">
        <f t="shared" si="12"/>
        <v>0</v>
      </c>
      <c r="G64" s="67">
        <f t="shared" si="1"/>
        <v>0</v>
      </c>
      <c r="H64" s="67">
        <f t="shared" si="2"/>
        <v>0</v>
      </c>
      <c r="I64" s="67">
        <f t="shared" si="3"/>
        <v>0</v>
      </c>
      <c r="J64" s="67">
        <f t="shared" si="4"/>
        <v>0</v>
      </c>
      <c r="K64" s="100">
        <f t="shared" si="6"/>
        <v>0</v>
      </c>
      <c r="O64" s="96">
        <f>Amnt_Deposited!B59</f>
        <v>2045</v>
      </c>
      <c r="P64" s="99">
        <f>Amnt_Deposited!F59</f>
        <v>0</v>
      </c>
      <c r="Q64" s="283">
        <f>MCF!R63</f>
        <v>1</v>
      </c>
      <c r="R64" s="67">
        <f t="shared" si="13"/>
        <v>0</v>
      </c>
      <c r="S64" s="67">
        <f t="shared" si="7"/>
        <v>0</v>
      </c>
      <c r="T64" s="67">
        <f t="shared" si="8"/>
        <v>0</v>
      </c>
      <c r="U64" s="67">
        <f t="shared" si="9"/>
        <v>0</v>
      </c>
      <c r="V64" s="67">
        <f t="shared" si="10"/>
        <v>0</v>
      </c>
      <c r="W64" s="100">
        <f t="shared" si="11"/>
        <v>0</v>
      </c>
    </row>
    <row r="65" spans="2:23">
      <c r="B65" s="96">
        <f>Amnt_Deposited!B60</f>
        <v>2046</v>
      </c>
      <c r="C65" s="99">
        <f>Amnt_Deposited!F60</f>
        <v>0</v>
      </c>
      <c r="D65" s="417">
        <f>Dry_Matter_Content!F52</f>
        <v>0.56999999999999995</v>
      </c>
      <c r="E65" s="283">
        <f>MCF!R64</f>
        <v>1</v>
      </c>
      <c r="F65" s="67">
        <f t="shared" si="12"/>
        <v>0</v>
      </c>
      <c r="G65" s="67">
        <f t="shared" si="1"/>
        <v>0</v>
      </c>
      <c r="H65" s="67">
        <f t="shared" si="2"/>
        <v>0</v>
      </c>
      <c r="I65" s="67">
        <f t="shared" si="3"/>
        <v>0</v>
      </c>
      <c r="J65" s="67">
        <f t="shared" si="4"/>
        <v>0</v>
      </c>
      <c r="K65" s="100">
        <f t="shared" si="6"/>
        <v>0</v>
      </c>
      <c r="O65" s="96">
        <f>Amnt_Deposited!B60</f>
        <v>2046</v>
      </c>
      <c r="P65" s="99">
        <f>Amnt_Deposited!F60</f>
        <v>0</v>
      </c>
      <c r="Q65" s="283">
        <f>MCF!R64</f>
        <v>1</v>
      </c>
      <c r="R65" s="67">
        <f t="shared" si="13"/>
        <v>0</v>
      </c>
      <c r="S65" s="67">
        <f t="shared" si="7"/>
        <v>0</v>
      </c>
      <c r="T65" s="67">
        <f t="shared" si="8"/>
        <v>0</v>
      </c>
      <c r="U65" s="67">
        <f t="shared" si="9"/>
        <v>0</v>
      </c>
      <c r="V65" s="67">
        <f t="shared" si="10"/>
        <v>0</v>
      </c>
      <c r="W65" s="100">
        <f t="shared" si="11"/>
        <v>0</v>
      </c>
    </row>
    <row r="66" spans="2:23">
      <c r="B66" s="96">
        <f>Amnt_Deposited!B61</f>
        <v>2047</v>
      </c>
      <c r="C66" s="99">
        <f>Amnt_Deposited!F61</f>
        <v>0</v>
      </c>
      <c r="D66" s="417">
        <f>Dry_Matter_Content!F53</f>
        <v>0.56999999999999995</v>
      </c>
      <c r="E66" s="283">
        <f>MCF!R65</f>
        <v>1</v>
      </c>
      <c r="F66" s="67">
        <f t="shared" si="12"/>
        <v>0</v>
      </c>
      <c r="G66" s="67">
        <f t="shared" si="1"/>
        <v>0</v>
      </c>
      <c r="H66" s="67">
        <f t="shared" si="2"/>
        <v>0</v>
      </c>
      <c r="I66" s="67">
        <f t="shared" si="3"/>
        <v>0</v>
      </c>
      <c r="J66" s="67">
        <f t="shared" si="4"/>
        <v>0</v>
      </c>
      <c r="K66" s="100">
        <f t="shared" si="6"/>
        <v>0</v>
      </c>
      <c r="O66" s="96">
        <f>Amnt_Deposited!B61</f>
        <v>2047</v>
      </c>
      <c r="P66" s="99">
        <f>Amnt_Deposited!F61</f>
        <v>0</v>
      </c>
      <c r="Q66" s="283">
        <f>MCF!R65</f>
        <v>1</v>
      </c>
      <c r="R66" s="67">
        <f t="shared" si="13"/>
        <v>0</v>
      </c>
      <c r="S66" s="67">
        <f t="shared" si="7"/>
        <v>0</v>
      </c>
      <c r="T66" s="67">
        <f t="shared" si="8"/>
        <v>0</v>
      </c>
      <c r="U66" s="67">
        <f t="shared" si="9"/>
        <v>0</v>
      </c>
      <c r="V66" s="67">
        <f t="shared" si="10"/>
        <v>0</v>
      </c>
      <c r="W66" s="100">
        <f t="shared" si="11"/>
        <v>0</v>
      </c>
    </row>
    <row r="67" spans="2:23">
      <c r="B67" s="96">
        <f>Amnt_Deposited!B62</f>
        <v>2048</v>
      </c>
      <c r="C67" s="99">
        <f>Amnt_Deposited!F62</f>
        <v>0</v>
      </c>
      <c r="D67" s="417">
        <f>Dry_Matter_Content!F54</f>
        <v>0.56999999999999995</v>
      </c>
      <c r="E67" s="283">
        <f>MCF!R66</f>
        <v>1</v>
      </c>
      <c r="F67" s="67">
        <f t="shared" si="12"/>
        <v>0</v>
      </c>
      <c r="G67" s="67">
        <f t="shared" si="1"/>
        <v>0</v>
      </c>
      <c r="H67" s="67">
        <f t="shared" si="2"/>
        <v>0</v>
      </c>
      <c r="I67" s="67">
        <f t="shared" si="3"/>
        <v>0</v>
      </c>
      <c r="J67" s="67">
        <f t="shared" si="4"/>
        <v>0</v>
      </c>
      <c r="K67" s="100">
        <f t="shared" si="6"/>
        <v>0</v>
      </c>
      <c r="O67" s="96">
        <f>Amnt_Deposited!B62</f>
        <v>2048</v>
      </c>
      <c r="P67" s="99">
        <f>Amnt_Deposited!F62</f>
        <v>0</v>
      </c>
      <c r="Q67" s="283">
        <f>MCF!R66</f>
        <v>1</v>
      </c>
      <c r="R67" s="67">
        <f t="shared" si="13"/>
        <v>0</v>
      </c>
      <c r="S67" s="67">
        <f t="shared" si="7"/>
        <v>0</v>
      </c>
      <c r="T67" s="67">
        <f t="shared" si="8"/>
        <v>0</v>
      </c>
      <c r="U67" s="67">
        <f t="shared" si="9"/>
        <v>0</v>
      </c>
      <c r="V67" s="67">
        <f t="shared" si="10"/>
        <v>0</v>
      </c>
      <c r="W67" s="100">
        <f t="shared" si="11"/>
        <v>0</v>
      </c>
    </row>
    <row r="68" spans="2:23">
      <c r="B68" s="96">
        <f>Amnt_Deposited!B63</f>
        <v>2049</v>
      </c>
      <c r="C68" s="99">
        <f>Amnt_Deposited!F63</f>
        <v>0</v>
      </c>
      <c r="D68" s="417">
        <f>Dry_Matter_Content!F55</f>
        <v>0.56999999999999995</v>
      </c>
      <c r="E68" s="283">
        <f>MCF!R67</f>
        <v>1</v>
      </c>
      <c r="F68" s="67">
        <f t="shared" si="12"/>
        <v>0</v>
      </c>
      <c r="G68" s="67">
        <f t="shared" si="1"/>
        <v>0</v>
      </c>
      <c r="H68" s="67">
        <f t="shared" si="2"/>
        <v>0</v>
      </c>
      <c r="I68" s="67">
        <f t="shared" si="3"/>
        <v>0</v>
      </c>
      <c r="J68" s="67">
        <f t="shared" si="4"/>
        <v>0</v>
      </c>
      <c r="K68" s="100">
        <f t="shared" si="6"/>
        <v>0</v>
      </c>
      <c r="O68" s="96">
        <f>Amnt_Deposited!B63</f>
        <v>2049</v>
      </c>
      <c r="P68" s="99">
        <f>Amnt_Deposited!F63</f>
        <v>0</v>
      </c>
      <c r="Q68" s="283">
        <f>MCF!R67</f>
        <v>1</v>
      </c>
      <c r="R68" s="67">
        <f t="shared" si="13"/>
        <v>0</v>
      </c>
      <c r="S68" s="67">
        <f t="shared" si="7"/>
        <v>0</v>
      </c>
      <c r="T68" s="67">
        <f t="shared" si="8"/>
        <v>0</v>
      </c>
      <c r="U68" s="67">
        <f t="shared" si="9"/>
        <v>0</v>
      </c>
      <c r="V68" s="67">
        <f t="shared" si="10"/>
        <v>0</v>
      </c>
      <c r="W68" s="100">
        <f t="shared" si="11"/>
        <v>0</v>
      </c>
    </row>
    <row r="69" spans="2:23">
      <c r="B69" s="96">
        <f>Amnt_Deposited!B64</f>
        <v>2050</v>
      </c>
      <c r="C69" s="99">
        <f>Amnt_Deposited!F64</f>
        <v>0</v>
      </c>
      <c r="D69" s="417">
        <f>Dry_Matter_Content!F56</f>
        <v>0.56999999999999995</v>
      </c>
      <c r="E69" s="283">
        <f>MCF!R68</f>
        <v>1</v>
      </c>
      <c r="F69" s="67">
        <f t="shared" si="12"/>
        <v>0</v>
      </c>
      <c r="G69" s="67">
        <f t="shared" si="1"/>
        <v>0</v>
      </c>
      <c r="H69" s="67">
        <f t="shared" si="2"/>
        <v>0</v>
      </c>
      <c r="I69" s="67">
        <f t="shared" si="3"/>
        <v>0</v>
      </c>
      <c r="J69" s="67">
        <f t="shared" si="4"/>
        <v>0</v>
      </c>
      <c r="K69" s="100">
        <f t="shared" si="6"/>
        <v>0</v>
      </c>
      <c r="O69" s="96">
        <f>Amnt_Deposited!B64</f>
        <v>2050</v>
      </c>
      <c r="P69" s="99">
        <f>Amnt_Deposited!F64</f>
        <v>0</v>
      </c>
      <c r="Q69" s="283">
        <f>MCF!R68</f>
        <v>1</v>
      </c>
      <c r="R69" s="67">
        <f t="shared" si="13"/>
        <v>0</v>
      </c>
      <c r="S69" s="67">
        <f t="shared" si="7"/>
        <v>0</v>
      </c>
      <c r="T69" s="67">
        <f t="shared" si="8"/>
        <v>0</v>
      </c>
      <c r="U69" s="67">
        <f t="shared" si="9"/>
        <v>0</v>
      </c>
      <c r="V69" s="67">
        <f t="shared" si="10"/>
        <v>0</v>
      </c>
      <c r="W69" s="100">
        <f t="shared" si="11"/>
        <v>0</v>
      </c>
    </row>
    <row r="70" spans="2:23">
      <c r="B70" s="96">
        <f>Amnt_Deposited!B65</f>
        <v>2051</v>
      </c>
      <c r="C70" s="99">
        <f>Amnt_Deposited!F65</f>
        <v>0</v>
      </c>
      <c r="D70" s="417">
        <f>Dry_Matter_Content!F57</f>
        <v>0.56999999999999995</v>
      </c>
      <c r="E70" s="283">
        <f>MCF!R69</f>
        <v>1</v>
      </c>
      <c r="F70" s="67">
        <f t="shared" si="12"/>
        <v>0</v>
      </c>
      <c r="G70" s="67">
        <f t="shared" si="1"/>
        <v>0</v>
      </c>
      <c r="H70" s="67">
        <f t="shared" si="2"/>
        <v>0</v>
      </c>
      <c r="I70" s="67">
        <f t="shared" si="3"/>
        <v>0</v>
      </c>
      <c r="J70" s="67">
        <f t="shared" si="4"/>
        <v>0</v>
      </c>
      <c r="K70" s="100">
        <f t="shared" si="6"/>
        <v>0</v>
      </c>
      <c r="O70" s="96">
        <f>Amnt_Deposited!B65</f>
        <v>2051</v>
      </c>
      <c r="P70" s="99">
        <f>Amnt_Deposited!F65</f>
        <v>0</v>
      </c>
      <c r="Q70" s="283">
        <f>MCF!R69</f>
        <v>1</v>
      </c>
      <c r="R70" s="67">
        <f t="shared" si="13"/>
        <v>0</v>
      </c>
      <c r="S70" s="67">
        <f t="shared" si="7"/>
        <v>0</v>
      </c>
      <c r="T70" s="67">
        <f t="shared" si="8"/>
        <v>0</v>
      </c>
      <c r="U70" s="67">
        <f t="shared" si="9"/>
        <v>0</v>
      </c>
      <c r="V70" s="67">
        <f t="shared" si="10"/>
        <v>0</v>
      </c>
      <c r="W70" s="100">
        <f t="shared" si="11"/>
        <v>0</v>
      </c>
    </row>
    <row r="71" spans="2:23">
      <c r="B71" s="96">
        <f>Amnt_Deposited!B66</f>
        <v>2052</v>
      </c>
      <c r="C71" s="99">
        <f>Amnt_Deposited!F66</f>
        <v>0</v>
      </c>
      <c r="D71" s="417">
        <f>Dry_Matter_Content!F58</f>
        <v>0.56999999999999995</v>
      </c>
      <c r="E71" s="283">
        <f>MCF!R70</f>
        <v>1</v>
      </c>
      <c r="F71" s="67">
        <f t="shared" si="12"/>
        <v>0</v>
      </c>
      <c r="G71" s="67">
        <f t="shared" si="1"/>
        <v>0</v>
      </c>
      <c r="H71" s="67">
        <f t="shared" si="2"/>
        <v>0</v>
      </c>
      <c r="I71" s="67">
        <f t="shared" si="3"/>
        <v>0</v>
      </c>
      <c r="J71" s="67">
        <f t="shared" si="4"/>
        <v>0</v>
      </c>
      <c r="K71" s="100">
        <f t="shared" si="6"/>
        <v>0</v>
      </c>
      <c r="O71" s="96">
        <f>Amnt_Deposited!B66</f>
        <v>2052</v>
      </c>
      <c r="P71" s="99">
        <f>Amnt_Deposited!F66</f>
        <v>0</v>
      </c>
      <c r="Q71" s="283">
        <f>MCF!R70</f>
        <v>1</v>
      </c>
      <c r="R71" s="67">
        <f t="shared" si="13"/>
        <v>0</v>
      </c>
      <c r="S71" s="67">
        <f t="shared" si="7"/>
        <v>0</v>
      </c>
      <c r="T71" s="67">
        <f t="shared" si="8"/>
        <v>0</v>
      </c>
      <c r="U71" s="67">
        <f t="shared" si="9"/>
        <v>0</v>
      </c>
      <c r="V71" s="67">
        <f t="shared" si="10"/>
        <v>0</v>
      </c>
      <c r="W71" s="100">
        <f t="shared" si="11"/>
        <v>0</v>
      </c>
    </row>
    <row r="72" spans="2:23">
      <c r="B72" s="96">
        <f>Amnt_Deposited!B67</f>
        <v>2053</v>
      </c>
      <c r="C72" s="99">
        <f>Amnt_Deposited!F67</f>
        <v>0</v>
      </c>
      <c r="D72" s="417">
        <f>Dry_Matter_Content!F59</f>
        <v>0.56999999999999995</v>
      </c>
      <c r="E72" s="283">
        <f>MCF!R71</f>
        <v>1</v>
      </c>
      <c r="F72" s="67">
        <f t="shared" si="12"/>
        <v>0</v>
      </c>
      <c r="G72" s="67">
        <f t="shared" si="1"/>
        <v>0</v>
      </c>
      <c r="H72" s="67">
        <f t="shared" si="2"/>
        <v>0</v>
      </c>
      <c r="I72" s="67">
        <f t="shared" si="3"/>
        <v>0</v>
      </c>
      <c r="J72" s="67">
        <f t="shared" si="4"/>
        <v>0</v>
      </c>
      <c r="K72" s="100">
        <f t="shared" si="6"/>
        <v>0</v>
      </c>
      <c r="O72" s="96">
        <f>Amnt_Deposited!B67</f>
        <v>2053</v>
      </c>
      <c r="P72" s="99">
        <f>Amnt_Deposited!F67</f>
        <v>0</v>
      </c>
      <c r="Q72" s="283">
        <f>MCF!R71</f>
        <v>1</v>
      </c>
      <c r="R72" s="67">
        <f t="shared" si="13"/>
        <v>0</v>
      </c>
      <c r="S72" s="67">
        <f t="shared" si="7"/>
        <v>0</v>
      </c>
      <c r="T72" s="67">
        <f t="shared" si="8"/>
        <v>0</v>
      </c>
      <c r="U72" s="67">
        <f t="shared" si="9"/>
        <v>0</v>
      </c>
      <c r="V72" s="67">
        <f t="shared" si="10"/>
        <v>0</v>
      </c>
      <c r="W72" s="100">
        <f t="shared" si="11"/>
        <v>0</v>
      </c>
    </row>
    <row r="73" spans="2:23">
      <c r="B73" s="96">
        <f>Amnt_Deposited!B68</f>
        <v>2054</v>
      </c>
      <c r="C73" s="99">
        <f>Amnt_Deposited!F68</f>
        <v>0</v>
      </c>
      <c r="D73" s="417">
        <f>Dry_Matter_Content!F60</f>
        <v>0.56999999999999995</v>
      </c>
      <c r="E73" s="283">
        <f>MCF!R72</f>
        <v>1</v>
      </c>
      <c r="F73" s="67">
        <f t="shared" si="12"/>
        <v>0</v>
      </c>
      <c r="G73" s="67">
        <f t="shared" si="1"/>
        <v>0</v>
      </c>
      <c r="H73" s="67">
        <f t="shared" si="2"/>
        <v>0</v>
      </c>
      <c r="I73" s="67">
        <f t="shared" si="3"/>
        <v>0</v>
      </c>
      <c r="J73" s="67">
        <f t="shared" si="4"/>
        <v>0</v>
      </c>
      <c r="K73" s="100">
        <f t="shared" si="6"/>
        <v>0</v>
      </c>
      <c r="O73" s="96">
        <f>Amnt_Deposited!B68</f>
        <v>2054</v>
      </c>
      <c r="P73" s="99">
        <f>Amnt_Deposited!F68</f>
        <v>0</v>
      </c>
      <c r="Q73" s="283">
        <f>MCF!R72</f>
        <v>1</v>
      </c>
      <c r="R73" s="67">
        <f t="shared" si="13"/>
        <v>0</v>
      </c>
      <c r="S73" s="67">
        <f t="shared" si="7"/>
        <v>0</v>
      </c>
      <c r="T73" s="67">
        <f t="shared" si="8"/>
        <v>0</v>
      </c>
      <c r="U73" s="67">
        <f t="shared" si="9"/>
        <v>0</v>
      </c>
      <c r="V73" s="67">
        <f t="shared" si="10"/>
        <v>0</v>
      </c>
      <c r="W73" s="100">
        <f t="shared" si="11"/>
        <v>0</v>
      </c>
    </row>
    <row r="74" spans="2:23">
      <c r="B74" s="96">
        <f>Amnt_Deposited!B69</f>
        <v>2055</v>
      </c>
      <c r="C74" s="99">
        <f>Amnt_Deposited!F69</f>
        <v>0</v>
      </c>
      <c r="D74" s="417">
        <f>Dry_Matter_Content!F61</f>
        <v>0.56999999999999995</v>
      </c>
      <c r="E74" s="283">
        <f>MCF!R73</f>
        <v>1</v>
      </c>
      <c r="F74" s="67">
        <f t="shared" si="12"/>
        <v>0</v>
      </c>
      <c r="G74" s="67">
        <f t="shared" si="1"/>
        <v>0</v>
      </c>
      <c r="H74" s="67">
        <f t="shared" si="2"/>
        <v>0</v>
      </c>
      <c r="I74" s="67">
        <f t="shared" si="3"/>
        <v>0</v>
      </c>
      <c r="J74" s="67">
        <f t="shared" si="4"/>
        <v>0</v>
      </c>
      <c r="K74" s="100">
        <f t="shared" si="6"/>
        <v>0</v>
      </c>
      <c r="O74" s="96">
        <f>Amnt_Deposited!B69</f>
        <v>2055</v>
      </c>
      <c r="P74" s="99">
        <f>Amnt_Deposited!F69</f>
        <v>0</v>
      </c>
      <c r="Q74" s="283">
        <f>MCF!R73</f>
        <v>1</v>
      </c>
      <c r="R74" s="67">
        <f t="shared" si="13"/>
        <v>0</v>
      </c>
      <c r="S74" s="67">
        <f t="shared" si="7"/>
        <v>0</v>
      </c>
      <c r="T74" s="67">
        <f t="shared" si="8"/>
        <v>0</v>
      </c>
      <c r="U74" s="67">
        <f t="shared" si="9"/>
        <v>0</v>
      </c>
      <c r="V74" s="67">
        <f t="shared" si="10"/>
        <v>0</v>
      </c>
      <c r="W74" s="100">
        <f t="shared" si="11"/>
        <v>0</v>
      </c>
    </row>
    <row r="75" spans="2:23">
      <c r="B75" s="96">
        <f>Amnt_Deposited!B70</f>
        <v>2056</v>
      </c>
      <c r="C75" s="99">
        <f>Amnt_Deposited!F70</f>
        <v>0</v>
      </c>
      <c r="D75" s="417">
        <f>Dry_Matter_Content!F62</f>
        <v>0.56999999999999995</v>
      </c>
      <c r="E75" s="283">
        <f>MCF!R74</f>
        <v>1</v>
      </c>
      <c r="F75" s="67">
        <f t="shared" si="12"/>
        <v>0</v>
      </c>
      <c r="G75" s="67">
        <f t="shared" si="1"/>
        <v>0</v>
      </c>
      <c r="H75" s="67">
        <f t="shared" si="2"/>
        <v>0</v>
      </c>
      <c r="I75" s="67">
        <f t="shared" si="3"/>
        <v>0</v>
      </c>
      <c r="J75" s="67">
        <f t="shared" si="4"/>
        <v>0</v>
      </c>
      <c r="K75" s="100">
        <f t="shared" si="6"/>
        <v>0</v>
      </c>
      <c r="O75" s="96">
        <f>Amnt_Deposited!B70</f>
        <v>2056</v>
      </c>
      <c r="P75" s="99">
        <f>Amnt_Deposited!F70</f>
        <v>0</v>
      </c>
      <c r="Q75" s="283">
        <f>MCF!R74</f>
        <v>1</v>
      </c>
      <c r="R75" s="67">
        <f t="shared" si="13"/>
        <v>0</v>
      </c>
      <c r="S75" s="67">
        <f t="shared" si="7"/>
        <v>0</v>
      </c>
      <c r="T75" s="67">
        <f t="shared" si="8"/>
        <v>0</v>
      </c>
      <c r="U75" s="67">
        <f t="shared" si="9"/>
        <v>0</v>
      </c>
      <c r="V75" s="67">
        <f t="shared" si="10"/>
        <v>0</v>
      </c>
      <c r="W75" s="100">
        <f t="shared" si="11"/>
        <v>0</v>
      </c>
    </row>
    <row r="76" spans="2:23">
      <c r="B76" s="96">
        <f>Amnt_Deposited!B71</f>
        <v>2057</v>
      </c>
      <c r="C76" s="99">
        <f>Amnt_Deposited!F71</f>
        <v>0</v>
      </c>
      <c r="D76" s="417">
        <f>Dry_Matter_Content!F63</f>
        <v>0.56999999999999995</v>
      </c>
      <c r="E76" s="283">
        <f>MCF!R75</f>
        <v>1</v>
      </c>
      <c r="F76" s="67">
        <f t="shared" si="12"/>
        <v>0</v>
      </c>
      <c r="G76" s="67">
        <f t="shared" si="1"/>
        <v>0</v>
      </c>
      <c r="H76" s="67">
        <f t="shared" si="2"/>
        <v>0</v>
      </c>
      <c r="I76" s="67">
        <f t="shared" si="3"/>
        <v>0</v>
      </c>
      <c r="J76" s="67">
        <f t="shared" si="4"/>
        <v>0</v>
      </c>
      <c r="K76" s="100">
        <f t="shared" si="6"/>
        <v>0</v>
      </c>
      <c r="O76" s="96">
        <f>Amnt_Deposited!B71</f>
        <v>2057</v>
      </c>
      <c r="P76" s="99">
        <f>Amnt_Deposited!F71</f>
        <v>0</v>
      </c>
      <c r="Q76" s="283">
        <f>MCF!R75</f>
        <v>1</v>
      </c>
      <c r="R76" s="67">
        <f t="shared" si="13"/>
        <v>0</v>
      </c>
      <c r="S76" s="67">
        <f t="shared" si="7"/>
        <v>0</v>
      </c>
      <c r="T76" s="67">
        <f t="shared" si="8"/>
        <v>0</v>
      </c>
      <c r="U76" s="67">
        <f t="shared" si="9"/>
        <v>0</v>
      </c>
      <c r="V76" s="67">
        <f t="shared" si="10"/>
        <v>0</v>
      </c>
      <c r="W76" s="100">
        <f t="shared" si="11"/>
        <v>0</v>
      </c>
    </row>
    <row r="77" spans="2:23">
      <c r="B77" s="96">
        <f>Amnt_Deposited!B72</f>
        <v>2058</v>
      </c>
      <c r="C77" s="99">
        <f>Amnt_Deposited!F72</f>
        <v>0</v>
      </c>
      <c r="D77" s="417">
        <f>Dry_Matter_Content!F64</f>
        <v>0.56999999999999995</v>
      </c>
      <c r="E77" s="283">
        <f>MCF!R76</f>
        <v>1</v>
      </c>
      <c r="F77" s="67">
        <f t="shared" si="12"/>
        <v>0</v>
      </c>
      <c r="G77" s="67">
        <f t="shared" si="1"/>
        <v>0</v>
      </c>
      <c r="H77" s="67">
        <f t="shared" si="2"/>
        <v>0</v>
      </c>
      <c r="I77" s="67">
        <f t="shared" si="3"/>
        <v>0</v>
      </c>
      <c r="J77" s="67">
        <f t="shared" si="4"/>
        <v>0</v>
      </c>
      <c r="K77" s="100">
        <f t="shared" si="6"/>
        <v>0</v>
      </c>
      <c r="O77" s="96">
        <f>Amnt_Deposited!B72</f>
        <v>2058</v>
      </c>
      <c r="P77" s="99">
        <f>Amnt_Deposited!F72</f>
        <v>0</v>
      </c>
      <c r="Q77" s="283">
        <f>MCF!R76</f>
        <v>1</v>
      </c>
      <c r="R77" s="67">
        <f t="shared" si="13"/>
        <v>0</v>
      </c>
      <c r="S77" s="67">
        <f t="shared" si="7"/>
        <v>0</v>
      </c>
      <c r="T77" s="67">
        <f t="shared" si="8"/>
        <v>0</v>
      </c>
      <c r="U77" s="67">
        <f t="shared" si="9"/>
        <v>0</v>
      </c>
      <c r="V77" s="67">
        <f t="shared" si="10"/>
        <v>0</v>
      </c>
      <c r="W77" s="100">
        <f t="shared" si="11"/>
        <v>0</v>
      </c>
    </row>
    <row r="78" spans="2:23">
      <c r="B78" s="96">
        <f>Amnt_Deposited!B73</f>
        <v>2059</v>
      </c>
      <c r="C78" s="99">
        <f>Amnt_Deposited!F73</f>
        <v>0</v>
      </c>
      <c r="D78" s="417">
        <f>Dry_Matter_Content!F65</f>
        <v>0.56999999999999995</v>
      </c>
      <c r="E78" s="283">
        <f>MCF!R77</f>
        <v>1</v>
      </c>
      <c r="F78" s="67">
        <f t="shared" si="12"/>
        <v>0</v>
      </c>
      <c r="G78" s="67">
        <f t="shared" si="1"/>
        <v>0</v>
      </c>
      <c r="H78" s="67">
        <f t="shared" si="2"/>
        <v>0</v>
      </c>
      <c r="I78" s="67">
        <f t="shared" si="3"/>
        <v>0</v>
      </c>
      <c r="J78" s="67">
        <f t="shared" si="4"/>
        <v>0</v>
      </c>
      <c r="K78" s="100">
        <f t="shared" si="6"/>
        <v>0</v>
      </c>
      <c r="O78" s="96">
        <f>Amnt_Deposited!B73</f>
        <v>2059</v>
      </c>
      <c r="P78" s="99">
        <f>Amnt_Deposited!F73</f>
        <v>0</v>
      </c>
      <c r="Q78" s="283">
        <f>MCF!R77</f>
        <v>1</v>
      </c>
      <c r="R78" s="67">
        <f t="shared" si="13"/>
        <v>0</v>
      </c>
      <c r="S78" s="67">
        <f t="shared" si="7"/>
        <v>0</v>
      </c>
      <c r="T78" s="67">
        <f t="shared" si="8"/>
        <v>0</v>
      </c>
      <c r="U78" s="67">
        <f t="shared" si="9"/>
        <v>0</v>
      </c>
      <c r="V78" s="67">
        <f t="shared" si="10"/>
        <v>0</v>
      </c>
      <c r="W78" s="100">
        <f t="shared" si="11"/>
        <v>0</v>
      </c>
    </row>
    <row r="79" spans="2:23">
      <c r="B79" s="96">
        <f>Amnt_Deposited!B74</f>
        <v>2060</v>
      </c>
      <c r="C79" s="99">
        <f>Amnt_Deposited!F74</f>
        <v>0</v>
      </c>
      <c r="D79" s="417">
        <f>Dry_Matter_Content!F66</f>
        <v>0.56999999999999995</v>
      </c>
      <c r="E79" s="283">
        <f>MCF!R78</f>
        <v>1</v>
      </c>
      <c r="F79" s="67">
        <f t="shared" si="12"/>
        <v>0</v>
      </c>
      <c r="G79" s="67">
        <f t="shared" si="1"/>
        <v>0</v>
      </c>
      <c r="H79" s="67">
        <f t="shared" si="2"/>
        <v>0</v>
      </c>
      <c r="I79" s="67">
        <f t="shared" si="3"/>
        <v>0</v>
      </c>
      <c r="J79" s="67">
        <f t="shared" si="4"/>
        <v>0</v>
      </c>
      <c r="K79" s="100">
        <f t="shared" si="6"/>
        <v>0</v>
      </c>
      <c r="O79" s="96">
        <f>Amnt_Deposited!B74</f>
        <v>2060</v>
      </c>
      <c r="P79" s="99">
        <f>Amnt_Deposited!F74</f>
        <v>0</v>
      </c>
      <c r="Q79" s="283">
        <f>MCF!R78</f>
        <v>1</v>
      </c>
      <c r="R79" s="67">
        <f t="shared" si="13"/>
        <v>0</v>
      </c>
      <c r="S79" s="67">
        <f t="shared" si="7"/>
        <v>0</v>
      </c>
      <c r="T79" s="67">
        <f t="shared" si="8"/>
        <v>0</v>
      </c>
      <c r="U79" s="67">
        <f t="shared" si="9"/>
        <v>0</v>
      </c>
      <c r="V79" s="67">
        <f t="shared" si="10"/>
        <v>0</v>
      </c>
      <c r="W79" s="100">
        <f t="shared" si="11"/>
        <v>0</v>
      </c>
    </row>
    <row r="80" spans="2:23">
      <c r="B80" s="96">
        <f>Amnt_Deposited!B75</f>
        <v>2061</v>
      </c>
      <c r="C80" s="99">
        <f>Amnt_Deposited!F75</f>
        <v>0</v>
      </c>
      <c r="D80" s="417">
        <f>Dry_Matter_Content!F67</f>
        <v>0.56999999999999995</v>
      </c>
      <c r="E80" s="283">
        <f>MCF!R79</f>
        <v>1</v>
      </c>
      <c r="F80" s="67">
        <f t="shared" si="12"/>
        <v>0</v>
      </c>
      <c r="G80" s="67">
        <f t="shared" si="1"/>
        <v>0</v>
      </c>
      <c r="H80" s="67">
        <f t="shared" si="2"/>
        <v>0</v>
      </c>
      <c r="I80" s="67">
        <f t="shared" si="3"/>
        <v>0</v>
      </c>
      <c r="J80" s="67">
        <f t="shared" si="4"/>
        <v>0</v>
      </c>
      <c r="K80" s="100">
        <f t="shared" si="6"/>
        <v>0</v>
      </c>
      <c r="O80" s="96">
        <f>Amnt_Deposited!B75</f>
        <v>2061</v>
      </c>
      <c r="P80" s="99">
        <f>Amnt_Deposited!F75</f>
        <v>0</v>
      </c>
      <c r="Q80" s="283">
        <f>MCF!R79</f>
        <v>1</v>
      </c>
      <c r="R80" s="67">
        <f t="shared" si="13"/>
        <v>0</v>
      </c>
      <c r="S80" s="67">
        <f t="shared" si="7"/>
        <v>0</v>
      </c>
      <c r="T80" s="67">
        <f t="shared" si="8"/>
        <v>0</v>
      </c>
      <c r="U80" s="67">
        <f t="shared" si="9"/>
        <v>0</v>
      </c>
      <c r="V80" s="67">
        <f t="shared" si="10"/>
        <v>0</v>
      </c>
      <c r="W80" s="100">
        <f t="shared" si="11"/>
        <v>0</v>
      </c>
    </row>
    <row r="81" spans="2:23">
      <c r="B81" s="96">
        <f>Amnt_Deposited!B76</f>
        <v>2062</v>
      </c>
      <c r="C81" s="99">
        <f>Amnt_Deposited!F76</f>
        <v>0</v>
      </c>
      <c r="D81" s="417">
        <f>Dry_Matter_Content!F68</f>
        <v>0.56999999999999995</v>
      </c>
      <c r="E81" s="283">
        <f>MCF!R80</f>
        <v>1</v>
      </c>
      <c r="F81" s="67">
        <f t="shared" si="12"/>
        <v>0</v>
      </c>
      <c r="G81" s="67">
        <f t="shared" si="1"/>
        <v>0</v>
      </c>
      <c r="H81" s="67">
        <f t="shared" si="2"/>
        <v>0</v>
      </c>
      <c r="I81" s="67">
        <f t="shared" si="3"/>
        <v>0</v>
      </c>
      <c r="J81" s="67">
        <f t="shared" si="4"/>
        <v>0</v>
      </c>
      <c r="K81" s="100">
        <f t="shared" si="6"/>
        <v>0</v>
      </c>
      <c r="O81" s="96">
        <f>Amnt_Deposited!B76</f>
        <v>2062</v>
      </c>
      <c r="P81" s="99">
        <f>Amnt_Deposited!F76</f>
        <v>0</v>
      </c>
      <c r="Q81" s="283">
        <f>MCF!R80</f>
        <v>1</v>
      </c>
      <c r="R81" s="67">
        <f t="shared" si="13"/>
        <v>0</v>
      </c>
      <c r="S81" s="67">
        <f t="shared" si="7"/>
        <v>0</v>
      </c>
      <c r="T81" s="67">
        <f t="shared" si="8"/>
        <v>0</v>
      </c>
      <c r="U81" s="67">
        <f t="shared" si="9"/>
        <v>0</v>
      </c>
      <c r="V81" s="67">
        <f t="shared" si="10"/>
        <v>0</v>
      </c>
      <c r="W81" s="100">
        <f t="shared" si="11"/>
        <v>0</v>
      </c>
    </row>
    <row r="82" spans="2:23">
      <c r="B82" s="96">
        <f>Amnt_Deposited!B77</f>
        <v>2063</v>
      </c>
      <c r="C82" s="99">
        <f>Amnt_Deposited!F77</f>
        <v>0</v>
      </c>
      <c r="D82" s="417">
        <f>Dry_Matter_Content!F69</f>
        <v>0.56999999999999995</v>
      </c>
      <c r="E82" s="283">
        <f>MCF!R81</f>
        <v>1</v>
      </c>
      <c r="F82" s="67">
        <f t="shared" si="12"/>
        <v>0</v>
      </c>
      <c r="G82" s="67">
        <f t="shared" si="1"/>
        <v>0</v>
      </c>
      <c r="H82" s="67">
        <f t="shared" si="2"/>
        <v>0</v>
      </c>
      <c r="I82" s="67">
        <f t="shared" si="3"/>
        <v>0</v>
      </c>
      <c r="J82" s="67">
        <f t="shared" si="4"/>
        <v>0</v>
      </c>
      <c r="K82" s="100">
        <f t="shared" si="6"/>
        <v>0</v>
      </c>
      <c r="O82" s="96">
        <f>Amnt_Deposited!B77</f>
        <v>2063</v>
      </c>
      <c r="P82" s="99">
        <f>Amnt_Deposited!F77</f>
        <v>0</v>
      </c>
      <c r="Q82" s="283">
        <f>MCF!R81</f>
        <v>1</v>
      </c>
      <c r="R82" s="67">
        <f t="shared" si="13"/>
        <v>0</v>
      </c>
      <c r="S82" s="67">
        <f t="shared" si="7"/>
        <v>0</v>
      </c>
      <c r="T82" s="67">
        <f t="shared" si="8"/>
        <v>0</v>
      </c>
      <c r="U82" s="67">
        <f t="shared" si="9"/>
        <v>0</v>
      </c>
      <c r="V82" s="67">
        <f t="shared" si="10"/>
        <v>0</v>
      </c>
      <c r="W82" s="100">
        <f t="shared" si="11"/>
        <v>0</v>
      </c>
    </row>
    <row r="83" spans="2:23">
      <c r="B83" s="96">
        <f>Amnt_Deposited!B78</f>
        <v>2064</v>
      </c>
      <c r="C83" s="99">
        <f>Amnt_Deposited!F78</f>
        <v>0</v>
      </c>
      <c r="D83" s="417">
        <f>Dry_Matter_Content!F70</f>
        <v>0.56999999999999995</v>
      </c>
      <c r="E83" s="283">
        <f>MCF!R82</f>
        <v>1</v>
      </c>
      <c r="F83" s="67">
        <f t="shared" ref="F83:F99" si="14">C83*D83*$K$6*DOCF*E83</f>
        <v>0</v>
      </c>
      <c r="G83" s="67">
        <f t="shared" ref="G83:G99" si="15">F83*$K$12</f>
        <v>0</v>
      </c>
      <c r="H83" s="67">
        <f t="shared" ref="H83:H99" si="16">F83*(1-$K$12)</f>
        <v>0</v>
      </c>
      <c r="I83" s="67">
        <f t="shared" ref="I83:I99" si="17">G83+I82*$K$10</f>
        <v>0</v>
      </c>
      <c r="J83" s="67">
        <f t="shared" ref="J83:J99" si="18">I82*(1-$K$10)+H83</f>
        <v>0</v>
      </c>
      <c r="K83" s="100">
        <f t="shared" si="6"/>
        <v>0</v>
      </c>
      <c r="O83" s="96">
        <f>Amnt_Deposited!B78</f>
        <v>2064</v>
      </c>
      <c r="P83" s="99">
        <f>Amnt_Deposited!F78</f>
        <v>0</v>
      </c>
      <c r="Q83" s="283">
        <f>MCF!R82</f>
        <v>1</v>
      </c>
      <c r="R83" s="67">
        <f t="shared" ref="R83:R99" si="19">P83*$W$6*DOCF*Q83</f>
        <v>0</v>
      </c>
      <c r="S83" s="67">
        <f t="shared" si="7"/>
        <v>0</v>
      </c>
      <c r="T83" s="67">
        <f t="shared" si="8"/>
        <v>0</v>
      </c>
      <c r="U83" s="67">
        <f t="shared" si="9"/>
        <v>0</v>
      </c>
      <c r="V83" s="67">
        <f t="shared" si="10"/>
        <v>0</v>
      </c>
      <c r="W83" s="100">
        <f t="shared" si="11"/>
        <v>0</v>
      </c>
    </row>
    <row r="84" spans="2:23">
      <c r="B84" s="96">
        <f>Amnt_Deposited!B79</f>
        <v>2065</v>
      </c>
      <c r="C84" s="99">
        <f>Amnt_Deposited!F79</f>
        <v>0</v>
      </c>
      <c r="D84" s="417">
        <f>Dry_Matter_Content!F71</f>
        <v>0.56999999999999995</v>
      </c>
      <c r="E84" s="283">
        <f>MCF!R83</f>
        <v>1</v>
      </c>
      <c r="F84" s="67">
        <f t="shared" si="14"/>
        <v>0</v>
      </c>
      <c r="G84" s="67">
        <f t="shared" si="15"/>
        <v>0</v>
      </c>
      <c r="H84" s="67">
        <f t="shared" si="16"/>
        <v>0</v>
      </c>
      <c r="I84" s="67">
        <f t="shared" si="17"/>
        <v>0</v>
      </c>
      <c r="J84" s="67">
        <f t="shared" si="18"/>
        <v>0</v>
      </c>
      <c r="K84" s="100">
        <f t="shared" si="6"/>
        <v>0</v>
      </c>
      <c r="O84" s="96">
        <f>Amnt_Deposited!B79</f>
        <v>2065</v>
      </c>
      <c r="P84" s="99">
        <f>Amnt_Deposited!F79</f>
        <v>0</v>
      </c>
      <c r="Q84" s="283">
        <f>MCF!R83</f>
        <v>1</v>
      </c>
      <c r="R84" s="67">
        <f t="shared" si="19"/>
        <v>0</v>
      </c>
      <c r="S84" s="67">
        <f t="shared" si="7"/>
        <v>0</v>
      </c>
      <c r="T84" s="67">
        <f t="shared" si="8"/>
        <v>0</v>
      </c>
      <c r="U84" s="67">
        <f t="shared" si="9"/>
        <v>0</v>
      </c>
      <c r="V84" s="67">
        <f t="shared" si="10"/>
        <v>0</v>
      </c>
      <c r="W84" s="100">
        <f t="shared" si="11"/>
        <v>0</v>
      </c>
    </row>
    <row r="85" spans="2:23">
      <c r="B85" s="96">
        <f>Amnt_Deposited!B80</f>
        <v>2066</v>
      </c>
      <c r="C85" s="99">
        <f>Amnt_Deposited!F80</f>
        <v>0</v>
      </c>
      <c r="D85" s="417">
        <f>Dry_Matter_Content!F72</f>
        <v>0.56999999999999995</v>
      </c>
      <c r="E85" s="283">
        <f>MCF!R84</f>
        <v>1</v>
      </c>
      <c r="F85" s="67">
        <f t="shared" si="14"/>
        <v>0</v>
      </c>
      <c r="G85" s="67">
        <f t="shared" si="15"/>
        <v>0</v>
      </c>
      <c r="H85" s="67">
        <f t="shared" si="16"/>
        <v>0</v>
      </c>
      <c r="I85" s="67">
        <f t="shared" si="17"/>
        <v>0</v>
      </c>
      <c r="J85" s="67">
        <f t="shared" si="18"/>
        <v>0</v>
      </c>
      <c r="K85" s="100">
        <f t="shared" ref="K85:K99" si="20">J85*CH4_fraction*conv</f>
        <v>0</v>
      </c>
      <c r="O85" s="96">
        <f>Amnt_Deposited!B80</f>
        <v>2066</v>
      </c>
      <c r="P85" s="99">
        <f>Amnt_Deposited!F80</f>
        <v>0</v>
      </c>
      <c r="Q85" s="283">
        <f>MCF!R84</f>
        <v>1</v>
      </c>
      <c r="R85" s="67">
        <f t="shared" si="19"/>
        <v>0</v>
      </c>
      <c r="S85" s="67">
        <f t="shared" ref="S85:S98" si="21">R85*$W$12</f>
        <v>0</v>
      </c>
      <c r="T85" s="67">
        <f t="shared" ref="T85:T98" si="22">R85*(1-$W$12)</f>
        <v>0</v>
      </c>
      <c r="U85" s="67">
        <f t="shared" ref="U85:U98" si="23">S85+U84*$W$10</f>
        <v>0</v>
      </c>
      <c r="V85" s="67">
        <f t="shared" ref="V85:V98" si="24">U84*(1-$W$10)+T85</f>
        <v>0</v>
      </c>
      <c r="W85" s="100">
        <f t="shared" ref="W85:W99" si="25">V85*CH4_fraction*conv</f>
        <v>0</v>
      </c>
    </row>
    <row r="86" spans="2:23">
      <c r="B86" s="96">
        <f>Amnt_Deposited!B81</f>
        <v>2067</v>
      </c>
      <c r="C86" s="99">
        <f>Amnt_Deposited!F81</f>
        <v>0</v>
      </c>
      <c r="D86" s="417">
        <f>Dry_Matter_Content!F73</f>
        <v>0.56999999999999995</v>
      </c>
      <c r="E86" s="283">
        <f>MCF!R85</f>
        <v>1</v>
      </c>
      <c r="F86" s="67">
        <f t="shared" si="14"/>
        <v>0</v>
      </c>
      <c r="G86" s="67">
        <f t="shared" si="15"/>
        <v>0</v>
      </c>
      <c r="H86" s="67">
        <f t="shared" si="16"/>
        <v>0</v>
      </c>
      <c r="I86" s="67">
        <f t="shared" si="17"/>
        <v>0</v>
      </c>
      <c r="J86" s="67">
        <f t="shared" si="18"/>
        <v>0</v>
      </c>
      <c r="K86" s="100">
        <f t="shared" si="20"/>
        <v>0</v>
      </c>
      <c r="O86" s="96">
        <f>Amnt_Deposited!B81</f>
        <v>2067</v>
      </c>
      <c r="P86" s="99">
        <f>Amnt_Deposited!F81</f>
        <v>0</v>
      </c>
      <c r="Q86" s="283">
        <f>MCF!R85</f>
        <v>1</v>
      </c>
      <c r="R86" s="67">
        <f t="shared" si="19"/>
        <v>0</v>
      </c>
      <c r="S86" s="67">
        <f t="shared" si="21"/>
        <v>0</v>
      </c>
      <c r="T86" s="67">
        <f t="shared" si="22"/>
        <v>0</v>
      </c>
      <c r="U86" s="67">
        <f t="shared" si="23"/>
        <v>0</v>
      </c>
      <c r="V86" s="67">
        <f t="shared" si="24"/>
        <v>0</v>
      </c>
      <c r="W86" s="100">
        <f t="shared" si="25"/>
        <v>0</v>
      </c>
    </row>
    <row r="87" spans="2:23">
      <c r="B87" s="96">
        <f>Amnt_Deposited!B82</f>
        <v>2068</v>
      </c>
      <c r="C87" s="99">
        <f>Amnt_Deposited!F82</f>
        <v>0</v>
      </c>
      <c r="D87" s="417">
        <f>Dry_Matter_Content!F74</f>
        <v>0.56999999999999995</v>
      </c>
      <c r="E87" s="283">
        <f>MCF!R86</f>
        <v>1</v>
      </c>
      <c r="F87" s="67">
        <f t="shared" si="14"/>
        <v>0</v>
      </c>
      <c r="G87" s="67">
        <f t="shared" si="15"/>
        <v>0</v>
      </c>
      <c r="H87" s="67">
        <f t="shared" si="16"/>
        <v>0</v>
      </c>
      <c r="I87" s="67">
        <f t="shared" si="17"/>
        <v>0</v>
      </c>
      <c r="J87" s="67">
        <f t="shared" si="18"/>
        <v>0</v>
      </c>
      <c r="K87" s="100">
        <f t="shared" si="20"/>
        <v>0</v>
      </c>
      <c r="O87" s="96">
        <f>Amnt_Deposited!B82</f>
        <v>2068</v>
      </c>
      <c r="P87" s="99">
        <f>Amnt_Deposited!F82</f>
        <v>0</v>
      </c>
      <c r="Q87" s="283">
        <f>MCF!R86</f>
        <v>1</v>
      </c>
      <c r="R87" s="67">
        <f t="shared" si="19"/>
        <v>0</v>
      </c>
      <c r="S87" s="67">
        <f t="shared" si="21"/>
        <v>0</v>
      </c>
      <c r="T87" s="67">
        <f t="shared" si="22"/>
        <v>0</v>
      </c>
      <c r="U87" s="67">
        <f t="shared" si="23"/>
        <v>0</v>
      </c>
      <c r="V87" s="67">
        <f t="shared" si="24"/>
        <v>0</v>
      </c>
      <c r="W87" s="100">
        <f t="shared" si="25"/>
        <v>0</v>
      </c>
    </row>
    <row r="88" spans="2:23">
      <c r="B88" s="96">
        <f>Amnt_Deposited!B83</f>
        <v>2069</v>
      </c>
      <c r="C88" s="99">
        <f>Amnt_Deposited!F83</f>
        <v>0</v>
      </c>
      <c r="D88" s="417">
        <f>Dry_Matter_Content!F75</f>
        <v>0.56999999999999995</v>
      </c>
      <c r="E88" s="283">
        <f>MCF!R87</f>
        <v>1</v>
      </c>
      <c r="F88" s="67">
        <f t="shared" si="14"/>
        <v>0</v>
      </c>
      <c r="G88" s="67">
        <f t="shared" si="15"/>
        <v>0</v>
      </c>
      <c r="H88" s="67">
        <f t="shared" si="16"/>
        <v>0</v>
      </c>
      <c r="I88" s="67">
        <f t="shared" si="17"/>
        <v>0</v>
      </c>
      <c r="J88" s="67">
        <f t="shared" si="18"/>
        <v>0</v>
      </c>
      <c r="K88" s="100">
        <f t="shared" si="20"/>
        <v>0</v>
      </c>
      <c r="O88" s="96">
        <f>Amnt_Deposited!B83</f>
        <v>2069</v>
      </c>
      <c r="P88" s="99">
        <f>Amnt_Deposited!F83</f>
        <v>0</v>
      </c>
      <c r="Q88" s="283">
        <f>MCF!R87</f>
        <v>1</v>
      </c>
      <c r="R88" s="67">
        <f t="shared" si="19"/>
        <v>0</v>
      </c>
      <c r="S88" s="67">
        <f t="shared" si="21"/>
        <v>0</v>
      </c>
      <c r="T88" s="67">
        <f t="shared" si="22"/>
        <v>0</v>
      </c>
      <c r="U88" s="67">
        <f t="shared" si="23"/>
        <v>0</v>
      </c>
      <c r="V88" s="67">
        <f t="shared" si="24"/>
        <v>0</v>
      </c>
      <c r="W88" s="100">
        <f t="shared" si="25"/>
        <v>0</v>
      </c>
    </row>
    <row r="89" spans="2:23">
      <c r="B89" s="96">
        <f>Amnt_Deposited!B84</f>
        <v>2070</v>
      </c>
      <c r="C89" s="99">
        <f>Amnt_Deposited!F84</f>
        <v>0</v>
      </c>
      <c r="D89" s="417">
        <f>Dry_Matter_Content!F76</f>
        <v>0.56999999999999995</v>
      </c>
      <c r="E89" s="283">
        <f>MCF!R88</f>
        <v>1</v>
      </c>
      <c r="F89" s="67">
        <f t="shared" si="14"/>
        <v>0</v>
      </c>
      <c r="G89" s="67">
        <f t="shared" si="15"/>
        <v>0</v>
      </c>
      <c r="H89" s="67">
        <f t="shared" si="16"/>
        <v>0</v>
      </c>
      <c r="I89" s="67">
        <f t="shared" si="17"/>
        <v>0</v>
      </c>
      <c r="J89" s="67">
        <f t="shared" si="18"/>
        <v>0</v>
      </c>
      <c r="K89" s="100">
        <f t="shared" si="20"/>
        <v>0</v>
      </c>
      <c r="O89" s="96">
        <f>Amnt_Deposited!B84</f>
        <v>2070</v>
      </c>
      <c r="P89" s="99">
        <f>Amnt_Deposited!F84</f>
        <v>0</v>
      </c>
      <c r="Q89" s="283">
        <f>MCF!R88</f>
        <v>1</v>
      </c>
      <c r="R89" s="67">
        <f t="shared" si="19"/>
        <v>0</v>
      </c>
      <c r="S89" s="67">
        <f t="shared" si="21"/>
        <v>0</v>
      </c>
      <c r="T89" s="67">
        <f t="shared" si="22"/>
        <v>0</v>
      </c>
      <c r="U89" s="67">
        <f t="shared" si="23"/>
        <v>0</v>
      </c>
      <c r="V89" s="67">
        <f t="shared" si="24"/>
        <v>0</v>
      </c>
      <c r="W89" s="100">
        <f t="shared" si="25"/>
        <v>0</v>
      </c>
    </row>
    <row r="90" spans="2:23">
      <c r="B90" s="96">
        <f>Amnt_Deposited!B85</f>
        <v>2071</v>
      </c>
      <c r="C90" s="99">
        <f>Amnt_Deposited!F85</f>
        <v>0</v>
      </c>
      <c r="D90" s="417">
        <f>Dry_Matter_Content!F77</f>
        <v>0.56999999999999995</v>
      </c>
      <c r="E90" s="283">
        <f>MCF!R89</f>
        <v>1</v>
      </c>
      <c r="F90" s="67">
        <f t="shared" si="14"/>
        <v>0</v>
      </c>
      <c r="G90" s="67">
        <f t="shared" si="15"/>
        <v>0</v>
      </c>
      <c r="H90" s="67">
        <f t="shared" si="16"/>
        <v>0</v>
      </c>
      <c r="I90" s="67">
        <f t="shared" si="17"/>
        <v>0</v>
      </c>
      <c r="J90" s="67">
        <f t="shared" si="18"/>
        <v>0</v>
      </c>
      <c r="K90" s="100">
        <f t="shared" si="20"/>
        <v>0</v>
      </c>
      <c r="O90" s="96">
        <f>Amnt_Deposited!B85</f>
        <v>2071</v>
      </c>
      <c r="P90" s="99">
        <f>Amnt_Deposited!F85</f>
        <v>0</v>
      </c>
      <c r="Q90" s="283">
        <f>MCF!R89</f>
        <v>1</v>
      </c>
      <c r="R90" s="67">
        <f t="shared" si="19"/>
        <v>0</v>
      </c>
      <c r="S90" s="67">
        <f t="shared" si="21"/>
        <v>0</v>
      </c>
      <c r="T90" s="67">
        <f t="shared" si="22"/>
        <v>0</v>
      </c>
      <c r="U90" s="67">
        <f t="shared" si="23"/>
        <v>0</v>
      </c>
      <c r="V90" s="67">
        <f t="shared" si="24"/>
        <v>0</v>
      </c>
      <c r="W90" s="100">
        <f t="shared" si="25"/>
        <v>0</v>
      </c>
    </row>
    <row r="91" spans="2:23">
      <c r="B91" s="96">
        <f>Amnt_Deposited!B86</f>
        <v>2072</v>
      </c>
      <c r="C91" s="99">
        <f>Amnt_Deposited!F86</f>
        <v>0</v>
      </c>
      <c r="D91" s="417">
        <f>Dry_Matter_Content!F78</f>
        <v>0.56999999999999995</v>
      </c>
      <c r="E91" s="283">
        <f>MCF!R90</f>
        <v>1</v>
      </c>
      <c r="F91" s="67">
        <f t="shared" si="14"/>
        <v>0</v>
      </c>
      <c r="G91" s="67">
        <f t="shared" si="15"/>
        <v>0</v>
      </c>
      <c r="H91" s="67">
        <f t="shared" si="16"/>
        <v>0</v>
      </c>
      <c r="I91" s="67">
        <f t="shared" si="17"/>
        <v>0</v>
      </c>
      <c r="J91" s="67">
        <f t="shared" si="18"/>
        <v>0</v>
      </c>
      <c r="K91" s="100">
        <f t="shared" si="20"/>
        <v>0</v>
      </c>
      <c r="O91" s="96">
        <f>Amnt_Deposited!B86</f>
        <v>2072</v>
      </c>
      <c r="P91" s="99">
        <f>Amnt_Deposited!F86</f>
        <v>0</v>
      </c>
      <c r="Q91" s="283">
        <f>MCF!R90</f>
        <v>1</v>
      </c>
      <c r="R91" s="67">
        <f t="shared" si="19"/>
        <v>0</v>
      </c>
      <c r="S91" s="67">
        <f t="shared" si="21"/>
        <v>0</v>
      </c>
      <c r="T91" s="67">
        <f t="shared" si="22"/>
        <v>0</v>
      </c>
      <c r="U91" s="67">
        <f t="shared" si="23"/>
        <v>0</v>
      </c>
      <c r="V91" s="67">
        <f t="shared" si="24"/>
        <v>0</v>
      </c>
      <c r="W91" s="100">
        <f t="shared" si="25"/>
        <v>0</v>
      </c>
    </row>
    <row r="92" spans="2:23">
      <c r="B92" s="96">
        <f>Amnt_Deposited!B87</f>
        <v>2073</v>
      </c>
      <c r="C92" s="99">
        <f>Amnt_Deposited!F87</f>
        <v>0</v>
      </c>
      <c r="D92" s="417">
        <f>Dry_Matter_Content!F79</f>
        <v>0.56999999999999995</v>
      </c>
      <c r="E92" s="283">
        <f>MCF!R91</f>
        <v>1</v>
      </c>
      <c r="F92" s="67">
        <f t="shared" si="14"/>
        <v>0</v>
      </c>
      <c r="G92" s="67">
        <f t="shared" si="15"/>
        <v>0</v>
      </c>
      <c r="H92" s="67">
        <f t="shared" si="16"/>
        <v>0</v>
      </c>
      <c r="I92" s="67">
        <f t="shared" si="17"/>
        <v>0</v>
      </c>
      <c r="J92" s="67">
        <f t="shared" si="18"/>
        <v>0</v>
      </c>
      <c r="K92" s="100">
        <f t="shared" si="20"/>
        <v>0</v>
      </c>
      <c r="O92" s="96">
        <f>Amnt_Deposited!B87</f>
        <v>2073</v>
      </c>
      <c r="P92" s="99">
        <f>Amnt_Deposited!F87</f>
        <v>0</v>
      </c>
      <c r="Q92" s="283">
        <f>MCF!R91</f>
        <v>1</v>
      </c>
      <c r="R92" s="67">
        <f t="shared" si="19"/>
        <v>0</v>
      </c>
      <c r="S92" s="67">
        <f t="shared" si="21"/>
        <v>0</v>
      </c>
      <c r="T92" s="67">
        <f t="shared" si="22"/>
        <v>0</v>
      </c>
      <c r="U92" s="67">
        <f t="shared" si="23"/>
        <v>0</v>
      </c>
      <c r="V92" s="67">
        <f t="shared" si="24"/>
        <v>0</v>
      </c>
      <c r="W92" s="100">
        <f t="shared" si="25"/>
        <v>0</v>
      </c>
    </row>
    <row r="93" spans="2:23">
      <c r="B93" s="96">
        <f>Amnt_Deposited!B88</f>
        <v>2074</v>
      </c>
      <c r="C93" s="99">
        <f>Amnt_Deposited!F88</f>
        <v>0</v>
      </c>
      <c r="D93" s="417">
        <f>Dry_Matter_Content!F80</f>
        <v>0.56999999999999995</v>
      </c>
      <c r="E93" s="283">
        <f>MCF!R92</f>
        <v>1</v>
      </c>
      <c r="F93" s="67">
        <f t="shared" si="14"/>
        <v>0</v>
      </c>
      <c r="G93" s="67">
        <f t="shared" si="15"/>
        <v>0</v>
      </c>
      <c r="H93" s="67">
        <f t="shared" si="16"/>
        <v>0</v>
      </c>
      <c r="I93" s="67">
        <f t="shared" si="17"/>
        <v>0</v>
      </c>
      <c r="J93" s="67">
        <f t="shared" si="18"/>
        <v>0</v>
      </c>
      <c r="K93" s="100">
        <f t="shared" si="20"/>
        <v>0</v>
      </c>
      <c r="O93" s="96">
        <f>Amnt_Deposited!B88</f>
        <v>2074</v>
      </c>
      <c r="P93" s="99">
        <f>Amnt_Deposited!F88</f>
        <v>0</v>
      </c>
      <c r="Q93" s="283">
        <f>MCF!R92</f>
        <v>1</v>
      </c>
      <c r="R93" s="67">
        <f t="shared" si="19"/>
        <v>0</v>
      </c>
      <c r="S93" s="67">
        <f t="shared" si="21"/>
        <v>0</v>
      </c>
      <c r="T93" s="67">
        <f t="shared" si="22"/>
        <v>0</v>
      </c>
      <c r="U93" s="67">
        <f t="shared" si="23"/>
        <v>0</v>
      </c>
      <c r="V93" s="67">
        <f t="shared" si="24"/>
        <v>0</v>
      </c>
      <c r="W93" s="100">
        <f t="shared" si="25"/>
        <v>0</v>
      </c>
    </row>
    <row r="94" spans="2:23">
      <c r="B94" s="96">
        <f>Amnt_Deposited!B89</f>
        <v>2075</v>
      </c>
      <c r="C94" s="99">
        <f>Amnt_Deposited!F89</f>
        <v>0</v>
      </c>
      <c r="D94" s="417">
        <f>Dry_Matter_Content!F81</f>
        <v>0.56999999999999995</v>
      </c>
      <c r="E94" s="283">
        <f>MCF!R93</f>
        <v>1</v>
      </c>
      <c r="F94" s="67">
        <f t="shared" si="14"/>
        <v>0</v>
      </c>
      <c r="G94" s="67">
        <f t="shared" si="15"/>
        <v>0</v>
      </c>
      <c r="H94" s="67">
        <f t="shared" si="16"/>
        <v>0</v>
      </c>
      <c r="I94" s="67">
        <f t="shared" si="17"/>
        <v>0</v>
      </c>
      <c r="J94" s="67">
        <f t="shared" si="18"/>
        <v>0</v>
      </c>
      <c r="K94" s="100">
        <f t="shared" si="20"/>
        <v>0</v>
      </c>
      <c r="O94" s="96">
        <f>Amnt_Deposited!B89</f>
        <v>2075</v>
      </c>
      <c r="P94" s="99">
        <f>Amnt_Deposited!F89</f>
        <v>0</v>
      </c>
      <c r="Q94" s="283">
        <f>MCF!R93</f>
        <v>1</v>
      </c>
      <c r="R94" s="67">
        <f t="shared" si="19"/>
        <v>0</v>
      </c>
      <c r="S94" s="67">
        <f t="shared" si="21"/>
        <v>0</v>
      </c>
      <c r="T94" s="67">
        <f t="shared" si="22"/>
        <v>0</v>
      </c>
      <c r="U94" s="67">
        <f t="shared" si="23"/>
        <v>0</v>
      </c>
      <c r="V94" s="67">
        <f t="shared" si="24"/>
        <v>0</v>
      </c>
      <c r="W94" s="100">
        <f t="shared" si="25"/>
        <v>0</v>
      </c>
    </row>
    <row r="95" spans="2:23">
      <c r="B95" s="96">
        <f>Amnt_Deposited!B90</f>
        <v>2076</v>
      </c>
      <c r="C95" s="99">
        <f>Amnt_Deposited!F90</f>
        <v>0</v>
      </c>
      <c r="D95" s="417">
        <f>Dry_Matter_Content!F82</f>
        <v>0.56999999999999995</v>
      </c>
      <c r="E95" s="283">
        <f>MCF!R94</f>
        <v>1</v>
      </c>
      <c r="F95" s="67">
        <f t="shared" si="14"/>
        <v>0</v>
      </c>
      <c r="G95" s="67">
        <f t="shared" si="15"/>
        <v>0</v>
      </c>
      <c r="H95" s="67">
        <f t="shared" si="16"/>
        <v>0</v>
      </c>
      <c r="I95" s="67">
        <f t="shared" si="17"/>
        <v>0</v>
      </c>
      <c r="J95" s="67">
        <f t="shared" si="18"/>
        <v>0</v>
      </c>
      <c r="K95" s="100">
        <f t="shared" si="20"/>
        <v>0</v>
      </c>
      <c r="O95" s="96">
        <f>Amnt_Deposited!B90</f>
        <v>2076</v>
      </c>
      <c r="P95" s="99">
        <f>Amnt_Deposited!F90</f>
        <v>0</v>
      </c>
      <c r="Q95" s="283">
        <f>MCF!R94</f>
        <v>1</v>
      </c>
      <c r="R95" s="67">
        <f t="shared" si="19"/>
        <v>0</v>
      </c>
      <c r="S95" s="67">
        <f t="shared" si="21"/>
        <v>0</v>
      </c>
      <c r="T95" s="67">
        <f t="shared" si="22"/>
        <v>0</v>
      </c>
      <c r="U95" s="67">
        <f t="shared" si="23"/>
        <v>0</v>
      </c>
      <c r="V95" s="67">
        <f t="shared" si="24"/>
        <v>0</v>
      </c>
      <c r="W95" s="100">
        <f t="shared" si="25"/>
        <v>0</v>
      </c>
    </row>
    <row r="96" spans="2:23">
      <c r="B96" s="96">
        <f>Amnt_Deposited!B91</f>
        <v>2077</v>
      </c>
      <c r="C96" s="99">
        <f>Amnt_Deposited!F91</f>
        <v>0</v>
      </c>
      <c r="D96" s="417">
        <f>Dry_Matter_Content!F83</f>
        <v>0.56999999999999995</v>
      </c>
      <c r="E96" s="283">
        <f>MCF!R95</f>
        <v>1</v>
      </c>
      <c r="F96" s="67">
        <f t="shared" si="14"/>
        <v>0</v>
      </c>
      <c r="G96" s="67">
        <f t="shared" si="15"/>
        <v>0</v>
      </c>
      <c r="H96" s="67">
        <f t="shared" si="16"/>
        <v>0</v>
      </c>
      <c r="I96" s="67">
        <f t="shared" si="17"/>
        <v>0</v>
      </c>
      <c r="J96" s="67">
        <f t="shared" si="18"/>
        <v>0</v>
      </c>
      <c r="K96" s="100">
        <f t="shared" si="20"/>
        <v>0</v>
      </c>
      <c r="O96" s="96">
        <f>Amnt_Deposited!B91</f>
        <v>2077</v>
      </c>
      <c r="P96" s="99">
        <f>Amnt_Deposited!F91</f>
        <v>0</v>
      </c>
      <c r="Q96" s="283">
        <f>MCF!R95</f>
        <v>1</v>
      </c>
      <c r="R96" s="67">
        <f t="shared" si="19"/>
        <v>0</v>
      </c>
      <c r="S96" s="67">
        <f t="shared" si="21"/>
        <v>0</v>
      </c>
      <c r="T96" s="67">
        <f t="shared" si="22"/>
        <v>0</v>
      </c>
      <c r="U96" s="67">
        <f t="shared" si="23"/>
        <v>0</v>
      </c>
      <c r="V96" s="67">
        <f t="shared" si="24"/>
        <v>0</v>
      </c>
      <c r="W96" s="100">
        <f t="shared" si="25"/>
        <v>0</v>
      </c>
    </row>
    <row r="97" spans="2:23">
      <c r="B97" s="96">
        <f>Amnt_Deposited!B92</f>
        <v>2078</v>
      </c>
      <c r="C97" s="99">
        <f>Amnt_Deposited!F92</f>
        <v>0</v>
      </c>
      <c r="D97" s="417">
        <f>Dry_Matter_Content!F84</f>
        <v>0.56999999999999995</v>
      </c>
      <c r="E97" s="283">
        <f>MCF!R96</f>
        <v>1</v>
      </c>
      <c r="F97" s="67">
        <f t="shared" si="14"/>
        <v>0</v>
      </c>
      <c r="G97" s="67">
        <f t="shared" si="15"/>
        <v>0</v>
      </c>
      <c r="H97" s="67">
        <f t="shared" si="16"/>
        <v>0</v>
      </c>
      <c r="I97" s="67">
        <f t="shared" si="17"/>
        <v>0</v>
      </c>
      <c r="J97" s="67">
        <f t="shared" si="18"/>
        <v>0</v>
      </c>
      <c r="K97" s="100">
        <f t="shared" si="20"/>
        <v>0</v>
      </c>
      <c r="O97" s="96">
        <f>Amnt_Deposited!B92</f>
        <v>2078</v>
      </c>
      <c r="P97" s="99">
        <f>Amnt_Deposited!F92</f>
        <v>0</v>
      </c>
      <c r="Q97" s="283">
        <f>MCF!R96</f>
        <v>1</v>
      </c>
      <c r="R97" s="67">
        <f t="shared" si="19"/>
        <v>0</v>
      </c>
      <c r="S97" s="67">
        <f t="shared" si="21"/>
        <v>0</v>
      </c>
      <c r="T97" s="67">
        <f t="shared" si="22"/>
        <v>0</v>
      </c>
      <c r="U97" s="67">
        <f t="shared" si="23"/>
        <v>0</v>
      </c>
      <c r="V97" s="67">
        <f t="shared" si="24"/>
        <v>0</v>
      </c>
      <c r="W97" s="100">
        <f t="shared" si="25"/>
        <v>0</v>
      </c>
    </row>
    <row r="98" spans="2:23">
      <c r="B98" s="96">
        <f>Amnt_Deposited!B93</f>
        <v>2079</v>
      </c>
      <c r="C98" s="99">
        <f>Amnt_Deposited!F93</f>
        <v>0</v>
      </c>
      <c r="D98" s="417">
        <f>Dry_Matter_Content!F85</f>
        <v>0.56999999999999995</v>
      </c>
      <c r="E98" s="283">
        <f>MCF!R97</f>
        <v>1</v>
      </c>
      <c r="F98" s="67">
        <f t="shared" si="14"/>
        <v>0</v>
      </c>
      <c r="G98" s="67">
        <f t="shared" si="15"/>
        <v>0</v>
      </c>
      <c r="H98" s="67">
        <f t="shared" si="16"/>
        <v>0</v>
      </c>
      <c r="I98" s="67">
        <f t="shared" si="17"/>
        <v>0</v>
      </c>
      <c r="J98" s="67">
        <f t="shared" si="18"/>
        <v>0</v>
      </c>
      <c r="K98" s="100">
        <f t="shared" si="20"/>
        <v>0</v>
      </c>
      <c r="O98" s="96">
        <f>Amnt_Deposited!B93</f>
        <v>2079</v>
      </c>
      <c r="P98" s="99">
        <f>Amnt_Deposited!F93</f>
        <v>0</v>
      </c>
      <c r="Q98" s="283">
        <f>MCF!R97</f>
        <v>1</v>
      </c>
      <c r="R98" s="67">
        <f t="shared" si="19"/>
        <v>0</v>
      </c>
      <c r="S98" s="67">
        <f t="shared" si="21"/>
        <v>0</v>
      </c>
      <c r="T98" s="67">
        <f t="shared" si="22"/>
        <v>0</v>
      </c>
      <c r="U98" s="67">
        <f t="shared" si="23"/>
        <v>0</v>
      </c>
      <c r="V98" s="67">
        <f t="shared" si="24"/>
        <v>0</v>
      </c>
      <c r="W98" s="100">
        <f t="shared" si="25"/>
        <v>0</v>
      </c>
    </row>
    <row r="99" spans="2:23" ht="13.5" thickBot="1">
      <c r="B99" s="97">
        <f>Amnt_Deposited!B94</f>
        <v>2080</v>
      </c>
      <c r="C99" s="101">
        <f>Amnt_Deposited!F94</f>
        <v>0</v>
      </c>
      <c r="D99" s="418">
        <f>Dry_Matter_Content!F86</f>
        <v>0.56999999999999995</v>
      </c>
      <c r="E99" s="284">
        <f>MCF!R98</f>
        <v>1</v>
      </c>
      <c r="F99" s="68">
        <f t="shared" si="14"/>
        <v>0</v>
      </c>
      <c r="G99" s="68">
        <f t="shared" si="15"/>
        <v>0</v>
      </c>
      <c r="H99" s="68">
        <f t="shared" si="16"/>
        <v>0</v>
      </c>
      <c r="I99" s="68">
        <f t="shared" si="17"/>
        <v>0</v>
      </c>
      <c r="J99" s="68">
        <f t="shared" si="18"/>
        <v>0</v>
      </c>
      <c r="K99" s="102">
        <f t="shared" si="20"/>
        <v>0</v>
      </c>
      <c r="O99" s="97">
        <f>Amnt_Deposited!B94</f>
        <v>2080</v>
      </c>
      <c r="P99" s="101">
        <f>Amnt_Deposited!F94</f>
        <v>0</v>
      </c>
      <c r="Q99" s="284">
        <f>MCF!R98</f>
        <v>1</v>
      </c>
      <c r="R99" s="68">
        <f t="shared" si="19"/>
        <v>0</v>
      </c>
      <c r="S99" s="68">
        <f>R99*$W$12</f>
        <v>0</v>
      </c>
      <c r="T99" s="68">
        <f>R99*(1-$W$12)</f>
        <v>0</v>
      </c>
      <c r="U99" s="68">
        <f>S99+U98*$W$10</f>
        <v>0</v>
      </c>
      <c r="V99" s="68">
        <f>U98*(1-$W$10)+T99</f>
        <v>0</v>
      </c>
      <c r="W99" s="102">
        <f t="shared" si="25"/>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K8" sqref="K8"/>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311</v>
      </c>
      <c r="C2" s="223"/>
      <c r="D2" s="223"/>
      <c r="E2" s="224"/>
      <c r="F2" s="225"/>
      <c r="G2" s="225"/>
      <c r="H2" s="225"/>
      <c r="I2" s="225"/>
      <c r="J2" s="225"/>
      <c r="K2" s="225"/>
    </row>
    <row r="3" spans="1:23" ht="15">
      <c r="B3" s="242" t="str">
        <f>IF(Select2=2,"This sheet applies only to the waste compositon option and can be deleted when the bulk waste option has been chosen","")</f>
        <v/>
      </c>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414">
        <f>Parameters!O20</f>
        <v>0.5</v>
      </c>
      <c r="O6" s="229"/>
      <c r="P6" s="230"/>
      <c r="Q6" s="222"/>
      <c r="R6" s="108" t="s">
        <v>9</v>
      </c>
      <c r="S6" s="109"/>
      <c r="T6" s="109"/>
      <c r="U6" s="113"/>
      <c r="V6" s="120" t="s">
        <v>9</v>
      </c>
      <c r="W6" s="260">
        <f>Parameters!R20</f>
        <v>0.43</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Parameters!O39</f>
        <v>3.5000000000000003E-2</v>
      </c>
      <c r="O8" s="47"/>
      <c r="P8" s="47"/>
      <c r="Q8" s="222"/>
      <c r="R8" s="108" t="s">
        <v>192</v>
      </c>
      <c r="S8" s="109"/>
      <c r="T8" s="109"/>
      <c r="U8" s="113"/>
      <c r="V8" s="120" t="s">
        <v>188</v>
      </c>
      <c r="W8" s="114">
        <f>Parameters!O39</f>
        <v>3.5000000000000003E-2</v>
      </c>
    </row>
    <row r="9" spans="1:23" ht="15.75">
      <c r="F9" s="246" t="s">
        <v>190</v>
      </c>
      <c r="G9" s="247"/>
      <c r="H9" s="247"/>
      <c r="I9" s="248"/>
      <c r="J9" s="249" t="s">
        <v>189</v>
      </c>
      <c r="K9" s="255">
        <f>LN(2)/$K$8</f>
        <v>19.804205158855577</v>
      </c>
      <c r="O9" s="47"/>
      <c r="P9" s="47"/>
      <c r="Q9" s="222"/>
      <c r="R9" s="246" t="s">
        <v>190</v>
      </c>
      <c r="S9" s="247"/>
      <c r="T9" s="247"/>
      <c r="U9" s="248"/>
      <c r="V9" s="249" t="s">
        <v>189</v>
      </c>
      <c r="W9" s="255">
        <f>LN(2)/$W$8</f>
        <v>19.804205158855577</v>
      </c>
    </row>
    <row r="10" spans="1:23">
      <c r="F10" s="110" t="s">
        <v>84</v>
      </c>
      <c r="G10" s="111"/>
      <c r="H10" s="111"/>
      <c r="I10" s="112"/>
      <c r="J10" s="121" t="s">
        <v>148</v>
      </c>
      <c r="K10" s="49">
        <f>EXP(-$K$8)</f>
        <v>0.96560541625756646</v>
      </c>
      <c r="O10" s="47"/>
      <c r="P10" s="47"/>
      <c r="Q10" s="222"/>
      <c r="R10" s="110" t="s">
        <v>84</v>
      </c>
      <c r="S10" s="111"/>
      <c r="T10" s="111"/>
      <c r="U10" s="112"/>
      <c r="V10" s="121" t="s">
        <v>148</v>
      </c>
      <c r="W10" s="49">
        <f>EXP(-$W$8)</f>
        <v>0.96560541625756646</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Amnt_Deposited!F14</f>
        <v>0</v>
      </c>
      <c r="D19" s="415">
        <f>Dry_Matter_Content!G6</f>
        <v>0.56999999999999995</v>
      </c>
      <c r="E19" s="282">
        <f>MCF!R18</f>
        <v>1</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Amnt_Deposited!G14</f>
        <v>2.8009060681140001</v>
      </c>
      <c r="Q19" s="282">
        <f>MCF!R18</f>
        <v>1</v>
      </c>
      <c r="R19" s="130">
        <f t="shared" ref="R19:R82" si="5">P19*$W$6*DOCF*Q19</f>
        <v>0.60219480464451003</v>
      </c>
      <c r="S19" s="65">
        <f>R19*$W$12</f>
        <v>0.60219480464451003</v>
      </c>
      <c r="T19" s="65">
        <f>R19*(1-$W$12)</f>
        <v>0</v>
      </c>
      <c r="U19" s="65">
        <f>S19+U18*$W$10</f>
        <v>0.60219480464451003</v>
      </c>
      <c r="V19" s="65">
        <f>U18*(1-$W$10)+T19</f>
        <v>0</v>
      </c>
      <c r="W19" s="66">
        <f>V19*CH4_fraction*conv</f>
        <v>0</v>
      </c>
    </row>
    <row r="20" spans="2:23">
      <c r="B20" s="96">
        <f>Amnt_Deposited!B15</f>
        <v>2001</v>
      </c>
      <c r="C20" s="99">
        <f>Amnt_Deposited!F15</f>
        <v>0</v>
      </c>
      <c r="D20" s="417">
        <f>Dry_Matter_Content!G7</f>
        <v>0.56999999999999995</v>
      </c>
      <c r="E20" s="283">
        <f>MCF!R19</f>
        <v>1</v>
      </c>
      <c r="F20" s="67">
        <f t="shared" si="0"/>
        <v>0</v>
      </c>
      <c r="G20" s="67">
        <f t="shared" si="1"/>
        <v>0</v>
      </c>
      <c r="H20" s="67">
        <f t="shared" si="2"/>
        <v>0</v>
      </c>
      <c r="I20" s="67">
        <f t="shared" si="3"/>
        <v>0</v>
      </c>
      <c r="J20" s="67">
        <f t="shared" si="4"/>
        <v>0</v>
      </c>
      <c r="K20" s="100">
        <f>J20*CH4_fraction*conv</f>
        <v>0</v>
      </c>
      <c r="M20" s="392"/>
      <c r="O20" s="96">
        <f>Amnt_Deposited!B15</f>
        <v>2001</v>
      </c>
      <c r="P20" s="99">
        <f>Amnt_Deposited!G15</f>
        <v>2.8367889056099997</v>
      </c>
      <c r="Q20" s="283">
        <f>MCF!R19</f>
        <v>1</v>
      </c>
      <c r="R20" s="67">
        <f t="shared" si="5"/>
        <v>0.60990961470614991</v>
      </c>
      <c r="S20" s="67">
        <f>R20*$W$12</f>
        <v>0.60990961470614991</v>
      </c>
      <c r="T20" s="67">
        <f>R20*(1-$W$12)</f>
        <v>0</v>
      </c>
      <c r="U20" s="67">
        <f>S20+U19*$W$10</f>
        <v>1.191392179713056</v>
      </c>
      <c r="V20" s="67">
        <f>U19*(1-$W$10)+T20</f>
        <v>2.0712239637604005E-2</v>
      </c>
      <c r="W20" s="100">
        <f>V20*CH4_fraction*conv</f>
        <v>1.3808159758402669E-2</v>
      </c>
    </row>
    <row r="21" spans="2:23">
      <c r="B21" s="96">
        <f>Amnt_Deposited!B16</f>
        <v>2002</v>
      </c>
      <c r="C21" s="99">
        <f>Amnt_Deposited!F16</f>
        <v>0</v>
      </c>
      <c r="D21" s="417">
        <f>Dry_Matter_Content!G8</f>
        <v>0.56999999999999995</v>
      </c>
      <c r="E21" s="283">
        <f>MCF!R20</f>
        <v>1</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Amnt_Deposited!G16</f>
        <v>2.9007129551399999</v>
      </c>
      <c r="Q21" s="283">
        <f>MCF!R20</f>
        <v>1</v>
      </c>
      <c r="R21" s="67">
        <f t="shared" si="5"/>
        <v>0.62365328535510001</v>
      </c>
      <c r="S21" s="67">
        <f t="shared" ref="S21:S84" si="7">R21*$W$12</f>
        <v>0.62365328535510001</v>
      </c>
      <c r="T21" s="67">
        <f t="shared" ref="T21:T84" si="8">R21*(1-$W$12)</f>
        <v>0</v>
      </c>
      <c r="U21" s="67">
        <f t="shared" ref="U21:U84" si="9">S21+U20*$W$10</f>
        <v>1.774068026972935</v>
      </c>
      <c r="V21" s="67">
        <f t="shared" ref="V21:V84" si="10">U20*(1-$W$10)+T21</f>
        <v>4.0977438095221135E-2</v>
      </c>
      <c r="W21" s="100">
        <f t="shared" ref="W21:W84" si="11">V21*CH4_fraction*conv</f>
        <v>2.7318292063480756E-2</v>
      </c>
    </row>
    <row r="22" spans="2:23">
      <c r="B22" s="96">
        <f>Amnt_Deposited!B17</f>
        <v>2003</v>
      </c>
      <c r="C22" s="99">
        <f>Amnt_Deposited!F17</f>
        <v>0</v>
      </c>
      <c r="D22" s="417">
        <f>Dry_Matter_Content!G9</f>
        <v>0.56999999999999995</v>
      </c>
      <c r="E22" s="283">
        <f>MCF!R21</f>
        <v>1</v>
      </c>
      <c r="F22" s="67">
        <f t="shared" si="0"/>
        <v>0</v>
      </c>
      <c r="G22" s="67">
        <f t="shared" si="1"/>
        <v>0</v>
      </c>
      <c r="H22" s="67">
        <f t="shared" si="2"/>
        <v>0</v>
      </c>
      <c r="I22" s="67">
        <f t="shared" si="3"/>
        <v>0</v>
      </c>
      <c r="J22" s="67">
        <f t="shared" si="4"/>
        <v>0</v>
      </c>
      <c r="K22" s="100">
        <f t="shared" si="6"/>
        <v>0</v>
      </c>
      <c r="N22" s="257"/>
      <c r="O22" s="96">
        <f>Amnt_Deposited!B17</f>
        <v>2003</v>
      </c>
      <c r="P22" s="99">
        <f>Amnt_Deposited!G17</f>
        <v>2.9522721589020002</v>
      </c>
      <c r="Q22" s="283">
        <f>MCF!R21</f>
        <v>1</v>
      </c>
      <c r="R22" s="67">
        <f t="shared" si="5"/>
        <v>0.63473851416393001</v>
      </c>
      <c r="S22" s="67">
        <f t="shared" si="7"/>
        <v>0.63473851416393001</v>
      </c>
      <c r="T22" s="67">
        <f t="shared" si="8"/>
        <v>0</v>
      </c>
      <c r="U22" s="67">
        <f t="shared" si="9"/>
        <v>2.3477882098183707</v>
      </c>
      <c r="V22" s="67">
        <f t="shared" si="10"/>
        <v>6.1018331318494455E-2</v>
      </c>
      <c r="W22" s="100">
        <f t="shared" si="11"/>
        <v>4.067888754566297E-2</v>
      </c>
    </row>
    <row r="23" spans="2:23">
      <c r="B23" s="96">
        <f>Amnt_Deposited!B18</f>
        <v>2004</v>
      </c>
      <c r="C23" s="99">
        <f>Amnt_Deposited!F18</f>
        <v>0</v>
      </c>
      <c r="D23" s="417">
        <f>Dry_Matter_Content!G10</f>
        <v>0.56999999999999995</v>
      </c>
      <c r="E23" s="283">
        <f>MCF!R22</f>
        <v>1</v>
      </c>
      <c r="F23" s="67">
        <f t="shared" si="0"/>
        <v>0</v>
      </c>
      <c r="G23" s="67">
        <f t="shared" si="1"/>
        <v>0</v>
      </c>
      <c r="H23" s="67">
        <f t="shared" si="2"/>
        <v>0</v>
      </c>
      <c r="I23" s="67">
        <f t="shared" si="3"/>
        <v>0</v>
      </c>
      <c r="J23" s="67">
        <f t="shared" si="4"/>
        <v>0</v>
      </c>
      <c r="K23" s="100">
        <f t="shared" si="6"/>
        <v>0</v>
      </c>
      <c r="N23" s="257"/>
      <c r="O23" s="96">
        <f>Amnt_Deposited!B18</f>
        <v>2004</v>
      </c>
      <c r="P23" s="99">
        <f>Amnt_Deposited!G18</f>
        <v>2.9680655643540002</v>
      </c>
      <c r="Q23" s="283">
        <f>MCF!R22</f>
        <v>1</v>
      </c>
      <c r="R23" s="67">
        <f t="shared" si="5"/>
        <v>0.63813409633611007</v>
      </c>
      <c r="S23" s="67">
        <f t="shared" si="7"/>
        <v>0.63813409633611007</v>
      </c>
      <c r="T23" s="67">
        <f t="shared" si="8"/>
        <v>0</v>
      </c>
      <c r="U23" s="67">
        <f t="shared" si="9"/>
        <v>2.905171107962385</v>
      </c>
      <c r="V23" s="67">
        <f t="shared" si="10"/>
        <v>8.0751198192096071E-2</v>
      </c>
      <c r="W23" s="100">
        <f t="shared" si="11"/>
        <v>5.3834132128064045E-2</v>
      </c>
    </row>
    <row r="24" spans="2:23">
      <c r="B24" s="96">
        <f>Amnt_Deposited!B19</f>
        <v>2005</v>
      </c>
      <c r="C24" s="99">
        <f>Amnt_Deposited!F19</f>
        <v>0</v>
      </c>
      <c r="D24" s="417">
        <f>Dry_Matter_Content!G11</f>
        <v>0.56999999999999995</v>
      </c>
      <c r="E24" s="283">
        <f>MCF!R23</f>
        <v>1</v>
      </c>
      <c r="F24" s="67">
        <f t="shared" si="0"/>
        <v>0</v>
      </c>
      <c r="G24" s="67">
        <f t="shared" si="1"/>
        <v>0</v>
      </c>
      <c r="H24" s="67">
        <f t="shared" si="2"/>
        <v>0</v>
      </c>
      <c r="I24" s="67">
        <f t="shared" si="3"/>
        <v>0</v>
      </c>
      <c r="J24" s="67">
        <f t="shared" si="4"/>
        <v>0</v>
      </c>
      <c r="K24" s="100">
        <f t="shared" si="6"/>
        <v>0</v>
      </c>
      <c r="N24" s="257"/>
      <c r="O24" s="96">
        <f>Amnt_Deposited!B19</f>
        <v>2005</v>
      </c>
      <c r="P24" s="99">
        <f>Amnt_Deposited!G19</f>
        <v>3.28763073474</v>
      </c>
      <c r="Q24" s="283">
        <f>MCF!R23</f>
        <v>1</v>
      </c>
      <c r="R24" s="67">
        <f t="shared" si="5"/>
        <v>0.70684060796909998</v>
      </c>
      <c r="S24" s="67">
        <f t="shared" si="7"/>
        <v>0.70684060796909998</v>
      </c>
      <c r="T24" s="67">
        <f t="shared" si="8"/>
        <v>0</v>
      </c>
      <c r="U24" s="67">
        <f t="shared" si="9"/>
        <v>3.5120895649725745</v>
      </c>
      <c r="V24" s="67">
        <f t="shared" si="10"/>
        <v>9.9922150958910674E-2</v>
      </c>
      <c r="W24" s="100">
        <f t="shared" si="11"/>
        <v>6.6614767305940445E-2</v>
      </c>
    </row>
    <row r="25" spans="2:23">
      <c r="B25" s="96">
        <f>Amnt_Deposited!B20</f>
        <v>2006</v>
      </c>
      <c r="C25" s="99">
        <f>Amnt_Deposited!F20</f>
        <v>0</v>
      </c>
      <c r="D25" s="417">
        <f>Dry_Matter_Content!G12</f>
        <v>0.56999999999999995</v>
      </c>
      <c r="E25" s="283">
        <f>MCF!R24</f>
        <v>1</v>
      </c>
      <c r="F25" s="67">
        <f t="shared" si="0"/>
        <v>0</v>
      </c>
      <c r="G25" s="67">
        <f t="shared" si="1"/>
        <v>0</v>
      </c>
      <c r="H25" s="67">
        <f t="shared" si="2"/>
        <v>0</v>
      </c>
      <c r="I25" s="67">
        <f t="shared" si="3"/>
        <v>0</v>
      </c>
      <c r="J25" s="67">
        <f t="shared" si="4"/>
        <v>0</v>
      </c>
      <c r="K25" s="100">
        <f t="shared" si="6"/>
        <v>0</v>
      </c>
      <c r="N25" s="257"/>
      <c r="O25" s="96">
        <f>Amnt_Deposited!B20</f>
        <v>2006</v>
      </c>
      <c r="P25" s="99">
        <f>Amnt_Deposited!G20</f>
        <v>3.3552587302740005</v>
      </c>
      <c r="Q25" s="283">
        <f>MCF!R24</f>
        <v>1</v>
      </c>
      <c r="R25" s="67">
        <f t="shared" si="5"/>
        <v>0.72138062700891004</v>
      </c>
      <c r="S25" s="67">
        <f t="shared" si="7"/>
        <v>0.72138062700891004</v>
      </c>
      <c r="T25" s="67">
        <f t="shared" si="8"/>
        <v>0</v>
      </c>
      <c r="U25" s="67">
        <f t="shared" si="9"/>
        <v>4.1126733333281082</v>
      </c>
      <c r="V25" s="67">
        <f t="shared" si="10"/>
        <v>0.12079685865337619</v>
      </c>
      <c r="W25" s="100">
        <f t="shared" si="11"/>
        <v>8.0531239102250796E-2</v>
      </c>
    </row>
    <row r="26" spans="2:23">
      <c r="B26" s="96">
        <f>Amnt_Deposited!B21</f>
        <v>2007</v>
      </c>
      <c r="C26" s="99">
        <f>Amnt_Deposited!F21</f>
        <v>0</v>
      </c>
      <c r="D26" s="417">
        <f>Dry_Matter_Content!G13</f>
        <v>0.56999999999999995</v>
      </c>
      <c r="E26" s="283">
        <f>MCF!R25</f>
        <v>1</v>
      </c>
      <c r="F26" s="67">
        <f t="shared" si="0"/>
        <v>0</v>
      </c>
      <c r="G26" s="67">
        <f t="shared" si="1"/>
        <v>0</v>
      </c>
      <c r="H26" s="67">
        <f t="shared" si="2"/>
        <v>0</v>
      </c>
      <c r="I26" s="67">
        <f t="shared" si="3"/>
        <v>0</v>
      </c>
      <c r="J26" s="67">
        <f t="shared" si="4"/>
        <v>0</v>
      </c>
      <c r="K26" s="100">
        <f t="shared" si="6"/>
        <v>0</v>
      </c>
      <c r="N26" s="257"/>
      <c r="O26" s="96">
        <f>Amnt_Deposited!B21</f>
        <v>2007</v>
      </c>
      <c r="P26" s="99">
        <f>Amnt_Deposited!G21</f>
        <v>3.4228316485440002</v>
      </c>
      <c r="Q26" s="283">
        <f>MCF!R25</f>
        <v>1</v>
      </c>
      <c r="R26" s="67">
        <f t="shared" si="5"/>
        <v>0.73590880443696005</v>
      </c>
      <c r="S26" s="67">
        <f t="shared" si="7"/>
        <v>0.73590880443696005</v>
      </c>
      <c r="T26" s="67">
        <f t="shared" si="8"/>
        <v>0</v>
      </c>
      <c r="U26" s="67">
        <f t="shared" si="9"/>
        <v>4.7071284503966417</v>
      </c>
      <c r="V26" s="67">
        <f t="shared" si="10"/>
        <v>0.14145368736842689</v>
      </c>
      <c r="W26" s="100">
        <f t="shared" si="11"/>
        <v>9.4302458245617921E-2</v>
      </c>
    </row>
    <row r="27" spans="2:23">
      <c r="B27" s="96">
        <f>Amnt_Deposited!B22</f>
        <v>2008</v>
      </c>
      <c r="C27" s="99">
        <f>Amnt_Deposited!F22</f>
        <v>0</v>
      </c>
      <c r="D27" s="417">
        <f>Dry_Matter_Content!G14</f>
        <v>0.56999999999999995</v>
      </c>
      <c r="E27" s="283">
        <f>MCF!R26</f>
        <v>1</v>
      </c>
      <c r="F27" s="67">
        <f t="shared" si="0"/>
        <v>0</v>
      </c>
      <c r="G27" s="67">
        <f t="shared" si="1"/>
        <v>0</v>
      </c>
      <c r="H27" s="67">
        <f t="shared" si="2"/>
        <v>0</v>
      </c>
      <c r="I27" s="67">
        <f t="shared" si="3"/>
        <v>0</v>
      </c>
      <c r="J27" s="67">
        <f t="shared" si="4"/>
        <v>0</v>
      </c>
      <c r="K27" s="100">
        <f t="shared" si="6"/>
        <v>0</v>
      </c>
      <c r="N27" s="257"/>
      <c r="O27" s="96">
        <f>Amnt_Deposited!B22</f>
        <v>2008</v>
      </c>
      <c r="P27" s="99">
        <f>Amnt_Deposited!G22</f>
        <v>3.4899364100700003</v>
      </c>
      <c r="Q27" s="283">
        <f>MCF!R26</f>
        <v>1</v>
      </c>
      <c r="R27" s="67">
        <f t="shared" si="5"/>
        <v>0.75033632816505003</v>
      </c>
      <c r="S27" s="67">
        <f t="shared" si="7"/>
        <v>0.75033632816505003</v>
      </c>
      <c r="T27" s="67">
        <f t="shared" si="8"/>
        <v>0</v>
      </c>
      <c r="U27" s="67">
        <f t="shared" si="9"/>
        <v>5.295565054888133</v>
      </c>
      <c r="V27" s="67">
        <f t="shared" si="10"/>
        <v>0.1618997236735587</v>
      </c>
      <c r="W27" s="100">
        <f t="shared" si="11"/>
        <v>0.1079331491157058</v>
      </c>
    </row>
    <row r="28" spans="2:23">
      <c r="B28" s="96">
        <f>Amnt_Deposited!B23</f>
        <v>2009</v>
      </c>
      <c r="C28" s="99">
        <f>Amnt_Deposited!F23</f>
        <v>0</v>
      </c>
      <c r="D28" s="417">
        <f>Dry_Matter_Content!G15</f>
        <v>0.56999999999999995</v>
      </c>
      <c r="E28" s="283">
        <f>MCF!R27</f>
        <v>1</v>
      </c>
      <c r="F28" s="67">
        <f t="shared" si="0"/>
        <v>0</v>
      </c>
      <c r="G28" s="67">
        <f t="shared" si="1"/>
        <v>0</v>
      </c>
      <c r="H28" s="67">
        <f t="shared" si="2"/>
        <v>0</v>
      </c>
      <c r="I28" s="67">
        <f t="shared" si="3"/>
        <v>0</v>
      </c>
      <c r="J28" s="67">
        <f t="shared" si="4"/>
        <v>0</v>
      </c>
      <c r="K28" s="100">
        <f t="shared" si="6"/>
        <v>0</v>
      </c>
      <c r="N28" s="257"/>
      <c r="O28" s="96">
        <f>Amnt_Deposited!B23</f>
        <v>2009</v>
      </c>
      <c r="P28" s="99">
        <f>Amnt_Deposited!G23</f>
        <v>3.556077319476</v>
      </c>
      <c r="Q28" s="283">
        <f>MCF!R27</f>
        <v>1</v>
      </c>
      <c r="R28" s="67">
        <f t="shared" si="5"/>
        <v>0.76455662368734001</v>
      </c>
      <c r="S28" s="67">
        <f t="shared" si="7"/>
        <v>0.76455662368734001</v>
      </c>
      <c r="T28" s="67">
        <f t="shared" si="8"/>
        <v>0</v>
      </c>
      <c r="U28" s="67">
        <f t="shared" si="9"/>
        <v>5.8779829228316185</v>
      </c>
      <c r="V28" s="67">
        <f t="shared" si="10"/>
        <v>0.18213875574385455</v>
      </c>
      <c r="W28" s="100">
        <f t="shared" si="11"/>
        <v>0.12142583716256969</v>
      </c>
    </row>
    <row r="29" spans="2:23">
      <c r="B29" s="96">
        <f>Amnt_Deposited!B24</f>
        <v>2010</v>
      </c>
      <c r="C29" s="99">
        <f>Amnt_Deposited!F24</f>
        <v>0</v>
      </c>
      <c r="D29" s="417">
        <f>Dry_Matter_Content!G16</f>
        <v>0.56999999999999995</v>
      </c>
      <c r="E29" s="283">
        <f>MCF!R28</f>
        <v>1</v>
      </c>
      <c r="F29" s="67">
        <f t="shared" si="0"/>
        <v>0</v>
      </c>
      <c r="G29" s="67">
        <f t="shared" si="1"/>
        <v>0</v>
      </c>
      <c r="H29" s="67">
        <f t="shared" si="2"/>
        <v>0</v>
      </c>
      <c r="I29" s="67">
        <f t="shared" si="3"/>
        <v>0</v>
      </c>
      <c r="J29" s="67">
        <f t="shared" si="4"/>
        <v>0</v>
      </c>
      <c r="K29" s="100">
        <f t="shared" si="6"/>
        <v>0</v>
      </c>
      <c r="O29" s="96">
        <f>Amnt_Deposited!B24</f>
        <v>2010</v>
      </c>
      <c r="P29" s="99">
        <f>Amnt_Deposited!G24</f>
        <v>3.8387407229820005</v>
      </c>
      <c r="Q29" s="283">
        <f>MCF!R28</f>
        <v>1</v>
      </c>
      <c r="R29" s="67">
        <f t="shared" si="5"/>
        <v>0.82532925544113012</v>
      </c>
      <c r="S29" s="67">
        <f t="shared" si="7"/>
        <v>0.82532925544113012</v>
      </c>
      <c r="T29" s="67">
        <f t="shared" si="8"/>
        <v>0</v>
      </c>
      <c r="U29" s="67">
        <f t="shared" si="9"/>
        <v>6.501141402396823</v>
      </c>
      <c r="V29" s="67">
        <f t="shared" si="10"/>
        <v>0.20217077587592636</v>
      </c>
      <c r="W29" s="100">
        <f t="shared" si="11"/>
        <v>0.13478051725061757</v>
      </c>
    </row>
    <row r="30" spans="2:23">
      <c r="B30" s="96">
        <f>Amnt_Deposited!B25</f>
        <v>2011</v>
      </c>
      <c r="C30" s="99">
        <f>Amnt_Deposited!F25</f>
        <v>0</v>
      </c>
      <c r="D30" s="417">
        <f>Dry_Matter_Content!G17</f>
        <v>0.56999999999999995</v>
      </c>
      <c r="E30" s="283">
        <f>MCF!R29</f>
        <v>1</v>
      </c>
      <c r="F30" s="67">
        <f t="shared" si="0"/>
        <v>0</v>
      </c>
      <c r="G30" s="67">
        <f t="shared" si="1"/>
        <v>0</v>
      </c>
      <c r="H30" s="67">
        <f t="shared" si="2"/>
        <v>0</v>
      </c>
      <c r="I30" s="67">
        <f t="shared" si="3"/>
        <v>0</v>
      </c>
      <c r="J30" s="67">
        <f t="shared" si="4"/>
        <v>0</v>
      </c>
      <c r="K30" s="100">
        <f t="shared" si="6"/>
        <v>0</v>
      </c>
      <c r="O30" s="96">
        <f>Amnt_Deposited!B25</f>
        <v>2011</v>
      </c>
      <c r="P30" s="99">
        <f>Amnt_Deposited!G25</f>
        <v>3.9392911530719998</v>
      </c>
      <c r="Q30" s="283">
        <f>MCF!R29</f>
        <v>1</v>
      </c>
      <c r="R30" s="67">
        <f t="shared" si="5"/>
        <v>0.84694759791047991</v>
      </c>
      <c r="S30" s="67">
        <f t="shared" si="7"/>
        <v>0.84694759791047991</v>
      </c>
      <c r="T30" s="67">
        <f t="shared" si="8"/>
        <v>0</v>
      </c>
      <c r="U30" s="67">
        <f t="shared" si="9"/>
        <v>7.1244849479211645</v>
      </c>
      <c r="V30" s="67">
        <f t="shared" si="10"/>
        <v>0.22360405238613934</v>
      </c>
      <c r="W30" s="100">
        <f t="shared" si="11"/>
        <v>0.14906936825742623</v>
      </c>
    </row>
    <row r="31" spans="2:23">
      <c r="B31" s="96">
        <f>Amnt_Deposited!B26</f>
        <v>2012</v>
      </c>
      <c r="C31" s="99">
        <f>Amnt_Deposited!F26</f>
        <v>0</v>
      </c>
      <c r="D31" s="417">
        <f>Dry_Matter_Content!G18</f>
        <v>0.56999999999999995</v>
      </c>
      <c r="E31" s="283">
        <f>MCF!R30</f>
        <v>1</v>
      </c>
      <c r="F31" s="67">
        <f t="shared" si="0"/>
        <v>0</v>
      </c>
      <c r="G31" s="67">
        <f t="shared" si="1"/>
        <v>0</v>
      </c>
      <c r="H31" s="67">
        <f t="shared" si="2"/>
        <v>0</v>
      </c>
      <c r="I31" s="67">
        <f t="shared" si="3"/>
        <v>0</v>
      </c>
      <c r="J31" s="67">
        <f t="shared" si="4"/>
        <v>0</v>
      </c>
      <c r="K31" s="100">
        <f t="shared" si="6"/>
        <v>0</v>
      </c>
      <c r="O31" s="96">
        <f>Amnt_Deposited!B26</f>
        <v>2012</v>
      </c>
      <c r="P31" s="99">
        <f>Amnt_Deposited!G26</f>
        <v>4.0156282409760005</v>
      </c>
      <c r="Q31" s="283">
        <f>MCF!R30</f>
        <v>1</v>
      </c>
      <c r="R31" s="67">
        <f t="shared" si="5"/>
        <v>0.86336007180984009</v>
      </c>
      <c r="S31" s="67">
        <f t="shared" si="7"/>
        <v>0.86336007180984009</v>
      </c>
      <c r="T31" s="67">
        <f t="shared" si="8"/>
        <v>0</v>
      </c>
      <c r="U31" s="67">
        <f t="shared" si="9"/>
        <v>7.7428013255680224</v>
      </c>
      <c r="V31" s="67">
        <f t="shared" si="10"/>
        <v>0.24504369416298175</v>
      </c>
      <c r="W31" s="100">
        <f t="shared" si="11"/>
        <v>0.16336246277532115</v>
      </c>
    </row>
    <row r="32" spans="2:23">
      <c r="B32" s="96">
        <f>Amnt_Deposited!B27</f>
        <v>2013</v>
      </c>
      <c r="C32" s="99">
        <f>Amnt_Deposited!F27</f>
        <v>0</v>
      </c>
      <c r="D32" s="417">
        <f>Dry_Matter_Content!G19</f>
        <v>0.56999999999999995</v>
      </c>
      <c r="E32" s="283">
        <f>MCF!R31</f>
        <v>1</v>
      </c>
      <c r="F32" s="67">
        <f t="shared" si="0"/>
        <v>0</v>
      </c>
      <c r="G32" s="67">
        <f t="shared" si="1"/>
        <v>0</v>
      </c>
      <c r="H32" s="67">
        <f t="shared" si="2"/>
        <v>0</v>
      </c>
      <c r="I32" s="67">
        <f t="shared" si="3"/>
        <v>0</v>
      </c>
      <c r="J32" s="67">
        <f t="shared" si="4"/>
        <v>0</v>
      </c>
      <c r="K32" s="100">
        <f t="shared" si="6"/>
        <v>0</v>
      </c>
      <c r="O32" s="96">
        <f>Amnt_Deposited!B27</f>
        <v>2013</v>
      </c>
      <c r="P32" s="99">
        <f>Amnt_Deposited!G27</f>
        <v>4.0917037118759998</v>
      </c>
      <c r="Q32" s="283">
        <f>MCF!R31</f>
        <v>1</v>
      </c>
      <c r="R32" s="67">
        <f t="shared" si="5"/>
        <v>0.87971629805333995</v>
      </c>
      <c r="S32" s="67">
        <f t="shared" si="7"/>
        <v>0.87971629805333995</v>
      </c>
      <c r="T32" s="67">
        <f t="shared" si="8"/>
        <v>0</v>
      </c>
      <c r="U32" s="67">
        <f t="shared" si="9"/>
        <v>8.3562071950280874</v>
      </c>
      <c r="V32" s="67">
        <f t="shared" si="10"/>
        <v>0.26631042859327475</v>
      </c>
      <c r="W32" s="100">
        <f t="shared" si="11"/>
        <v>0.17754028572884983</v>
      </c>
    </row>
    <row r="33" spans="2:23">
      <c r="B33" s="96">
        <f>Amnt_Deposited!B28</f>
        <v>2014</v>
      </c>
      <c r="C33" s="99">
        <f>Amnt_Deposited!F28</f>
        <v>0</v>
      </c>
      <c r="D33" s="417">
        <f>Dry_Matter_Content!G20</f>
        <v>0.56999999999999995</v>
      </c>
      <c r="E33" s="283">
        <f>MCF!R32</f>
        <v>1</v>
      </c>
      <c r="F33" s="67">
        <f t="shared" si="0"/>
        <v>0</v>
      </c>
      <c r="G33" s="67">
        <f t="shared" si="1"/>
        <v>0</v>
      </c>
      <c r="H33" s="67">
        <f t="shared" si="2"/>
        <v>0</v>
      </c>
      <c r="I33" s="67">
        <f t="shared" si="3"/>
        <v>0</v>
      </c>
      <c r="J33" s="67">
        <f t="shared" si="4"/>
        <v>0</v>
      </c>
      <c r="K33" s="100">
        <f t="shared" si="6"/>
        <v>0</v>
      </c>
      <c r="O33" s="96">
        <f>Amnt_Deposited!B28</f>
        <v>2014</v>
      </c>
      <c r="P33" s="99">
        <f>Amnt_Deposited!G28</f>
        <v>4.1658790171679998</v>
      </c>
      <c r="Q33" s="283">
        <f>MCF!R32</f>
        <v>1</v>
      </c>
      <c r="R33" s="67">
        <f t="shared" si="5"/>
        <v>0.89566398869111996</v>
      </c>
      <c r="S33" s="67">
        <f t="shared" si="7"/>
        <v>0.89566398869111996</v>
      </c>
      <c r="T33" s="67">
        <f t="shared" si="8"/>
        <v>0</v>
      </c>
      <c r="U33" s="67">
        <f t="shared" si="9"/>
        <v>8.9644629155806896</v>
      </c>
      <c r="V33" s="67">
        <f t="shared" si="10"/>
        <v>0.28740826813851922</v>
      </c>
      <c r="W33" s="100">
        <f t="shared" si="11"/>
        <v>0.19160551209234614</v>
      </c>
    </row>
    <row r="34" spans="2:23">
      <c r="B34" s="96">
        <f>Amnt_Deposited!B29</f>
        <v>2015</v>
      </c>
      <c r="C34" s="99">
        <f>Amnt_Deposited!F29</f>
        <v>0</v>
      </c>
      <c r="D34" s="417">
        <f>Dry_Matter_Content!G21</f>
        <v>0.56999999999999995</v>
      </c>
      <c r="E34" s="283">
        <f>MCF!R33</f>
        <v>1</v>
      </c>
      <c r="F34" s="67">
        <f t="shared" si="0"/>
        <v>0</v>
      </c>
      <c r="G34" s="67">
        <f t="shared" si="1"/>
        <v>0</v>
      </c>
      <c r="H34" s="67">
        <f t="shared" si="2"/>
        <v>0</v>
      </c>
      <c r="I34" s="67">
        <f t="shared" si="3"/>
        <v>0</v>
      </c>
      <c r="J34" s="67">
        <f t="shared" si="4"/>
        <v>0</v>
      </c>
      <c r="K34" s="100">
        <f t="shared" si="6"/>
        <v>0</v>
      </c>
      <c r="O34" s="96">
        <f>Amnt_Deposited!B29</f>
        <v>2015</v>
      </c>
      <c r="P34" s="99">
        <f>Amnt_Deposited!G29</f>
        <v>4.2380164636919995</v>
      </c>
      <c r="Q34" s="283">
        <f>MCF!R33</f>
        <v>1</v>
      </c>
      <c r="R34" s="67">
        <f t="shared" si="5"/>
        <v>0.9111735396937799</v>
      </c>
      <c r="S34" s="67">
        <f t="shared" si="7"/>
        <v>0.9111735396937799</v>
      </c>
      <c r="T34" s="67">
        <f t="shared" si="8"/>
        <v>0</v>
      </c>
      <c r="U34" s="67">
        <f t="shared" si="9"/>
        <v>9.5673074848185884</v>
      </c>
      <c r="V34" s="67">
        <f t="shared" si="10"/>
        <v>0.30832897045587992</v>
      </c>
      <c r="W34" s="100">
        <f t="shared" si="11"/>
        <v>0.20555264697058662</v>
      </c>
    </row>
    <row r="35" spans="2:23">
      <c r="B35" s="96">
        <f>Amnt_Deposited!B30</f>
        <v>2016</v>
      </c>
      <c r="C35" s="99">
        <f>Amnt_Deposited!F30</f>
        <v>0</v>
      </c>
      <c r="D35" s="417">
        <f>Dry_Matter_Content!G22</f>
        <v>0.56999999999999995</v>
      </c>
      <c r="E35" s="283">
        <f>MCF!R34</f>
        <v>1</v>
      </c>
      <c r="F35" s="67">
        <f t="shared" si="0"/>
        <v>0</v>
      </c>
      <c r="G35" s="67">
        <f t="shared" si="1"/>
        <v>0</v>
      </c>
      <c r="H35" s="67">
        <f t="shared" si="2"/>
        <v>0</v>
      </c>
      <c r="I35" s="67">
        <f t="shared" si="3"/>
        <v>0</v>
      </c>
      <c r="J35" s="67">
        <f t="shared" si="4"/>
        <v>0</v>
      </c>
      <c r="K35" s="100">
        <f t="shared" si="6"/>
        <v>0</v>
      </c>
      <c r="O35" s="96">
        <f>Amnt_Deposited!B30</f>
        <v>2016</v>
      </c>
      <c r="P35" s="99">
        <f>Amnt_Deposited!G30</f>
        <v>4.3095755989439999</v>
      </c>
      <c r="Q35" s="283">
        <f>MCF!R34</f>
        <v>1</v>
      </c>
      <c r="R35" s="67">
        <f t="shared" si="5"/>
        <v>0.92655875377295993</v>
      </c>
      <c r="S35" s="67">
        <f t="shared" si="7"/>
        <v>0.92655875377295993</v>
      </c>
      <c r="T35" s="67">
        <f t="shared" si="8"/>
        <v>0</v>
      </c>
      <c r="U35" s="67">
        <f t="shared" si="9"/>
        <v>10.164802680115345</v>
      </c>
      <c r="V35" s="67">
        <f t="shared" si="10"/>
        <v>0.32906355847620411</v>
      </c>
      <c r="W35" s="100">
        <f t="shared" si="11"/>
        <v>0.21937570565080272</v>
      </c>
    </row>
    <row r="36" spans="2:23">
      <c r="B36" s="96">
        <f>Amnt_Deposited!B31</f>
        <v>2017</v>
      </c>
      <c r="C36" s="99">
        <f>Amnt_Deposited!F31</f>
        <v>0</v>
      </c>
      <c r="D36" s="417">
        <f>Dry_Matter_Content!G23</f>
        <v>0.56999999999999995</v>
      </c>
      <c r="E36" s="283">
        <f>MCF!R35</f>
        <v>1</v>
      </c>
      <c r="F36" s="67">
        <f t="shared" si="0"/>
        <v>0</v>
      </c>
      <c r="G36" s="67">
        <f t="shared" si="1"/>
        <v>0</v>
      </c>
      <c r="H36" s="67">
        <f t="shared" si="2"/>
        <v>0</v>
      </c>
      <c r="I36" s="67">
        <f t="shared" si="3"/>
        <v>0</v>
      </c>
      <c r="J36" s="67">
        <f t="shared" si="4"/>
        <v>0</v>
      </c>
      <c r="K36" s="100">
        <f t="shared" si="6"/>
        <v>0</v>
      </c>
      <c r="O36" s="96">
        <f>Amnt_Deposited!B31</f>
        <v>2017</v>
      </c>
      <c r="P36" s="99">
        <f>Amnt_Deposited!G31</f>
        <v>4.3059280355654312</v>
      </c>
      <c r="Q36" s="283">
        <f>MCF!R35</f>
        <v>1</v>
      </c>
      <c r="R36" s="67">
        <f t="shared" si="5"/>
        <v>0.92577452764656776</v>
      </c>
      <c r="S36" s="67">
        <f t="shared" si="7"/>
        <v>0.92577452764656776</v>
      </c>
      <c r="T36" s="67">
        <f t="shared" si="8"/>
        <v>0</v>
      </c>
      <c r="U36" s="67">
        <f t="shared" si="9"/>
        <v>10.740963050755372</v>
      </c>
      <c r="V36" s="67">
        <f t="shared" si="10"/>
        <v>0.34961415700654008</v>
      </c>
      <c r="W36" s="100">
        <f t="shared" si="11"/>
        <v>0.23307610467102671</v>
      </c>
    </row>
    <row r="37" spans="2:23">
      <c r="B37" s="96">
        <f>Amnt_Deposited!B32</f>
        <v>2018</v>
      </c>
      <c r="C37" s="99">
        <f>Amnt_Deposited!F32</f>
        <v>0</v>
      </c>
      <c r="D37" s="417">
        <f>Dry_Matter_Content!G24</f>
        <v>0.56999999999999995</v>
      </c>
      <c r="E37" s="283">
        <f>MCF!R36</f>
        <v>1</v>
      </c>
      <c r="F37" s="67">
        <f t="shared" si="0"/>
        <v>0</v>
      </c>
      <c r="G37" s="67">
        <f t="shared" si="1"/>
        <v>0</v>
      </c>
      <c r="H37" s="67">
        <f t="shared" si="2"/>
        <v>0</v>
      </c>
      <c r="I37" s="67">
        <f t="shared" si="3"/>
        <v>0</v>
      </c>
      <c r="J37" s="67">
        <f t="shared" si="4"/>
        <v>0</v>
      </c>
      <c r="K37" s="100">
        <f t="shared" si="6"/>
        <v>0</v>
      </c>
      <c r="O37" s="96">
        <f>Amnt_Deposited!B32</f>
        <v>2018</v>
      </c>
      <c r="P37" s="99">
        <f>Amnt_Deposited!G32</f>
        <v>4.504543593173497</v>
      </c>
      <c r="Q37" s="283">
        <f>MCF!R36</f>
        <v>1</v>
      </c>
      <c r="R37" s="67">
        <f t="shared" si="5"/>
        <v>0.96847687253230186</v>
      </c>
      <c r="S37" s="67">
        <f t="shared" si="7"/>
        <v>0.96847687253230186</v>
      </c>
      <c r="T37" s="67">
        <f t="shared" si="8"/>
        <v>0</v>
      </c>
      <c r="U37" s="67">
        <f t="shared" si="9"/>
        <v>11.340008970164083</v>
      </c>
      <c r="V37" s="67">
        <f t="shared" si="10"/>
        <v>0.36943095312359003</v>
      </c>
      <c r="W37" s="100">
        <f t="shared" si="11"/>
        <v>0.24628730208239336</v>
      </c>
    </row>
    <row r="38" spans="2:23">
      <c r="B38" s="96">
        <f>Amnt_Deposited!B33</f>
        <v>2019</v>
      </c>
      <c r="C38" s="99">
        <f>Amnt_Deposited!F33</f>
        <v>0</v>
      </c>
      <c r="D38" s="417">
        <f>Dry_Matter_Content!G25</f>
        <v>0.56999999999999995</v>
      </c>
      <c r="E38" s="283">
        <f>MCF!R37</f>
        <v>1</v>
      </c>
      <c r="F38" s="67">
        <f t="shared" si="0"/>
        <v>0</v>
      </c>
      <c r="G38" s="67">
        <f t="shared" si="1"/>
        <v>0</v>
      </c>
      <c r="H38" s="67">
        <f t="shared" si="2"/>
        <v>0</v>
      </c>
      <c r="I38" s="67">
        <f t="shared" si="3"/>
        <v>0</v>
      </c>
      <c r="J38" s="67">
        <f t="shared" si="4"/>
        <v>0</v>
      </c>
      <c r="K38" s="100">
        <f t="shared" si="6"/>
        <v>0</v>
      </c>
      <c r="O38" s="96">
        <f>Amnt_Deposited!B33</f>
        <v>2019</v>
      </c>
      <c r="P38" s="99">
        <f>Amnt_Deposited!G33</f>
        <v>4.7091793515247815</v>
      </c>
      <c r="Q38" s="283">
        <f>MCF!R37</f>
        <v>1</v>
      </c>
      <c r="R38" s="67">
        <f t="shared" si="5"/>
        <v>1.0124735605778281</v>
      </c>
      <c r="S38" s="67">
        <f t="shared" si="7"/>
        <v>1.0124735605778281</v>
      </c>
      <c r="T38" s="67">
        <f t="shared" si="8"/>
        <v>0</v>
      </c>
      <c r="U38" s="67">
        <f t="shared" si="9"/>
        <v>11.962447642577654</v>
      </c>
      <c r="V38" s="67">
        <f t="shared" si="10"/>
        <v>0.39003488816425608</v>
      </c>
      <c r="W38" s="100">
        <f t="shared" si="11"/>
        <v>0.26002325877617072</v>
      </c>
    </row>
    <row r="39" spans="2:23">
      <c r="B39" s="96">
        <f>Amnt_Deposited!B34</f>
        <v>2020</v>
      </c>
      <c r="C39" s="99">
        <f>Amnt_Deposited!F34</f>
        <v>0</v>
      </c>
      <c r="D39" s="417">
        <f>Dry_Matter_Content!G26</f>
        <v>0.56999999999999995</v>
      </c>
      <c r="E39" s="283">
        <f>MCF!R38</f>
        <v>1</v>
      </c>
      <c r="F39" s="67">
        <f t="shared" si="0"/>
        <v>0</v>
      </c>
      <c r="G39" s="67">
        <f t="shared" si="1"/>
        <v>0</v>
      </c>
      <c r="H39" s="67">
        <f t="shared" si="2"/>
        <v>0</v>
      </c>
      <c r="I39" s="67">
        <f t="shared" si="3"/>
        <v>0</v>
      </c>
      <c r="J39" s="67">
        <f t="shared" si="4"/>
        <v>0</v>
      </c>
      <c r="K39" s="100">
        <f t="shared" si="6"/>
        <v>0</v>
      </c>
      <c r="O39" s="96">
        <f>Amnt_Deposited!B34</f>
        <v>2020</v>
      </c>
      <c r="P39" s="99">
        <f>Amnt_Deposited!G34</f>
        <v>4.9199016919621856</v>
      </c>
      <c r="Q39" s="283">
        <f>MCF!R38</f>
        <v>1</v>
      </c>
      <c r="R39" s="67">
        <f t="shared" si="5"/>
        <v>1.0577788637718699</v>
      </c>
      <c r="S39" s="67">
        <f t="shared" si="7"/>
        <v>1.0577788637718699</v>
      </c>
      <c r="T39" s="67">
        <f t="shared" si="8"/>
        <v>0</v>
      </c>
      <c r="U39" s="67">
        <f t="shared" si="9"/>
        <v>12.608783099142411</v>
      </c>
      <c r="V39" s="67">
        <f t="shared" si="10"/>
        <v>0.41144340720711381</v>
      </c>
      <c r="W39" s="100">
        <f t="shared" si="11"/>
        <v>0.27429560480474252</v>
      </c>
    </row>
    <row r="40" spans="2:23">
      <c r="B40" s="96">
        <f>Amnt_Deposited!B35</f>
        <v>2021</v>
      </c>
      <c r="C40" s="99">
        <f>Amnt_Deposited!F35</f>
        <v>0</v>
      </c>
      <c r="D40" s="417">
        <f>Dry_Matter_Content!G27</f>
        <v>0.56999999999999995</v>
      </c>
      <c r="E40" s="283">
        <f>MCF!R39</f>
        <v>1</v>
      </c>
      <c r="F40" s="67">
        <f t="shared" si="0"/>
        <v>0</v>
      </c>
      <c r="G40" s="67">
        <f t="shared" si="1"/>
        <v>0</v>
      </c>
      <c r="H40" s="67">
        <f t="shared" si="2"/>
        <v>0</v>
      </c>
      <c r="I40" s="67">
        <f t="shared" si="3"/>
        <v>0</v>
      </c>
      <c r="J40" s="67">
        <f t="shared" si="4"/>
        <v>0</v>
      </c>
      <c r="K40" s="100">
        <f t="shared" si="6"/>
        <v>0</v>
      </c>
      <c r="O40" s="96">
        <f>Amnt_Deposited!B35</f>
        <v>2021</v>
      </c>
      <c r="P40" s="99">
        <f>Amnt_Deposited!G35</f>
        <v>5.1367671648312507</v>
      </c>
      <c r="Q40" s="283">
        <f>MCF!R39</f>
        <v>1</v>
      </c>
      <c r="R40" s="67">
        <f t="shared" si="5"/>
        <v>1.1044049404387188</v>
      </c>
      <c r="S40" s="67">
        <f t="shared" si="7"/>
        <v>1.1044049404387188</v>
      </c>
      <c r="T40" s="67">
        <f t="shared" si="8"/>
        <v>0</v>
      </c>
      <c r="U40" s="67">
        <f t="shared" si="9"/>
        <v>13.279514193387495</v>
      </c>
      <c r="V40" s="67">
        <f t="shared" si="10"/>
        <v>0.4336738461936343</v>
      </c>
      <c r="W40" s="100">
        <f t="shared" si="11"/>
        <v>0.28911589746242283</v>
      </c>
    </row>
    <row r="41" spans="2:23">
      <c r="B41" s="96">
        <f>Amnt_Deposited!B36</f>
        <v>2022</v>
      </c>
      <c r="C41" s="99">
        <f>Amnt_Deposited!F36</f>
        <v>0</v>
      </c>
      <c r="D41" s="417">
        <f>Dry_Matter_Content!G28</f>
        <v>0.56999999999999995</v>
      </c>
      <c r="E41" s="283">
        <f>MCF!R40</f>
        <v>1</v>
      </c>
      <c r="F41" s="67">
        <f t="shared" si="0"/>
        <v>0</v>
      </c>
      <c r="G41" s="67">
        <f t="shared" si="1"/>
        <v>0</v>
      </c>
      <c r="H41" s="67">
        <f t="shared" si="2"/>
        <v>0</v>
      </c>
      <c r="I41" s="67">
        <f t="shared" si="3"/>
        <v>0</v>
      </c>
      <c r="J41" s="67">
        <f t="shared" si="4"/>
        <v>0</v>
      </c>
      <c r="K41" s="100">
        <f t="shared" si="6"/>
        <v>0</v>
      </c>
      <c r="O41" s="96">
        <f>Amnt_Deposited!B36</f>
        <v>2022</v>
      </c>
      <c r="P41" s="99">
        <f>Amnt_Deposited!G36</f>
        <v>5.3598211810493748</v>
      </c>
      <c r="Q41" s="283">
        <f>MCF!R40</f>
        <v>1</v>
      </c>
      <c r="R41" s="67">
        <f t="shared" si="5"/>
        <v>1.1523615539256156</v>
      </c>
      <c r="S41" s="67">
        <f t="shared" si="7"/>
        <v>1.1523615539256156</v>
      </c>
      <c r="T41" s="67">
        <f t="shared" si="8"/>
        <v>0</v>
      </c>
      <c r="U41" s="67">
        <f t="shared" si="9"/>
        <v>13.975132384329809</v>
      </c>
      <c r="V41" s="67">
        <f t="shared" si="10"/>
        <v>0.45674336298330098</v>
      </c>
      <c r="W41" s="100">
        <f t="shared" si="11"/>
        <v>0.30449557532220062</v>
      </c>
    </row>
    <row r="42" spans="2:23">
      <c r="B42" s="96">
        <f>Amnt_Deposited!B37</f>
        <v>2023</v>
      </c>
      <c r="C42" s="99">
        <f>Amnt_Deposited!F37</f>
        <v>0</v>
      </c>
      <c r="D42" s="417">
        <f>Dry_Matter_Content!G29</f>
        <v>0.56999999999999995</v>
      </c>
      <c r="E42" s="283">
        <f>MCF!R41</f>
        <v>1</v>
      </c>
      <c r="F42" s="67">
        <f t="shared" si="0"/>
        <v>0</v>
      </c>
      <c r="G42" s="67">
        <f t="shared" si="1"/>
        <v>0</v>
      </c>
      <c r="H42" s="67">
        <f t="shared" si="2"/>
        <v>0</v>
      </c>
      <c r="I42" s="67">
        <f t="shared" si="3"/>
        <v>0</v>
      </c>
      <c r="J42" s="67">
        <f t="shared" si="4"/>
        <v>0</v>
      </c>
      <c r="K42" s="100">
        <f t="shared" si="6"/>
        <v>0</v>
      </c>
      <c r="O42" s="96">
        <f>Amnt_Deposited!B37</f>
        <v>2023</v>
      </c>
      <c r="P42" s="99">
        <f>Amnt_Deposited!G37</f>
        <v>5.5890965813797422</v>
      </c>
      <c r="Q42" s="283">
        <f>MCF!R41</f>
        <v>1</v>
      </c>
      <c r="R42" s="67">
        <f t="shared" si="5"/>
        <v>1.2016557649966446</v>
      </c>
      <c r="S42" s="67">
        <f t="shared" si="7"/>
        <v>1.2016557649966446</v>
      </c>
      <c r="T42" s="67">
        <f t="shared" si="8"/>
        <v>0</v>
      </c>
      <c r="U42" s="67">
        <f t="shared" si="9"/>
        <v>14.696119288222027</v>
      </c>
      <c r="V42" s="67">
        <f t="shared" si="10"/>
        <v>0.48066886110442647</v>
      </c>
      <c r="W42" s="100">
        <f t="shared" si="11"/>
        <v>0.32044590740295098</v>
      </c>
    </row>
    <row r="43" spans="2:23">
      <c r="B43" s="96">
        <f>Amnt_Deposited!B38</f>
        <v>2024</v>
      </c>
      <c r="C43" s="99">
        <f>Amnt_Deposited!F38</f>
        <v>0</v>
      </c>
      <c r="D43" s="417">
        <f>Dry_Matter_Content!G30</f>
        <v>0.56999999999999995</v>
      </c>
      <c r="E43" s="283">
        <f>MCF!R42</f>
        <v>1</v>
      </c>
      <c r="F43" s="67">
        <f t="shared" si="0"/>
        <v>0</v>
      </c>
      <c r="G43" s="67">
        <f t="shared" si="1"/>
        <v>0</v>
      </c>
      <c r="H43" s="67">
        <f t="shared" si="2"/>
        <v>0</v>
      </c>
      <c r="I43" s="67">
        <f t="shared" si="3"/>
        <v>0</v>
      </c>
      <c r="J43" s="67">
        <f t="shared" si="4"/>
        <v>0</v>
      </c>
      <c r="K43" s="100">
        <f t="shared" si="6"/>
        <v>0</v>
      </c>
      <c r="O43" s="96">
        <f>Amnt_Deposited!B38</f>
        <v>2024</v>
      </c>
      <c r="P43" s="99">
        <f>Amnt_Deposited!G38</f>
        <v>5.8246120730485886</v>
      </c>
      <c r="Q43" s="283">
        <f>MCF!R42</f>
        <v>1</v>
      </c>
      <c r="R43" s="67">
        <f t="shared" si="5"/>
        <v>1.2522915957054466</v>
      </c>
      <c r="S43" s="67">
        <f t="shared" si="7"/>
        <v>1.2522915957054466</v>
      </c>
      <c r="T43" s="67">
        <f t="shared" si="8"/>
        <v>0</v>
      </c>
      <c r="U43" s="67">
        <f t="shared" si="9"/>
        <v>15.44294397837993</v>
      </c>
      <c r="V43" s="67">
        <f t="shared" si="10"/>
        <v>0.50546690554754525</v>
      </c>
      <c r="W43" s="100">
        <f t="shared" si="11"/>
        <v>0.33697793703169682</v>
      </c>
    </row>
    <row r="44" spans="2:23">
      <c r="B44" s="96">
        <f>Amnt_Deposited!B39</f>
        <v>2025</v>
      </c>
      <c r="C44" s="99">
        <f>Amnt_Deposited!F39</f>
        <v>0</v>
      </c>
      <c r="D44" s="417">
        <f>Dry_Matter_Content!G31</f>
        <v>0.56999999999999995</v>
      </c>
      <c r="E44" s="283">
        <f>MCF!R43</f>
        <v>1</v>
      </c>
      <c r="F44" s="67">
        <f t="shared" si="0"/>
        <v>0</v>
      </c>
      <c r="G44" s="67">
        <f t="shared" si="1"/>
        <v>0</v>
      </c>
      <c r="H44" s="67">
        <f t="shared" si="2"/>
        <v>0</v>
      </c>
      <c r="I44" s="67">
        <f t="shared" si="3"/>
        <v>0</v>
      </c>
      <c r="J44" s="67">
        <f t="shared" si="4"/>
        <v>0</v>
      </c>
      <c r="K44" s="100">
        <f t="shared" si="6"/>
        <v>0</v>
      </c>
      <c r="O44" s="96">
        <f>Amnt_Deposited!B39</f>
        <v>2025</v>
      </c>
      <c r="P44" s="99">
        <f>Amnt_Deposited!G39</f>
        <v>6.0663705224993452</v>
      </c>
      <c r="Q44" s="283">
        <f>MCF!R43</f>
        <v>1</v>
      </c>
      <c r="R44" s="67">
        <f t="shared" si="5"/>
        <v>1.3042696623373591</v>
      </c>
      <c r="S44" s="67">
        <f t="shared" si="7"/>
        <v>1.3042696623373591</v>
      </c>
      <c r="T44" s="67">
        <f t="shared" si="8"/>
        <v>0</v>
      </c>
      <c r="U44" s="67">
        <f t="shared" si="9"/>
        <v>16.216060010823192</v>
      </c>
      <c r="V44" s="67">
        <f t="shared" si="10"/>
        <v>0.5311536298940982</v>
      </c>
      <c r="W44" s="100">
        <f t="shared" si="11"/>
        <v>0.35410241992939878</v>
      </c>
    </row>
    <row r="45" spans="2:23">
      <c r="B45" s="96">
        <f>Amnt_Deposited!B40</f>
        <v>2026</v>
      </c>
      <c r="C45" s="99">
        <f>Amnt_Deposited!F40</f>
        <v>0</v>
      </c>
      <c r="D45" s="417">
        <f>Dry_Matter_Content!G32</f>
        <v>0.56999999999999995</v>
      </c>
      <c r="E45" s="283">
        <f>MCF!R44</f>
        <v>1</v>
      </c>
      <c r="F45" s="67">
        <f t="shared" si="0"/>
        <v>0</v>
      </c>
      <c r="G45" s="67">
        <f t="shared" si="1"/>
        <v>0</v>
      </c>
      <c r="H45" s="67">
        <f t="shared" si="2"/>
        <v>0</v>
      </c>
      <c r="I45" s="67">
        <f t="shared" si="3"/>
        <v>0</v>
      </c>
      <c r="J45" s="67">
        <f t="shared" si="4"/>
        <v>0</v>
      </c>
      <c r="K45" s="100">
        <f t="shared" si="6"/>
        <v>0</v>
      </c>
      <c r="O45" s="96">
        <f>Amnt_Deposited!B40</f>
        <v>2026</v>
      </c>
      <c r="P45" s="99">
        <f>Amnt_Deposited!G40</f>
        <v>6.3143570921644079</v>
      </c>
      <c r="Q45" s="283">
        <f>MCF!R44</f>
        <v>1</v>
      </c>
      <c r="R45" s="67">
        <f t="shared" si="5"/>
        <v>1.3575867748153476</v>
      </c>
      <c r="S45" s="67">
        <f t="shared" si="7"/>
        <v>1.3575867748153476</v>
      </c>
      <c r="T45" s="67">
        <f t="shared" si="8"/>
        <v>0</v>
      </c>
      <c r="U45" s="67">
        <f t="shared" si="9"/>
        <v>17.015902151623955</v>
      </c>
      <c r="V45" s="67">
        <f t="shared" si="10"/>
        <v>0.55774463401458596</v>
      </c>
      <c r="W45" s="100">
        <f t="shared" si="11"/>
        <v>0.37182975600972396</v>
      </c>
    </row>
    <row r="46" spans="2:23">
      <c r="B46" s="96">
        <f>Amnt_Deposited!B41</f>
        <v>2027</v>
      </c>
      <c r="C46" s="99">
        <f>Amnt_Deposited!F41</f>
        <v>0</v>
      </c>
      <c r="D46" s="417">
        <f>Dry_Matter_Content!G33</f>
        <v>0.56999999999999995</v>
      </c>
      <c r="E46" s="283">
        <f>MCF!R45</f>
        <v>1</v>
      </c>
      <c r="F46" s="67">
        <f t="shared" si="0"/>
        <v>0</v>
      </c>
      <c r="G46" s="67">
        <f t="shared" si="1"/>
        <v>0</v>
      </c>
      <c r="H46" s="67">
        <f t="shared" si="2"/>
        <v>0</v>
      </c>
      <c r="I46" s="67">
        <f t="shared" si="3"/>
        <v>0</v>
      </c>
      <c r="J46" s="67">
        <f t="shared" si="4"/>
        <v>0</v>
      </c>
      <c r="K46" s="100">
        <f t="shared" si="6"/>
        <v>0</v>
      </c>
      <c r="O46" s="96">
        <f>Amnt_Deposited!B41</f>
        <v>2027</v>
      </c>
      <c r="P46" s="99">
        <f>Amnt_Deposited!G41</f>
        <v>6.5685372081494151</v>
      </c>
      <c r="Q46" s="283">
        <f>MCF!R45</f>
        <v>1</v>
      </c>
      <c r="R46" s="67">
        <f t="shared" si="5"/>
        <v>1.4122354997521243</v>
      </c>
      <c r="S46" s="67">
        <f t="shared" si="7"/>
        <v>1.4122354997521243</v>
      </c>
      <c r="T46" s="67">
        <f t="shared" si="8"/>
        <v>0</v>
      </c>
      <c r="U46" s="67">
        <f t="shared" si="9"/>
        <v>17.842882779868994</v>
      </c>
      <c r="V46" s="67">
        <f t="shared" si="10"/>
        <v>0.58525487150708511</v>
      </c>
      <c r="W46" s="100">
        <f t="shared" si="11"/>
        <v>0.3901699143380567</v>
      </c>
    </row>
    <row r="47" spans="2:23">
      <c r="B47" s="96">
        <f>Amnt_Deposited!B42</f>
        <v>2028</v>
      </c>
      <c r="C47" s="99">
        <f>Amnt_Deposited!F42</f>
        <v>0</v>
      </c>
      <c r="D47" s="417">
        <f>Dry_Matter_Content!G34</f>
        <v>0.56999999999999995</v>
      </c>
      <c r="E47" s="283">
        <f>MCF!R46</f>
        <v>1</v>
      </c>
      <c r="F47" s="67">
        <f t="shared" si="0"/>
        <v>0</v>
      </c>
      <c r="G47" s="67">
        <f t="shared" si="1"/>
        <v>0</v>
      </c>
      <c r="H47" s="67">
        <f t="shared" si="2"/>
        <v>0</v>
      </c>
      <c r="I47" s="67">
        <f t="shared" si="3"/>
        <v>0</v>
      </c>
      <c r="J47" s="67">
        <f t="shared" si="4"/>
        <v>0</v>
      </c>
      <c r="K47" s="100">
        <f t="shared" si="6"/>
        <v>0</v>
      </c>
      <c r="O47" s="96">
        <f>Amnt_Deposited!B42</f>
        <v>2028</v>
      </c>
      <c r="P47" s="99">
        <f>Amnt_Deposited!G42</f>
        <v>6.8288543446602015</v>
      </c>
      <c r="Q47" s="283">
        <f>MCF!R46</f>
        <v>1</v>
      </c>
      <c r="R47" s="67">
        <f t="shared" si="5"/>
        <v>1.4682036841019432</v>
      </c>
      <c r="S47" s="67">
        <f t="shared" si="7"/>
        <v>1.4682036841019432</v>
      </c>
      <c r="T47" s="67">
        <f t="shared" si="8"/>
        <v>0</v>
      </c>
      <c r="U47" s="67">
        <f t="shared" si="9"/>
        <v>18.697387937992307</v>
      </c>
      <c r="V47" s="67">
        <f t="shared" si="10"/>
        <v>0.61369852597862939</v>
      </c>
      <c r="W47" s="100">
        <f t="shared" si="11"/>
        <v>0.4091323506524196</v>
      </c>
    </row>
    <row r="48" spans="2:23">
      <c r="B48" s="96">
        <f>Amnt_Deposited!B43</f>
        <v>2029</v>
      </c>
      <c r="C48" s="99">
        <f>Amnt_Deposited!F43</f>
        <v>0</v>
      </c>
      <c r="D48" s="417">
        <f>Dry_Matter_Content!G35</f>
        <v>0.56999999999999995</v>
      </c>
      <c r="E48" s="283">
        <f>MCF!R47</f>
        <v>1</v>
      </c>
      <c r="F48" s="67">
        <f t="shared" si="0"/>
        <v>0</v>
      </c>
      <c r="G48" s="67">
        <f t="shared" si="1"/>
        <v>0</v>
      </c>
      <c r="H48" s="67">
        <f t="shared" si="2"/>
        <v>0</v>
      </c>
      <c r="I48" s="67">
        <f t="shared" si="3"/>
        <v>0</v>
      </c>
      <c r="J48" s="67">
        <f t="shared" si="4"/>
        <v>0</v>
      </c>
      <c r="K48" s="100">
        <f t="shared" si="6"/>
        <v>0</v>
      </c>
      <c r="O48" s="96">
        <f>Amnt_Deposited!B43</f>
        <v>2029</v>
      </c>
      <c r="P48" s="99">
        <f>Amnt_Deposited!G43</f>
        <v>7.0952276098528557</v>
      </c>
      <c r="Q48" s="283">
        <f>MCF!R47</f>
        <v>1</v>
      </c>
      <c r="R48" s="67">
        <f t="shared" si="5"/>
        <v>1.525473936118364</v>
      </c>
      <c r="S48" s="67">
        <f t="shared" si="7"/>
        <v>1.525473936118364</v>
      </c>
      <c r="T48" s="67">
        <f t="shared" si="8"/>
        <v>0</v>
      </c>
      <c r="U48" s="67">
        <f t="shared" si="9"/>
        <v>19.579772998912627</v>
      </c>
      <c r="V48" s="67">
        <f t="shared" si="10"/>
        <v>0.64308887519804314</v>
      </c>
      <c r="W48" s="100">
        <f t="shared" si="11"/>
        <v>0.42872591679869543</v>
      </c>
    </row>
    <row r="49" spans="2:23">
      <c r="B49" s="96">
        <f>Amnt_Deposited!B44</f>
        <v>2030</v>
      </c>
      <c r="C49" s="99">
        <f>Amnt_Deposited!F44</f>
        <v>0</v>
      </c>
      <c r="D49" s="417">
        <f>Dry_Matter_Content!G36</f>
        <v>0.56999999999999995</v>
      </c>
      <c r="E49" s="283">
        <f>MCF!R48</f>
        <v>1</v>
      </c>
      <c r="F49" s="67">
        <f t="shared" si="0"/>
        <v>0</v>
      </c>
      <c r="G49" s="67">
        <f t="shared" si="1"/>
        <v>0</v>
      </c>
      <c r="H49" s="67">
        <f t="shared" si="2"/>
        <v>0</v>
      </c>
      <c r="I49" s="67">
        <f t="shared" si="3"/>
        <v>0</v>
      </c>
      <c r="J49" s="67">
        <f t="shared" si="4"/>
        <v>0</v>
      </c>
      <c r="K49" s="100">
        <f t="shared" si="6"/>
        <v>0</v>
      </c>
      <c r="O49" s="96">
        <f>Amnt_Deposited!B44</f>
        <v>2030</v>
      </c>
      <c r="P49" s="99">
        <f>Amnt_Deposited!G44</f>
        <v>7.3727565120000014</v>
      </c>
      <c r="Q49" s="283">
        <f>MCF!R48</f>
        <v>1</v>
      </c>
      <c r="R49" s="67">
        <f t="shared" si="5"/>
        <v>1.5851426500800003</v>
      </c>
      <c r="S49" s="67">
        <f t="shared" si="7"/>
        <v>1.5851426500800003</v>
      </c>
      <c r="T49" s="67">
        <f t="shared" si="8"/>
        <v>0</v>
      </c>
      <c r="U49" s="67">
        <f t="shared" si="9"/>
        <v>20.49147750692369</v>
      </c>
      <c r="V49" s="67">
        <f t="shared" si="10"/>
        <v>0.67343814206893937</v>
      </c>
      <c r="W49" s="100">
        <f t="shared" si="11"/>
        <v>0.44895876137929291</v>
      </c>
    </row>
    <row r="50" spans="2:23">
      <c r="B50" s="96">
        <f>Amnt_Deposited!B45</f>
        <v>2031</v>
      </c>
      <c r="C50" s="99">
        <f>Amnt_Deposited!F45</f>
        <v>0</v>
      </c>
      <c r="D50" s="417">
        <f>Dry_Matter_Content!G37</f>
        <v>0.56999999999999995</v>
      </c>
      <c r="E50" s="283">
        <f>MCF!R49</f>
        <v>1</v>
      </c>
      <c r="F50" s="67">
        <f t="shared" si="0"/>
        <v>0</v>
      </c>
      <c r="G50" s="67">
        <f t="shared" si="1"/>
        <v>0</v>
      </c>
      <c r="H50" s="67">
        <f t="shared" si="2"/>
        <v>0</v>
      </c>
      <c r="I50" s="67">
        <f t="shared" si="3"/>
        <v>0</v>
      </c>
      <c r="J50" s="67">
        <f t="shared" si="4"/>
        <v>0</v>
      </c>
      <c r="K50" s="100">
        <f t="shared" si="6"/>
        <v>0</v>
      </c>
      <c r="O50" s="96">
        <f>Amnt_Deposited!B45</f>
        <v>2031</v>
      </c>
      <c r="P50" s="99">
        <f>Amnt_Deposited!G45</f>
        <v>0</v>
      </c>
      <c r="Q50" s="283">
        <f>MCF!R49</f>
        <v>1</v>
      </c>
      <c r="R50" s="67">
        <f t="shared" si="5"/>
        <v>0</v>
      </c>
      <c r="S50" s="67">
        <f t="shared" si="7"/>
        <v>0</v>
      </c>
      <c r="T50" s="67">
        <f t="shared" si="8"/>
        <v>0</v>
      </c>
      <c r="U50" s="67">
        <f t="shared" si="9"/>
        <v>19.78668166780561</v>
      </c>
      <c r="V50" s="67">
        <f t="shared" si="10"/>
        <v>0.70479583911808008</v>
      </c>
      <c r="W50" s="100">
        <f t="shared" si="11"/>
        <v>0.4698638927453867</v>
      </c>
    </row>
    <row r="51" spans="2:23">
      <c r="B51" s="96">
        <f>Amnt_Deposited!B46</f>
        <v>2032</v>
      </c>
      <c r="C51" s="99">
        <f>Amnt_Deposited!F46</f>
        <v>0</v>
      </c>
      <c r="D51" s="417">
        <f>Dry_Matter_Content!G38</f>
        <v>0.56999999999999995</v>
      </c>
      <c r="E51" s="283">
        <f>MCF!R50</f>
        <v>1</v>
      </c>
      <c r="F51" s="67">
        <f t="shared" si="0"/>
        <v>0</v>
      </c>
      <c r="G51" s="67">
        <f t="shared" si="1"/>
        <v>0</v>
      </c>
      <c r="H51" s="67">
        <f t="shared" si="2"/>
        <v>0</v>
      </c>
      <c r="I51" s="67">
        <f t="shared" si="3"/>
        <v>0</v>
      </c>
      <c r="J51" s="67">
        <f t="shared" si="4"/>
        <v>0</v>
      </c>
      <c r="K51" s="100">
        <f t="shared" si="6"/>
        <v>0</v>
      </c>
      <c r="O51" s="96">
        <f>Amnt_Deposited!B46</f>
        <v>2032</v>
      </c>
      <c r="P51" s="99">
        <f>Amnt_Deposited!G46</f>
        <v>0</v>
      </c>
      <c r="Q51" s="283">
        <f>MCF!R50</f>
        <v>1</v>
      </c>
      <c r="R51" s="67">
        <f t="shared" si="5"/>
        <v>0</v>
      </c>
      <c r="S51" s="67">
        <f t="shared" si="7"/>
        <v>0</v>
      </c>
      <c r="T51" s="67">
        <f t="shared" si="8"/>
        <v>0</v>
      </c>
      <c r="U51" s="67">
        <f t="shared" si="9"/>
        <v>19.106126988197396</v>
      </c>
      <c r="V51" s="67">
        <f t="shared" si="10"/>
        <v>0.68055467960821459</v>
      </c>
      <c r="W51" s="100">
        <f t="shared" si="11"/>
        <v>0.45370311973880972</v>
      </c>
    </row>
    <row r="52" spans="2:23">
      <c r="B52" s="96">
        <f>Amnt_Deposited!B47</f>
        <v>2033</v>
      </c>
      <c r="C52" s="99">
        <f>Amnt_Deposited!F47</f>
        <v>0</v>
      </c>
      <c r="D52" s="417">
        <f>Dry_Matter_Content!G39</f>
        <v>0.56999999999999995</v>
      </c>
      <c r="E52" s="283">
        <f>MCF!R51</f>
        <v>1</v>
      </c>
      <c r="F52" s="67">
        <f t="shared" si="0"/>
        <v>0</v>
      </c>
      <c r="G52" s="67">
        <f t="shared" si="1"/>
        <v>0</v>
      </c>
      <c r="H52" s="67">
        <f t="shared" si="2"/>
        <v>0</v>
      </c>
      <c r="I52" s="67">
        <f t="shared" si="3"/>
        <v>0</v>
      </c>
      <c r="J52" s="67">
        <f t="shared" si="4"/>
        <v>0</v>
      </c>
      <c r="K52" s="100">
        <f t="shared" si="6"/>
        <v>0</v>
      </c>
      <c r="O52" s="96">
        <f>Amnt_Deposited!B47</f>
        <v>2033</v>
      </c>
      <c r="P52" s="99">
        <f>Amnt_Deposited!G47</f>
        <v>0</v>
      </c>
      <c r="Q52" s="283">
        <f>MCF!R51</f>
        <v>1</v>
      </c>
      <c r="R52" s="67">
        <f t="shared" si="5"/>
        <v>0</v>
      </c>
      <c r="S52" s="67">
        <f t="shared" si="7"/>
        <v>0</v>
      </c>
      <c r="T52" s="67">
        <f t="shared" si="8"/>
        <v>0</v>
      </c>
      <c r="U52" s="67">
        <f t="shared" si="9"/>
        <v>18.448979703508272</v>
      </c>
      <c r="V52" s="67">
        <f t="shared" si="10"/>
        <v>0.65714728468912476</v>
      </c>
      <c r="W52" s="100">
        <f t="shared" si="11"/>
        <v>0.43809818979274984</v>
      </c>
    </row>
    <row r="53" spans="2:23">
      <c r="B53" s="96">
        <f>Amnt_Deposited!B48</f>
        <v>2034</v>
      </c>
      <c r="C53" s="99">
        <f>Amnt_Deposited!F48</f>
        <v>0</v>
      </c>
      <c r="D53" s="417">
        <f>Dry_Matter_Content!G40</f>
        <v>0.56999999999999995</v>
      </c>
      <c r="E53" s="283">
        <f>MCF!R52</f>
        <v>1</v>
      </c>
      <c r="F53" s="67">
        <f t="shared" si="0"/>
        <v>0</v>
      </c>
      <c r="G53" s="67">
        <f t="shared" si="1"/>
        <v>0</v>
      </c>
      <c r="H53" s="67">
        <f t="shared" si="2"/>
        <v>0</v>
      </c>
      <c r="I53" s="67">
        <f t="shared" si="3"/>
        <v>0</v>
      </c>
      <c r="J53" s="67">
        <f t="shared" si="4"/>
        <v>0</v>
      </c>
      <c r="K53" s="100">
        <f t="shared" si="6"/>
        <v>0</v>
      </c>
      <c r="O53" s="96">
        <f>Amnt_Deposited!B48</f>
        <v>2034</v>
      </c>
      <c r="P53" s="99">
        <f>Amnt_Deposited!G48</f>
        <v>0</v>
      </c>
      <c r="Q53" s="283">
        <f>MCF!R52</f>
        <v>1</v>
      </c>
      <c r="R53" s="67">
        <f t="shared" si="5"/>
        <v>0</v>
      </c>
      <c r="S53" s="67">
        <f t="shared" si="7"/>
        <v>0</v>
      </c>
      <c r="T53" s="67">
        <f t="shared" si="8"/>
        <v>0</v>
      </c>
      <c r="U53" s="67">
        <f t="shared" si="9"/>
        <v>17.814434726133499</v>
      </c>
      <c r="V53" s="67">
        <f t="shared" si="10"/>
        <v>0.63454497737477189</v>
      </c>
      <c r="W53" s="100">
        <f t="shared" si="11"/>
        <v>0.42302998491651456</v>
      </c>
    </row>
    <row r="54" spans="2:23">
      <c r="B54" s="96">
        <f>Amnt_Deposited!B49</f>
        <v>2035</v>
      </c>
      <c r="C54" s="99">
        <f>Amnt_Deposited!F49</f>
        <v>0</v>
      </c>
      <c r="D54" s="417">
        <f>Dry_Matter_Content!G41</f>
        <v>0.56999999999999995</v>
      </c>
      <c r="E54" s="283">
        <f>MCF!R53</f>
        <v>1</v>
      </c>
      <c r="F54" s="67">
        <f t="shared" si="0"/>
        <v>0</v>
      </c>
      <c r="G54" s="67">
        <f t="shared" si="1"/>
        <v>0</v>
      </c>
      <c r="H54" s="67">
        <f t="shared" si="2"/>
        <v>0</v>
      </c>
      <c r="I54" s="67">
        <f t="shared" si="3"/>
        <v>0</v>
      </c>
      <c r="J54" s="67">
        <f t="shared" si="4"/>
        <v>0</v>
      </c>
      <c r="K54" s="100">
        <f t="shared" si="6"/>
        <v>0</v>
      </c>
      <c r="O54" s="96">
        <f>Amnt_Deposited!B49</f>
        <v>2035</v>
      </c>
      <c r="P54" s="99">
        <f>Amnt_Deposited!G49</f>
        <v>0</v>
      </c>
      <c r="Q54" s="283">
        <f>MCF!R53</f>
        <v>1</v>
      </c>
      <c r="R54" s="67">
        <f t="shared" si="5"/>
        <v>0</v>
      </c>
      <c r="S54" s="67">
        <f t="shared" si="7"/>
        <v>0</v>
      </c>
      <c r="T54" s="67">
        <f t="shared" si="8"/>
        <v>0</v>
      </c>
      <c r="U54" s="67">
        <f t="shared" si="9"/>
        <v>17.201714659121382</v>
      </c>
      <c r="V54" s="67">
        <f t="shared" si="10"/>
        <v>0.61272006701211468</v>
      </c>
      <c r="W54" s="100">
        <f t="shared" si="11"/>
        <v>0.40848004467474308</v>
      </c>
    </row>
    <row r="55" spans="2:23">
      <c r="B55" s="96">
        <f>Amnt_Deposited!B50</f>
        <v>2036</v>
      </c>
      <c r="C55" s="99">
        <f>Amnt_Deposited!F50</f>
        <v>0</v>
      </c>
      <c r="D55" s="417">
        <f>Dry_Matter_Content!G42</f>
        <v>0.56999999999999995</v>
      </c>
      <c r="E55" s="283">
        <f>MCF!R54</f>
        <v>1</v>
      </c>
      <c r="F55" s="67">
        <f t="shared" si="0"/>
        <v>0</v>
      </c>
      <c r="G55" s="67">
        <f t="shared" si="1"/>
        <v>0</v>
      </c>
      <c r="H55" s="67">
        <f t="shared" si="2"/>
        <v>0</v>
      </c>
      <c r="I55" s="67">
        <f t="shared" si="3"/>
        <v>0</v>
      </c>
      <c r="J55" s="67">
        <f t="shared" si="4"/>
        <v>0</v>
      </c>
      <c r="K55" s="100">
        <f t="shared" si="6"/>
        <v>0</v>
      </c>
      <c r="O55" s="96">
        <f>Amnt_Deposited!B50</f>
        <v>2036</v>
      </c>
      <c r="P55" s="99">
        <f>Amnt_Deposited!G50</f>
        <v>0</v>
      </c>
      <c r="Q55" s="283">
        <f>MCF!R54</f>
        <v>1</v>
      </c>
      <c r="R55" s="67">
        <f t="shared" si="5"/>
        <v>0</v>
      </c>
      <c r="S55" s="67">
        <f t="shared" si="7"/>
        <v>0</v>
      </c>
      <c r="T55" s="67">
        <f t="shared" si="8"/>
        <v>0</v>
      </c>
      <c r="U55" s="67">
        <f t="shared" si="9"/>
        <v>16.610068843764786</v>
      </c>
      <c r="V55" s="67">
        <f t="shared" si="10"/>
        <v>0.59164581535659699</v>
      </c>
      <c r="W55" s="100">
        <f t="shared" si="11"/>
        <v>0.39443054357106466</v>
      </c>
    </row>
    <row r="56" spans="2:23">
      <c r="B56" s="96">
        <f>Amnt_Deposited!B51</f>
        <v>2037</v>
      </c>
      <c r="C56" s="99">
        <f>Amnt_Deposited!F51</f>
        <v>0</v>
      </c>
      <c r="D56" s="417">
        <f>Dry_Matter_Content!G43</f>
        <v>0.56999999999999995</v>
      </c>
      <c r="E56" s="283">
        <f>MCF!R55</f>
        <v>1</v>
      </c>
      <c r="F56" s="67">
        <f t="shared" si="0"/>
        <v>0</v>
      </c>
      <c r="G56" s="67">
        <f t="shared" si="1"/>
        <v>0</v>
      </c>
      <c r="H56" s="67">
        <f t="shared" si="2"/>
        <v>0</v>
      </c>
      <c r="I56" s="67">
        <f t="shared" si="3"/>
        <v>0</v>
      </c>
      <c r="J56" s="67">
        <f t="shared" si="4"/>
        <v>0</v>
      </c>
      <c r="K56" s="100">
        <f t="shared" si="6"/>
        <v>0</v>
      </c>
      <c r="O56" s="96">
        <f>Amnt_Deposited!B51</f>
        <v>2037</v>
      </c>
      <c r="P56" s="99">
        <f>Amnt_Deposited!G51</f>
        <v>0</v>
      </c>
      <c r="Q56" s="283">
        <f>MCF!R55</f>
        <v>1</v>
      </c>
      <c r="R56" s="67">
        <f t="shared" si="5"/>
        <v>0</v>
      </c>
      <c r="S56" s="67">
        <f t="shared" si="7"/>
        <v>0</v>
      </c>
      <c r="T56" s="67">
        <f t="shared" si="8"/>
        <v>0</v>
      </c>
      <c r="U56" s="67">
        <f t="shared" si="9"/>
        <v>16.038772439950332</v>
      </c>
      <c r="V56" s="67">
        <f t="shared" si="10"/>
        <v>0.57129640381445412</v>
      </c>
      <c r="W56" s="100">
        <f t="shared" si="11"/>
        <v>0.38086426920963606</v>
      </c>
    </row>
    <row r="57" spans="2:23">
      <c r="B57" s="96">
        <f>Amnt_Deposited!B52</f>
        <v>2038</v>
      </c>
      <c r="C57" s="99">
        <f>Amnt_Deposited!F52</f>
        <v>0</v>
      </c>
      <c r="D57" s="417">
        <f>Dry_Matter_Content!G44</f>
        <v>0.56999999999999995</v>
      </c>
      <c r="E57" s="283">
        <f>MCF!R56</f>
        <v>1</v>
      </c>
      <c r="F57" s="67">
        <f t="shared" si="0"/>
        <v>0</v>
      </c>
      <c r="G57" s="67">
        <f t="shared" si="1"/>
        <v>0</v>
      </c>
      <c r="H57" s="67">
        <f t="shared" si="2"/>
        <v>0</v>
      </c>
      <c r="I57" s="67">
        <f t="shared" si="3"/>
        <v>0</v>
      </c>
      <c r="J57" s="67">
        <f t="shared" si="4"/>
        <v>0</v>
      </c>
      <c r="K57" s="100">
        <f t="shared" si="6"/>
        <v>0</v>
      </c>
      <c r="O57" s="96">
        <f>Amnt_Deposited!B52</f>
        <v>2038</v>
      </c>
      <c r="P57" s="99">
        <f>Amnt_Deposited!G52</f>
        <v>0</v>
      </c>
      <c r="Q57" s="283">
        <f>MCF!R56</f>
        <v>1</v>
      </c>
      <c r="R57" s="67">
        <f t="shared" si="5"/>
        <v>0</v>
      </c>
      <c r="S57" s="67">
        <f t="shared" si="7"/>
        <v>0</v>
      </c>
      <c r="T57" s="67">
        <f t="shared" si="8"/>
        <v>0</v>
      </c>
      <c r="U57" s="67">
        <f t="shared" si="9"/>
        <v>15.487125538138626</v>
      </c>
      <c r="V57" s="67">
        <f t="shared" si="10"/>
        <v>0.55164690181170672</v>
      </c>
      <c r="W57" s="100">
        <f t="shared" si="11"/>
        <v>0.36776460120780446</v>
      </c>
    </row>
    <row r="58" spans="2:23">
      <c r="B58" s="96">
        <f>Amnt_Deposited!B53</f>
        <v>2039</v>
      </c>
      <c r="C58" s="99">
        <f>Amnt_Deposited!F53</f>
        <v>0</v>
      </c>
      <c r="D58" s="417">
        <f>Dry_Matter_Content!G45</f>
        <v>0.56999999999999995</v>
      </c>
      <c r="E58" s="283">
        <f>MCF!R57</f>
        <v>1</v>
      </c>
      <c r="F58" s="67">
        <f t="shared" si="0"/>
        <v>0</v>
      </c>
      <c r="G58" s="67">
        <f t="shared" si="1"/>
        <v>0</v>
      </c>
      <c r="H58" s="67">
        <f t="shared" si="2"/>
        <v>0</v>
      </c>
      <c r="I58" s="67">
        <f t="shared" si="3"/>
        <v>0</v>
      </c>
      <c r="J58" s="67">
        <f t="shared" si="4"/>
        <v>0</v>
      </c>
      <c r="K58" s="100">
        <f t="shared" si="6"/>
        <v>0</v>
      </c>
      <c r="O58" s="96">
        <f>Amnt_Deposited!B53</f>
        <v>2039</v>
      </c>
      <c r="P58" s="99">
        <f>Amnt_Deposited!G53</f>
        <v>0</v>
      </c>
      <c r="Q58" s="283">
        <f>MCF!R57</f>
        <v>1</v>
      </c>
      <c r="R58" s="67">
        <f t="shared" si="5"/>
        <v>0</v>
      </c>
      <c r="S58" s="67">
        <f t="shared" si="7"/>
        <v>0</v>
      </c>
      <c r="T58" s="67">
        <f t="shared" si="8"/>
        <v>0</v>
      </c>
      <c r="U58" s="67">
        <f t="shared" si="9"/>
        <v>14.954452301887535</v>
      </c>
      <c r="V58" s="67">
        <f t="shared" si="10"/>
        <v>0.53267323625109009</v>
      </c>
      <c r="W58" s="100">
        <f t="shared" si="11"/>
        <v>0.35511549083406002</v>
      </c>
    </row>
    <row r="59" spans="2:23">
      <c r="B59" s="96">
        <f>Amnt_Deposited!B54</f>
        <v>2040</v>
      </c>
      <c r="C59" s="99">
        <f>Amnt_Deposited!F54</f>
        <v>0</v>
      </c>
      <c r="D59" s="417">
        <f>Dry_Matter_Content!G46</f>
        <v>0.56999999999999995</v>
      </c>
      <c r="E59" s="283">
        <f>MCF!R58</f>
        <v>1</v>
      </c>
      <c r="F59" s="67">
        <f t="shared" si="0"/>
        <v>0</v>
      </c>
      <c r="G59" s="67">
        <f t="shared" si="1"/>
        <v>0</v>
      </c>
      <c r="H59" s="67">
        <f t="shared" si="2"/>
        <v>0</v>
      </c>
      <c r="I59" s="67">
        <f t="shared" si="3"/>
        <v>0</v>
      </c>
      <c r="J59" s="67">
        <f t="shared" si="4"/>
        <v>0</v>
      </c>
      <c r="K59" s="100">
        <f t="shared" si="6"/>
        <v>0</v>
      </c>
      <c r="O59" s="96">
        <f>Amnt_Deposited!B54</f>
        <v>2040</v>
      </c>
      <c r="P59" s="99">
        <f>Amnt_Deposited!G54</f>
        <v>0</v>
      </c>
      <c r="Q59" s="283">
        <f>MCF!R58</f>
        <v>1</v>
      </c>
      <c r="R59" s="67">
        <f t="shared" si="5"/>
        <v>0</v>
      </c>
      <c r="S59" s="67">
        <f t="shared" si="7"/>
        <v>0</v>
      </c>
      <c r="T59" s="67">
        <f t="shared" si="8"/>
        <v>0</v>
      </c>
      <c r="U59" s="67">
        <f t="shared" si="9"/>
        <v>14.440100139868036</v>
      </c>
      <c r="V59" s="67">
        <f t="shared" si="10"/>
        <v>0.51435216201949885</v>
      </c>
      <c r="W59" s="100">
        <f t="shared" si="11"/>
        <v>0.34290144134633255</v>
      </c>
    </row>
    <row r="60" spans="2:23">
      <c r="B60" s="96">
        <f>Amnt_Deposited!B55</f>
        <v>2041</v>
      </c>
      <c r="C60" s="99">
        <f>Amnt_Deposited!F55</f>
        <v>0</v>
      </c>
      <c r="D60" s="417">
        <f>Dry_Matter_Content!G47</f>
        <v>0.56999999999999995</v>
      </c>
      <c r="E60" s="283">
        <f>MCF!R59</f>
        <v>1</v>
      </c>
      <c r="F60" s="67">
        <f t="shared" si="0"/>
        <v>0</v>
      </c>
      <c r="G60" s="67">
        <f t="shared" si="1"/>
        <v>0</v>
      </c>
      <c r="H60" s="67">
        <f t="shared" si="2"/>
        <v>0</v>
      </c>
      <c r="I60" s="67">
        <f t="shared" si="3"/>
        <v>0</v>
      </c>
      <c r="J60" s="67">
        <f t="shared" si="4"/>
        <v>0</v>
      </c>
      <c r="K60" s="100">
        <f t="shared" si="6"/>
        <v>0</v>
      </c>
      <c r="O60" s="96">
        <f>Amnt_Deposited!B55</f>
        <v>2041</v>
      </c>
      <c r="P60" s="99">
        <f>Amnt_Deposited!G55</f>
        <v>0</v>
      </c>
      <c r="Q60" s="283">
        <f>MCF!R59</f>
        <v>1</v>
      </c>
      <c r="R60" s="67">
        <f t="shared" si="5"/>
        <v>0</v>
      </c>
      <c r="S60" s="67">
        <f t="shared" si="7"/>
        <v>0</v>
      </c>
      <c r="T60" s="67">
        <f t="shared" si="8"/>
        <v>0</v>
      </c>
      <c r="U60" s="67">
        <f t="shared" si="9"/>
        <v>13.943438906358219</v>
      </c>
      <c r="V60" s="67">
        <f t="shared" si="10"/>
        <v>0.49666123350981745</v>
      </c>
      <c r="W60" s="100">
        <f t="shared" si="11"/>
        <v>0.33110748900654496</v>
      </c>
    </row>
    <row r="61" spans="2:23">
      <c r="B61" s="96">
        <f>Amnt_Deposited!B56</f>
        <v>2042</v>
      </c>
      <c r="C61" s="99">
        <f>Amnt_Deposited!F56</f>
        <v>0</v>
      </c>
      <c r="D61" s="417">
        <f>Dry_Matter_Content!G48</f>
        <v>0.56999999999999995</v>
      </c>
      <c r="E61" s="283">
        <f>MCF!R60</f>
        <v>1</v>
      </c>
      <c r="F61" s="67">
        <f t="shared" si="0"/>
        <v>0</v>
      </c>
      <c r="G61" s="67">
        <f t="shared" si="1"/>
        <v>0</v>
      </c>
      <c r="H61" s="67">
        <f t="shared" si="2"/>
        <v>0</v>
      </c>
      <c r="I61" s="67">
        <f t="shared" si="3"/>
        <v>0</v>
      </c>
      <c r="J61" s="67">
        <f t="shared" si="4"/>
        <v>0</v>
      </c>
      <c r="K61" s="100">
        <f t="shared" si="6"/>
        <v>0</v>
      </c>
      <c r="O61" s="96">
        <f>Amnt_Deposited!B56</f>
        <v>2042</v>
      </c>
      <c r="P61" s="99">
        <f>Amnt_Deposited!G56</f>
        <v>0</v>
      </c>
      <c r="Q61" s="283">
        <f>MCF!R60</f>
        <v>1</v>
      </c>
      <c r="R61" s="67">
        <f t="shared" si="5"/>
        <v>0</v>
      </c>
      <c r="S61" s="67">
        <f t="shared" si="7"/>
        <v>0</v>
      </c>
      <c r="T61" s="67">
        <f t="shared" si="8"/>
        <v>0</v>
      </c>
      <c r="U61" s="67">
        <f t="shared" si="9"/>
        <v>13.463860129235975</v>
      </c>
      <c r="V61" s="67">
        <f t="shared" si="10"/>
        <v>0.47957877712224367</v>
      </c>
      <c r="W61" s="100">
        <f t="shared" si="11"/>
        <v>0.31971918474816241</v>
      </c>
    </row>
    <row r="62" spans="2:23">
      <c r="B62" s="96">
        <f>Amnt_Deposited!B57</f>
        <v>2043</v>
      </c>
      <c r="C62" s="99">
        <f>Amnt_Deposited!F57</f>
        <v>0</v>
      </c>
      <c r="D62" s="417">
        <f>Dry_Matter_Content!G49</f>
        <v>0.56999999999999995</v>
      </c>
      <c r="E62" s="283">
        <f>MCF!R61</f>
        <v>1</v>
      </c>
      <c r="F62" s="67">
        <f t="shared" si="0"/>
        <v>0</v>
      </c>
      <c r="G62" s="67">
        <f t="shared" si="1"/>
        <v>0</v>
      </c>
      <c r="H62" s="67">
        <f t="shared" si="2"/>
        <v>0</v>
      </c>
      <c r="I62" s="67">
        <f t="shared" si="3"/>
        <v>0</v>
      </c>
      <c r="J62" s="67">
        <f t="shared" si="4"/>
        <v>0</v>
      </c>
      <c r="K62" s="100">
        <f t="shared" si="6"/>
        <v>0</v>
      </c>
      <c r="O62" s="96">
        <f>Amnt_Deposited!B57</f>
        <v>2043</v>
      </c>
      <c r="P62" s="99">
        <f>Amnt_Deposited!G57</f>
        <v>0</v>
      </c>
      <c r="Q62" s="283">
        <f>MCF!R61</f>
        <v>1</v>
      </c>
      <c r="R62" s="67">
        <f t="shared" si="5"/>
        <v>0</v>
      </c>
      <c r="S62" s="67">
        <f t="shared" si="7"/>
        <v>0</v>
      </c>
      <c r="T62" s="67">
        <f t="shared" si="8"/>
        <v>0</v>
      </c>
      <c r="U62" s="67">
        <f t="shared" si="9"/>
        <v>13.000776264524557</v>
      </c>
      <c r="V62" s="67">
        <f t="shared" si="10"/>
        <v>0.46308386471141877</v>
      </c>
      <c r="W62" s="100">
        <f t="shared" si="11"/>
        <v>0.30872257647427914</v>
      </c>
    </row>
    <row r="63" spans="2:23">
      <c r="B63" s="96">
        <f>Amnt_Deposited!B58</f>
        <v>2044</v>
      </c>
      <c r="C63" s="99">
        <f>Amnt_Deposited!F58</f>
        <v>0</v>
      </c>
      <c r="D63" s="417">
        <f>Dry_Matter_Content!G50</f>
        <v>0.56999999999999995</v>
      </c>
      <c r="E63" s="283">
        <f>MCF!R62</f>
        <v>1</v>
      </c>
      <c r="F63" s="67">
        <f t="shared" si="0"/>
        <v>0</v>
      </c>
      <c r="G63" s="67">
        <f t="shared" si="1"/>
        <v>0</v>
      </c>
      <c r="H63" s="67">
        <f t="shared" si="2"/>
        <v>0</v>
      </c>
      <c r="I63" s="67">
        <f t="shared" si="3"/>
        <v>0</v>
      </c>
      <c r="J63" s="67">
        <f t="shared" si="4"/>
        <v>0</v>
      </c>
      <c r="K63" s="100">
        <f t="shared" si="6"/>
        <v>0</v>
      </c>
      <c r="O63" s="96">
        <f>Amnt_Deposited!B58</f>
        <v>2044</v>
      </c>
      <c r="P63" s="99">
        <f>Amnt_Deposited!G58</f>
        <v>0</v>
      </c>
      <c r="Q63" s="283">
        <f>MCF!R62</f>
        <v>1</v>
      </c>
      <c r="R63" s="67">
        <f t="shared" si="5"/>
        <v>0</v>
      </c>
      <c r="S63" s="67">
        <f t="shared" si="7"/>
        <v>0</v>
      </c>
      <c r="T63" s="67">
        <f t="shared" si="8"/>
        <v>0</v>
      </c>
      <c r="U63" s="67">
        <f t="shared" si="9"/>
        <v>12.553619976577725</v>
      </c>
      <c r="V63" s="67">
        <f t="shared" si="10"/>
        <v>0.44715628794683215</v>
      </c>
      <c r="W63" s="100">
        <f t="shared" si="11"/>
        <v>0.29810419196455473</v>
      </c>
    </row>
    <row r="64" spans="2:23">
      <c r="B64" s="96">
        <f>Amnt_Deposited!B59</f>
        <v>2045</v>
      </c>
      <c r="C64" s="99">
        <f>Amnt_Deposited!F59</f>
        <v>0</v>
      </c>
      <c r="D64" s="417">
        <f>Dry_Matter_Content!G51</f>
        <v>0.56999999999999995</v>
      </c>
      <c r="E64" s="283">
        <f>MCF!R63</f>
        <v>1</v>
      </c>
      <c r="F64" s="67">
        <f t="shared" si="0"/>
        <v>0</v>
      </c>
      <c r="G64" s="67">
        <f t="shared" si="1"/>
        <v>0</v>
      </c>
      <c r="H64" s="67">
        <f t="shared" si="2"/>
        <v>0</v>
      </c>
      <c r="I64" s="67">
        <f t="shared" si="3"/>
        <v>0</v>
      </c>
      <c r="J64" s="67">
        <f t="shared" si="4"/>
        <v>0</v>
      </c>
      <c r="K64" s="100">
        <f t="shared" si="6"/>
        <v>0</v>
      </c>
      <c r="O64" s="96">
        <f>Amnt_Deposited!B59</f>
        <v>2045</v>
      </c>
      <c r="P64" s="99">
        <f>Amnt_Deposited!G59</f>
        <v>0</v>
      </c>
      <c r="Q64" s="283">
        <f>MCF!R63</f>
        <v>1</v>
      </c>
      <c r="R64" s="67">
        <f t="shared" si="5"/>
        <v>0</v>
      </c>
      <c r="S64" s="67">
        <f t="shared" si="7"/>
        <v>0</v>
      </c>
      <c r="T64" s="67">
        <f t="shared" si="8"/>
        <v>0</v>
      </c>
      <c r="U64" s="67">
        <f t="shared" si="9"/>
        <v>12.121843443022636</v>
      </c>
      <c r="V64" s="67">
        <f t="shared" si="10"/>
        <v>0.4317765335550891</v>
      </c>
      <c r="W64" s="100">
        <f t="shared" si="11"/>
        <v>0.28785102237005938</v>
      </c>
    </row>
    <row r="65" spans="2:23">
      <c r="B65" s="96">
        <f>Amnt_Deposited!B60</f>
        <v>2046</v>
      </c>
      <c r="C65" s="99">
        <f>Amnt_Deposited!F60</f>
        <v>0</v>
      </c>
      <c r="D65" s="417">
        <f>Dry_Matter_Content!G52</f>
        <v>0.56999999999999995</v>
      </c>
      <c r="E65" s="283">
        <f>MCF!R64</f>
        <v>1</v>
      </c>
      <c r="F65" s="67">
        <f t="shared" si="0"/>
        <v>0</v>
      </c>
      <c r="G65" s="67">
        <f t="shared" si="1"/>
        <v>0</v>
      </c>
      <c r="H65" s="67">
        <f t="shared" si="2"/>
        <v>0</v>
      </c>
      <c r="I65" s="67">
        <f t="shared" si="3"/>
        <v>0</v>
      </c>
      <c r="J65" s="67">
        <f t="shared" si="4"/>
        <v>0</v>
      </c>
      <c r="K65" s="100">
        <f t="shared" si="6"/>
        <v>0</v>
      </c>
      <c r="O65" s="96">
        <f>Amnt_Deposited!B60</f>
        <v>2046</v>
      </c>
      <c r="P65" s="99">
        <f>Amnt_Deposited!G60</f>
        <v>0</v>
      </c>
      <c r="Q65" s="283">
        <f>MCF!R64</f>
        <v>1</v>
      </c>
      <c r="R65" s="67">
        <f t="shared" si="5"/>
        <v>0</v>
      </c>
      <c r="S65" s="67">
        <f t="shared" si="7"/>
        <v>0</v>
      </c>
      <c r="T65" s="67">
        <f t="shared" si="8"/>
        <v>0</v>
      </c>
      <c r="U65" s="67">
        <f t="shared" si="9"/>
        <v>11.704917683608924</v>
      </c>
      <c r="V65" s="67">
        <f t="shared" si="10"/>
        <v>0.41692575941371091</v>
      </c>
      <c r="W65" s="100">
        <f t="shared" si="11"/>
        <v>0.27795050627580725</v>
      </c>
    </row>
    <row r="66" spans="2:23">
      <c r="B66" s="96">
        <f>Amnt_Deposited!B61</f>
        <v>2047</v>
      </c>
      <c r="C66" s="99">
        <f>Amnt_Deposited!F61</f>
        <v>0</v>
      </c>
      <c r="D66" s="417">
        <f>Dry_Matter_Content!G53</f>
        <v>0.56999999999999995</v>
      </c>
      <c r="E66" s="283">
        <f>MCF!R65</f>
        <v>1</v>
      </c>
      <c r="F66" s="67">
        <f t="shared" si="0"/>
        <v>0</v>
      </c>
      <c r="G66" s="67">
        <f t="shared" si="1"/>
        <v>0</v>
      </c>
      <c r="H66" s="67">
        <f t="shared" si="2"/>
        <v>0</v>
      </c>
      <c r="I66" s="67">
        <f t="shared" si="3"/>
        <v>0</v>
      </c>
      <c r="J66" s="67">
        <f t="shared" si="4"/>
        <v>0</v>
      </c>
      <c r="K66" s="100">
        <f t="shared" si="6"/>
        <v>0</v>
      </c>
      <c r="O66" s="96">
        <f>Amnt_Deposited!B61</f>
        <v>2047</v>
      </c>
      <c r="P66" s="99">
        <f>Amnt_Deposited!G61</f>
        <v>0</v>
      </c>
      <c r="Q66" s="283">
        <f>MCF!R65</f>
        <v>1</v>
      </c>
      <c r="R66" s="67">
        <f t="shared" si="5"/>
        <v>0</v>
      </c>
      <c r="S66" s="67">
        <f t="shared" si="7"/>
        <v>0</v>
      </c>
      <c r="T66" s="67">
        <f t="shared" si="8"/>
        <v>0</v>
      </c>
      <c r="U66" s="67">
        <f t="shared" si="9"/>
        <v>11.302331912141746</v>
      </c>
      <c r="V66" s="67">
        <f t="shared" si="10"/>
        <v>0.40258577146717833</v>
      </c>
      <c r="W66" s="100">
        <f t="shared" si="11"/>
        <v>0.26839051431145222</v>
      </c>
    </row>
    <row r="67" spans="2:23">
      <c r="B67" s="96">
        <f>Amnt_Deposited!B62</f>
        <v>2048</v>
      </c>
      <c r="C67" s="99">
        <f>Amnt_Deposited!F62</f>
        <v>0</v>
      </c>
      <c r="D67" s="417">
        <f>Dry_Matter_Content!G54</f>
        <v>0.56999999999999995</v>
      </c>
      <c r="E67" s="283">
        <f>MCF!R66</f>
        <v>1</v>
      </c>
      <c r="F67" s="67">
        <f t="shared" si="0"/>
        <v>0</v>
      </c>
      <c r="G67" s="67">
        <f t="shared" si="1"/>
        <v>0</v>
      </c>
      <c r="H67" s="67">
        <f t="shared" si="2"/>
        <v>0</v>
      </c>
      <c r="I67" s="67">
        <f t="shared" si="3"/>
        <v>0</v>
      </c>
      <c r="J67" s="67">
        <f t="shared" si="4"/>
        <v>0</v>
      </c>
      <c r="K67" s="100">
        <f t="shared" si="6"/>
        <v>0</v>
      </c>
      <c r="O67" s="96">
        <f>Amnt_Deposited!B62</f>
        <v>2048</v>
      </c>
      <c r="P67" s="99">
        <f>Amnt_Deposited!G62</f>
        <v>0</v>
      </c>
      <c r="Q67" s="283">
        <f>MCF!R66</f>
        <v>1</v>
      </c>
      <c r="R67" s="67">
        <f t="shared" si="5"/>
        <v>0</v>
      </c>
      <c r="S67" s="67">
        <f t="shared" si="7"/>
        <v>0</v>
      </c>
      <c r="T67" s="67">
        <f t="shared" si="8"/>
        <v>0</v>
      </c>
      <c r="U67" s="67">
        <f t="shared" si="9"/>
        <v>10.913592910704807</v>
      </c>
      <c r="V67" s="67">
        <f t="shared" si="10"/>
        <v>0.38873900143693824</v>
      </c>
      <c r="W67" s="100">
        <f t="shared" si="11"/>
        <v>0.25915933429129212</v>
      </c>
    </row>
    <row r="68" spans="2:23">
      <c r="B68" s="96">
        <f>Amnt_Deposited!B63</f>
        <v>2049</v>
      </c>
      <c r="C68" s="99">
        <f>Amnt_Deposited!F63</f>
        <v>0</v>
      </c>
      <c r="D68" s="417">
        <f>Dry_Matter_Content!G55</f>
        <v>0.56999999999999995</v>
      </c>
      <c r="E68" s="283">
        <f>MCF!R67</f>
        <v>1</v>
      </c>
      <c r="F68" s="67">
        <f t="shared" si="0"/>
        <v>0</v>
      </c>
      <c r="G68" s="67">
        <f t="shared" si="1"/>
        <v>0</v>
      </c>
      <c r="H68" s="67">
        <f t="shared" si="2"/>
        <v>0</v>
      </c>
      <c r="I68" s="67">
        <f t="shared" si="3"/>
        <v>0</v>
      </c>
      <c r="J68" s="67">
        <f t="shared" si="4"/>
        <v>0</v>
      </c>
      <c r="K68" s="100">
        <f t="shared" si="6"/>
        <v>0</v>
      </c>
      <c r="O68" s="96">
        <f>Amnt_Deposited!B63</f>
        <v>2049</v>
      </c>
      <c r="P68" s="99">
        <f>Amnt_Deposited!G63</f>
        <v>0</v>
      </c>
      <c r="Q68" s="283">
        <f>MCF!R67</f>
        <v>1</v>
      </c>
      <c r="R68" s="67">
        <f t="shared" si="5"/>
        <v>0</v>
      </c>
      <c r="S68" s="67">
        <f t="shared" si="7"/>
        <v>0</v>
      </c>
      <c r="T68" s="67">
        <f t="shared" si="8"/>
        <v>0</v>
      </c>
      <c r="U68" s="67">
        <f t="shared" si="9"/>
        <v>10.538224425406742</v>
      </c>
      <c r="V68" s="67">
        <f t="shared" si="10"/>
        <v>0.37536848529806549</v>
      </c>
      <c r="W68" s="100">
        <f t="shared" si="11"/>
        <v>0.25024565686537698</v>
      </c>
    </row>
    <row r="69" spans="2:23">
      <c r="B69" s="96">
        <f>Amnt_Deposited!B64</f>
        <v>2050</v>
      </c>
      <c r="C69" s="99">
        <f>Amnt_Deposited!F64</f>
        <v>0</v>
      </c>
      <c r="D69" s="417">
        <f>Dry_Matter_Content!G56</f>
        <v>0.56999999999999995</v>
      </c>
      <c r="E69" s="283">
        <f>MCF!R68</f>
        <v>1</v>
      </c>
      <c r="F69" s="67">
        <f t="shared" si="0"/>
        <v>0</v>
      </c>
      <c r="G69" s="67">
        <f t="shared" si="1"/>
        <v>0</v>
      </c>
      <c r="H69" s="67">
        <f t="shared" si="2"/>
        <v>0</v>
      </c>
      <c r="I69" s="67">
        <f t="shared" si="3"/>
        <v>0</v>
      </c>
      <c r="J69" s="67">
        <f t="shared" si="4"/>
        <v>0</v>
      </c>
      <c r="K69" s="100">
        <f t="shared" si="6"/>
        <v>0</v>
      </c>
      <c r="O69" s="96">
        <f>Amnt_Deposited!B64</f>
        <v>2050</v>
      </c>
      <c r="P69" s="99">
        <f>Amnt_Deposited!G64</f>
        <v>0</v>
      </c>
      <c r="Q69" s="283">
        <f>MCF!R68</f>
        <v>1</v>
      </c>
      <c r="R69" s="67">
        <f t="shared" si="5"/>
        <v>0</v>
      </c>
      <c r="S69" s="67">
        <f t="shared" si="7"/>
        <v>0</v>
      </c>
      <c r="T69" s="67">
        <f t="shared" si="8"/>
        <v>0</v>
      </c>
      <c r="U69" s="67">
        <f t="shared" si="9"/>
        <v>10.175766582910532</v>
      </c>
      <c r="V69" s="67">
        <f t="shared" si="10"/>
        <v>0.36245784249621077</v>
      </c>
      <c r="W69" s="100">
        <f t="shared" si="11"/>
        <v>0.24163856166414049</v>
      </c>
    </row>
    <row r="70" spans="2:23">
      <c r="B70" s="96">
        <f>Amnt_Deposited!B65</f>
        <v>2051</v>
      </c>
      <c r="C70" s="99">
        <f>Amnt_Deposited!F65</f>
        <v>0</v>
      </c>
      <c r="D70" s="417">
        <f>Dry_Matter_Content!G57</f>
        <v>0.56999999999999995</v>
      </c>
      <c r="E70" s="283">
        <f>MCF!R69</f>
        <v>1</v>
      </c>
      <c r="F70" s="67">
        <f t="shared" si="0"/>
        <v>0</v>
      </c>
      <c r="G70" s="67">
        <f t="shared" si="1"/>
        <v>0</v>
      </c>
      <c r="H70" s="67">
        <f t="shared" si="2"/>
        <v>0</v>
      </c>
      <c r="I70" s="67">
        <f t="shared" si="3"/>
        <v>0</v>
      </c>
      <c r="J70" s="67">
        <f t="shared" si="4"/>
        <v>0</v>
      </c>
      <c r="K70" s="100">
        <f t="shared" si="6"/>
        <v>0</v>
      </c>
      <c r="O70" s="96">
        <f>Amnt_Deposited!B65</f>
        <v>2051</v>
      </c>
      <c r="P70" s="99">
        <f>Amnt_Deposited!G65</f>
        <v>0</v>
      </c>
      <c r="Q70" s="283">
        <f>MCF!R69</f>
        <v>1</v>
      </c>
      <c r="R70" s="67">
        <f t="shared" si="5"/>
        <v>0</v>
      </c>
      <c r="S70" s="67">
        <f t="shared" si="7"/>
        <v>0</v>
      </c>
      <c r="T70" s="67">
        <f t="shared" si="8"/>
        <v>0</v>
      </c>
      <c r="U70" s="67">
        <f t="shared" si="9"/>
        <v>9.8257753270311579</v>
      </c>
      <c r="V70" s="67">
        <f t="shared" si="10"/>
        <v>0.34999125587937302</v>
      </c>
      <c r="W70" s="100">
        <f t="shared" si="11"/>
        <v>0.23332750391958201</v>
      </c>
    </row>
    <row r="71" spans="2:23">
      <c r="B71" s="96">
        <f>Amnt_Deposited!B66</f>
        <v>2052</v>
      </c>
      <c r="C71" s="99">
        <f>Amnt_Deposited!F66</f>
        <v>0</v>
      </c>
      <c r="D71" s="417">
        <f>Dry_Matter_Content!G58</f>
        <v>0.56999999999999995</v>
      </c>
      <c r="E71" s="283">
        <f>MCF!R70</f>
        <v>1</v>
      </c>
      <c r="F71" s="67">
        <f t="shared" si="0"/>
        <v>0</v>
      </c>
      <c r="G71" s="67">
        <f t="shared" si="1"/>
        <v>0</v>
      </c>
      <c r="H71" s="67">
        <f t="shared" si="2"/>
        <v>0</v>
      </c>
      <c r="I71" s="67">
        <f t="shared" si="3"/>
        <v>0</v>
      </c>
      <c r="J71" s="67">
        <f t="shared" si="4"/>
        <v>0</v>
      </c>
      <c r="K71" s="100">
        <f t="shared" si="6"/>
        <v>0</v>
      </c>
      <c r="O71" s="96">
        <f>Amnt_Deposited!B66</f>
        <v>2052</v>
      </c>
      <c r="P71" s="99">
        <f>Amnt_Deposited!G66</f>
        <v>0</v>
      </c>
      <c r="Q71" s="283">
        <f>MCF!R70</f>
        <v>1</v>
      </c>
      <c r="R71" s="67">
        <f t="shared" si="5"/>
        <v>0</v>
      </c>
      <c r="S71" s="67">
        <f t="shared" si="7"/>
        <v>0</v>
      </c>
      <c r="T71" s="67">
        <f t="shared" si="8"/>
        <v>0</v>
      </c>
      <c r="U71" s="67">
        <f t="shared" si="9"/>
        <v>9.4878218747112477</v>
      </c>
      <c r="V71" s="67">
        <f t="shared" si="10"/>
        <v>0.33795345231991042</v>
      </c>
      <c r="W71" s="100">
        <f t="shared" si="11"/>
        <v>0.22530230154660694</v>
      </c>
    </row>
    <row r="72" spans="2:23">
      <c r="B72" s="96">
        <f>Amnt_Deposited!B67</f>
        <v>2053</v>
      </c>
      <c r="C72" s="99">
        <f>Amnt_Deposited!F67</f>
        <v>0</v>
      </c>
      <c r="D72" s="417">
        <f>Dry_Matter_Content!G59</f>
        <v>0.56999999999999995</v>
      </c>
      <c r="E72" s="283">
        <f>MCF!R71</f>
        <v>1</v>
      </c>
      <c r="F72" s="67">
        <f t="shared" si="0"/>
        <v>0</v>
      </c>
      <c r="G72" s="67">
        <f t="shared" si="1"/>
        <v>0</v>
      </c>
      <c r="H72" s="67">
        <f t="shared" si="2"/>
        <v>0</v>
      </c>
      <c r="I72" s="67">
        <f t="shared" si="3"/>
        <v>0</v>
      </c>
      <c r="J72" s="67">
        <f t="shared" si="4"/>
        <v>0</v>
      </c>
      <c r="K72" s="100">
        <f t="shared" si="6"/>
        <v>0</v>
      </c>
      <c r="O72" s="96">
        <f>Amnt_Deposited!B67</f>
        <v>2053</v>
      </c>
      <c r="P72" s="99">
        <f>Amnt_Deposited!G67</f>
        <v>0</v>
      </c>
      <c r="Q72" s="283">
        <f>MCF!R71</f>
        <v>1</v>
      </c>
      <c r="R72" s="67">
        <f t="shared" si="5"/>
        <v>0</v>
      </c>
      <c r="S72" s="67">
        <f t="shared" si="7"/>
        <v>0</v>
      </c>
      <c r="T72" s="67">
        <f t="shared" si="8"/>
        <v>0</v>
      </c>
      <c r="U72" s="67">
        <f t="shared" si="9"/>
        <v>9.1614921907081985</v>
      </c>
      <c r="V72" s="67">
        <f t="shared" si="10"/>
        <v>0.32632968400304879</v>
      </c>
      <c r="W72" s="100">
        <f t="shared" si="11"/>
        <v>0.21755312266869919</v>
      </c>
    </row>
    <row r="73" spans="2:23">
      <c r="B73" s="96">
        <f>Amnt_Deposited!B68</f>
        <v>2054</v>
      </c>
      <c r="C73" s="99">
        <f>Amnt_Deposited!F68</f>
        <v>0</v>
      </c>
      <c r="D73" s="417">
        <f>Dry_Matter_Content!G60</f>
        <v>0.56999999999999995</v>
      </c>
      <c r="E73" s="283">
        <f>MCF!R72</f>
        <v>1</v>
      </c>
      <c r="F73" s="67">
        <f t="shared" si="0"/>
        <v>0</v>
      </c>
      <c r="G73" s="67">
        <f t="shared" si="1"/>
        <v>0</v>
      </c>
      <c r="H73" s="67">
        <f t="shared" si="2"/>
        <v>0</v>
      </c>
      <c r="I73" s="67">
        <f t="shared" si="3"/>
        <v>0</v>
      </c>
      <c r="J73" s="67">
        <f t="shared" si="4"/>
        <v>0</v>
      </c>
      <c r="K73" s="100">
        <f t="shared" si="6"/>
        <v>0</v>
      </c>
      <c r="O73" s="96">
        <f>Amnt_Deposited!B68</f>
        <v>2054</v>
      </c>
      <c r="P73" s="99">
        <f>Amnt_Deposited!G68</f>
        <v>0</v>
      </c>
      <c r="Q73" s="283">
        <f>MCF!R72</f>
        <v>1</v>
      </c>
      <c r="R73" s="67">
        <f t="shared" si="5"/>
        <v>0</v>
      </c>
      <c r="S73" s="67">
        <f t="shared" si="7"/>
        <v>0</v>
      </c>
      <c r="T73" s="67">
        <f t="shared" si="8"/>
        <v>0</v>
      </c>
      <c r="U73" s="67">
        <f t="shared" si="9"/>
        <v>8.8463864803492349</v>
      </c>
      <c r="V73" s="67">
        <f t="shared" si="10"/>
        <v>0.31510571035896401</v>
      </c>
      <c r="W73" s="100">
        <f t="shared" si="11"/>
        <v>0.21007047357264266</v>
      </c>
    </row>
    <row r="74" spans="2:23">
      <c r="B74" s="96">
        <f>Amnt_Deposited!B69</f>
        <v>2055</v>
      </c>
      <c r="C74" s="99">
        <f>Amnt_Deposited!F69</f>
        <v>0</v>
      </c>
      <c r="D74" s="417">
        <f>Dry_Matter_Content!G61</f>
        <v>0.56999999999999995</v>
      </c>
      <c r="E74" s="283">
        <f>MCF!R73</f>
        <v>1</v>
      </c>
      <c r="F74" s="67">
        <f t="shared" si="0"/>
        <v>0</v>
      </c>
      <c r="G74" s="67">
        <f t="shared" si="1"/>
        <v>0</v>
      </c>
      <c r="H74" s="67">
        <f t="shared" si="2"/>
        <v>0</v>
      </c>
      <c r="I74" s="67">
        <f t="shared" si="3"/>
        <v>0</v>
      </c>
      <c r="J74" s="67">
        <f t="shared" si="4"/>
        <v>0</v>
      </c>
      <c r="K74" s="100">
        <f t="shared" si="6"/>
        <v>0</v>
      </c>
      <c r="O74" s="96">
        <f>Amnt_Deposited!B69</f>
        <v>2055</v>
      </c>
      <c r="P74" s="99">
        <f>Amnt_Deposited!G69</f>
        <v>0</v>
      </c>
      <c r="Q74" s="283">
        <f>MCF!R73</f>
        <v>1</v>
      </c>
      <c r="R74" s="67">
        <f t="shared" si="5"/>
        <v>0</v>
      </c>
      <c r="S74" s="67">
        <f t="shared" si="7"/>
        <v>0</v>
      </c>
      <c r="T74" s="67">
        <f t="shared" si="8"/>
        <v>0</v>
      </c>
      <c r="U74" s="67">
        <f t="shared" si="9"/>
        <v>8.5421186997329315</v>
      </c>
      <c r="V74" s="67">
        <f t="shared" si="10"/>
        <v>0.30426778061630366</v>
      </c>
      <c r="W74" s="100">
        <f t="shared" si="11"/>
        <v>0.20284518707753577</v>
      </c>
    </row>
    <row r="75" spans="2:23">
      <c r="B75" s="96">
        <f>Amnt_Deposited!B70</f>
        <v>2056</v>
      </c>
      <c r="C75" s="99">
        <f>Amnt_Deposited!F70</f>
        <v>0</v>
      </c>
      <c r="D75" s="417">
        <f>Dry_Matter_Content!G62</f>
        <v>0.56999999999999995</v>
      </c>
      <c r="E75" s="283">
        <f>MCF!R74</f>
        <v>1</v>
      </c>
      <c r="F75" s="67">
        <f t="shared" si="0"/>
        <v>0</v>
      </c>
      <c r="G75" s="67">
        <f t="shared" si="1"/>
        <v>0</v>
      </c>
      <c r="H75" s="67">
        <f t="shared" si="2"/>
        <v>0</v>
      </c>
      <c r="I75" s="67">
        <f t="shared" si="3"/>
        <v>0</v>
      </c>
      <c r="J75" s="67">
        <f t="shared" si="4"/>
        <v>0</v>
      </c>
      <c r="K75" s="100">
        <f t="shared" si="6"/>
        <v>0</v>
      </c>
      <c r="O75" s="96">
        <f>Amnt_Deposited!B70</f>
        <v>2056</v>
      </c>
      <c r="P75" s="99">
        <f>Amnt_Deposited!G70</f>
        <v>0</v>
      </c>
      <c r="Q75" s="283">
        <f>MCF!R74</f>
        <v>1</v>
      </c>
      <c r="R75" s="67">
        <f t="shared" si="5"/>
        <v>0</v>
      </c>
      <c r="S75" s="67">
        <f t="shared" si="7"/>
        <v>0</v>
      </c>
      <c r="T75" s="67">
        <f t="shared" si="8"/>
        <v>0</v>
      </c>
      <c r="U75" s="67">
        <f t="shared" si="9"/>
        <v>8.2483160827771602</v>
      </c>
      <c r="V75" s="67">
        <f t="shared" si="10"/>
        <v>0.29380261695577181</v>
      </c>
      <c r="W75" s="100">
        <f t="shared" si="11"/>
        <v>0.19586841130384786</v>
      </c>
    </row>
    <row r="76" spans="2:23">
      <c r="B76" s="96">
        <f>Amnt_Deposited!B71</f>
        <v>2057</v>
      </c>
      <c r="C76" s="99">
        <f>Amnt_Deposited!F71</f>
        <v>0</v>
      </c>
      <c r="D76" s="417">
        <f>Dry_Matter_Content!G63</f>
        <v>0.56999999999999995</v>
      </c>
      <c r="E76" s="283">
        <f>MCF!R75</f>
        <v>1</v>
      </c>
      <c r="F76" s="67">
        <f t="shared" si="0"/>
        <v>0</v>
      </c>
      <c r="G76" s="67">
        <f t="shared" si="1"/>
        <v>0</v>
      </c>
      <c r="H76" s="67">
        <f t="shared" si="2"/>
        <v>0</v>
      </c>
      <c r="I76" s="67">
        <f t="shared" si="3"/>
        <v>0</v>
      </c>
      <c r="J76" s="67">
        <f t="shared" si="4"/>
        <v>0</v>
      </c>
      <c r="K76" s="100">
        <f t="shared" si="6"/>
        <v>0</v>
      </c>
      <c r="O76" s="96">
        <f>Amnt_Deposited!B71</f>
        <v>2057</v>
      </c>
      <c r="P76" s="99">
        <f>Amnt_Deposited!G71</f>
        <v>0</v>
      </c>
      <c r="Q76" s="283">
        <f>MCF!R75</f>
        <v>1</v>
      </c>
      <c r="R76" s="67">
        <f t="shared" si="5"/>
        <v>0</v>
      </c>
      <c r="S76" s="67">
        <f t="shared" si="7"/>
        <v>0</v>
      </c>
      <c r="T76" s="67">
        <f t="shared" si="8"/>
        <v>0</v>
      </c>
      <c r="U76" s="67">
        <f t="shared" si="9"/>
        <v>7.9646186845340194</v>
      </c>
      <c r="V76" s="67">
        <f t="shared" si="10"/>
        <v>0.28369739824314039</v>
      </c>
      <c r="W76" s="100">
        <f t="shared" si="11"/>
        <v>0.18913159882876024</v>
      </c>
    </row>
    <row r="77" spans="2:23">
      <c r="B77" s="96">
        <f>Amnt_Deposited!B72</f>
        <v>2058</v>
      </c>
      <c r="C77" s="99">
        <f>Amnt_Deposited!F72</f>
        <v>0</v>
      </c>
      <c r="D77" s="417">
        <f>Dry_Matter_Content!G64</f>
        <v>0.56999999999999995</v>
      </c>
      <c r="E77" s="283">
        <f>MCF!R76</f>
        <v>1</v>
      </c>
      <c r="F77" s="67">
        <f t="shared" si="0"/>
        <v>0</v>
      </c>
      <c r="G77" s="67">
        <f t="shared" si="1"/>
        <v>0</v>
      </c>
      <c r="H77" s="67">
        <f t="shared" si="2"/>
        <v>0</v>
      </c>
      <c r="I77" s="67">
        <f t="shared" si="3"/>
        <v>0</v>
      </c>
      <c r="J77" s="67">
        <f t="shared" si="4"/>
        <v>0</v>
      </c>
      <c r="K77" s="100">
        <f t="shared" si="6"/>
        <v>0</v>
      </c>
      <c r="O77" s="96">
        <f>Amnt_Deposited!B72</f>
        <v>2058</v>
      </c>
      <c r="P77" s="99">
        <f>Amnt_Deposited!G72</f>
        <v>0</v>
      </c>
      <c r="Q77" s="283">
        <f>MCF!R76</f>
        <v>1</v>
      </c>
      <c r="R77" s="67">
        <f t="shared" si="5"/>
        <v>0</v>
      </c>
      <c r="S77" s="67">
        <f t="shared" si="7"/>
        <v>0</v>
      </c>
      <c r="T77" s="67">
        <f t="shared" si="8"/>
        <v>0</v>
      </c>
      <c r="U77" s="67">
        <f t="shared" si="9"/>
        <v>7.6906789402122628</v>
      </c>
      <c r="V77" s="67">
        <f t="shared" si="10"/>
        <v>0.27393974432175616</v>
      </c>
      <c r="W77" s="100">
        <f t="shared" si="11"/>
        <v>0.18262649621450411</v>
      </c>
    </row>
    <row r="78" spans="2:23">
      <c r="B78" s="96">
        <f>Amnt_Deposited!B73</f>
        <v>2059</v>
      </c>
      <c r="C78" s="99">
        <f>Amnt_Deposited!F73</f>
        <v>0</v>
      </c>
      <c r="D78" s="417">
        <f>Dry_Matter_Content!G65</f>
        <v>0.56999999999999995</v>
      </c>
      <c r="E78" s="283">
        <f>MCF!R77</f>
        <v>1</v>
      </c>
      <c r="F78" s="67">
        <f t="shared" si="0"/>
        <v>0</v>
      </c>
      <c r="G78" s="67">
        <f t="shared" si="1"/>
        <v>0</v>
      </c>
      <c r="H78" s="67">
        <f t="shared" si="2"/>
        <v>0</v>
      </c>
      <c r="I78" s="67">
        <f t="shared" si="3"/>
        <v>0</v>
      </c>
      <c r="J78" s="67">
        <f t="shared" si="4"/>
        <v>0</v>
      </c>
      <c r="K78" s="100">
        <f t="shared" si="6"/>
        <v>0</v>
      </c>
      <c r="O78" s="96">
        <f>Amnt_Deposited!B73</f>
        <v>2059</v>
      </c>
      <c r="P78" s="99">
        <f>Amnt_Deposited!G73</f>
        <v>0</v>
      </c>
      <c r="Q78" s="283">
        <f>MCF!R77</f>
        <v>1</v>
      </c>
      <c r="R78" s="67">
        <f t="shared" si="5"/>
        <v>0</v>
      </c>
      <c r="S78" s="67">
        <f t="shared" si="7"/>
        <v>0</v>
      </c>
      <c r="T78" s="67">
        <f t="shared" si="8"/>
        <v>0</v>
      </c>
      <c r="U78" s="67">
        <f t="shared" si="9"/>
        <v>7.4261612393669623</v>
      </c>
      <c r="V78" s="67">
        <f t="shared" si="10"/>
        <v>0.26451770084530069</v>
      </c>
      <c r="W78" s="100">
        <f t="shared" si="11"/>
        <v>0.17634513389686712</v>
      </c>
    </row>
    <row r="79" spans="2:23">
      <c r="B79" s="96">
        <f>Amnt_Deposited!B74</f>
        <v>2060</v>
      </c>
      <c r="C79" s="99">
        <f>Amnt_Deposited!F74</f>
        <v>0</v>
      </c>
      <c r="D79" s="417">
        <f>Dry_Matter_Content!G66</f>
        <v>0.56999999999999995</v>
      </c>
      <c r="E79" s="283">
        <f>MCF!R78</f>
        <v>1</v>
      </c>
      <c r="F79" s="67">
        <f t="shared" si="0"/>
        <v>0</v>
      </c>
      <c r="G79" s="67">
        <f t="shared" si="1"/>
        <v>0</v>
      </c>
      <c r="H79" s="67">
        <f t="shared" si="2"/>
        <v>0</v>
      </c>
      <c r="I79" s="67">
        <f t="shared" si="3"/>
        <v>0</v>
      </c>
      <c r="J79" s="67">
        <f t="shared" si="4"/>
        <v>0</v>
      </c>
      <c r="K79" s="100">
        <f t="shared" si="6"/>
        <v>0</v>
      </c>
      <c r="O79" s="96">
        <f>Amnt_Deposited!B74</f>
        <v>2060</v>
      </c>
      <c r="P79" s="99">
        <f>Amnt_Deposited!G74</f>
        <v>0</v>
      </c>
      <c r="Q79" s="283">
        <f>MCF!R78</f>
        <v>1</v>
      </c>
      <c r="R79" s="67">
        <f t="shared" si="5"/>
        <v>0</v>
      </c>
      <c r="S79" s="67">
        <f t="shared" si="7"/>
        <v>0</v>
      </c>
      <c r="T79" s="67">
        <f t="shared" si="8"/>
        <v>0</v>
      </c>
      <c r="U79" s="67">
        <f t="shared" si="9"/>
        <v>7.1707415147347415</v>
      </c>
      <c r="V79" s="67">
        <f t="shared" si="10"/>
        <v>0.25541972463222101</v>
      </c>
      <c r="W79" s="100">
        <f t="shared" si="11"/>
        <v>0.17027981642148066</v>
      </c>
    </row>
    <row r="80" spans="2:23">
      <c r="B80" s="96">
        <f>Amnt_Deposited!B75</f>
        <v>2061</v>
      </c>
      <c r="C80" s="99">
        <f>Amnt_Deposited!F75</f>
        <v>0</v>
      </c>
      <c r="D80" s="417">
        <f>Dry_Matter_Content!G67</f>
        <v>0.56999999999999995</v>
      </c>
      <c r="E80" s="283">
        <f>MCF!R79</f>
        <v>1</v>
      </c>
      <c r="F80" s="67">
        <f t="shared" si="0"/>
        <v>0</v>
      </c>
      <c r="G80" s="67">
        <f t="shared" si="1"/>
        <v>0</v>
      </c>
      <c r="H80" s="67">
        <f t="shared" si="2"/>
        <v>0</v>
      </c>
      <c r="I80" s="67">
        <f t="shared" si="3"/>
        <v>0</v>
      </c>
      <c r="J80" s="67">
        <f t="shared" si="4"/>
        <v>0</v>
      </c>
      <c r="K80" s="100">
        <f t="shared" si="6"/>
        <v>0</v>
      </c>
      <c r="O80" s="96">
        <f>Amnt_Deposited!B75</f>
        <v>2061</v>
      </c>
      <c r="P80" s="99">
        <f>Amnt_Deposited!G75</f>
        <v>0</v>
      </c>
      <c r="Q80" s="283">
        <f>MCF!R79</f>
        <v>1</v>
      </c>
      <c r="R80" s="67">
        <f t="shared" si="5"/>
        <v>0</v>
      </c>
      <c r="S80" s="67">
        <f t="shared" si="7"/>
        <v>0</v>
      </c>
      <c r="T80" s="67">
        <f t="shared" si="8"/>
        <v>0</v>
      </c>
      <c r="U80" s="67">
        <f t="shared" si="9"/>
        <v>6.9241068452108525</v>
      </c>
      <c r="V80" s="67">
        <f t="shared" si="10"/>
        <v>0.24663466952388879</v>
      </c>
      <c r="W80" s="100">
        <f t="shared" si="11"/>
        <v>0.16442311301592585</v>
      </c>
    </row>
    <row r="81" spans="2:23">
      <c r="B81" s="96">
        <f>Amnt_Deposited!B76</f>
        <v>2062</v>
      </c>
      <c r="C81" s="99">
        <f>Amnt_Deposited!F76</f>
        <v>0</v>
      </c>
      <c r="D81" s="417">
        <f>Dry_Matter_Content!G68</f>
        <v>0.56999999999999995</v>
      </c>
      <c r="E81" s="283">
        <f>MCF!R80</f>
        <v>1</v>
      </c>
      <c r="F81" s="67">
        <f t="shared" si="0"/>
        <v>0</v>
      </c>
      <c r="G81" s="67">
        <f t="shared" si="1"/>
        <v>0</v>
      </c>
      <c r="H81" s="67">
        <f t="shared" si="2"/>
        <v>0</v>
      </c>
      <c r="I81" s="67">
        <f t="shared" si="3"/>
        <v>0</v>
      </c>
      <c r="J81" s="67">
        <f t="shared" si="4"/>
        <v>0</v>
      </c>
      <c r="K81" s="100">
        <f t="shared" si="6"/>
        <v>0</v>
      </c>
      <c r="O81" s="96">
        <f>Amnt_Deposited!B76</f>
        <v>2062</v>
      </c>
      <c r="P81" s="99">
        <f>Amnt_Deposited!G76</f>
        <v>0</v>
      </c>
      <c r="Q81" s="283">
        <f>MCF!R80</f>
        <v>1</v>
      </c>
      <c r="R81" s="67">
        <f t="shared" si="5"/>
        <v>0</v>
      </c>
      <c r="S81" s="67">
        <f t="shared" si="7"/>
        <v>0</v>
      </c>
      <c r="T81" s="67">
        <f t="shared" si="8"/>
        <v>0</v>
      </c>
      <c r="U81" s="67">
        <f t="shared" si="9"/>
        <v>6.6859550724816907</v>
      </c>
      <c r="V81" s="67">
        <f t="shared" si="10"/>
        <v>0.23815177272916196</v>
      </c>
      <c r="W81" s="100">
        <f t="shared" si="11"/>
        <v>0.15876784848610798</v>
      </c>
    </row>
    <row r="82" spans="2:23">
      <c r="B82" s="96">
        <f>Amnt_Deposited!B77</f>
        <v>2063</v>
      </c>
      <c r="C82" s="99">
        <f>Amnt_Deposited!F77</f>
        <v>0</v>
      </c>
      <c r="D82" s="417">
        <f>Dry_Matter_Content!G69</f>
        <v>0.56999999999999995</v>
      </c>
      <c r="E82" s="283">
        <f>MCF!R81</f>
        <v>1</v>
      </c>
      <c r="F82" s="67">
        <f t="shared" si="0"/>
        <v>0</v>
      </c>
      <c r="G82" s="67">
        <f t="shared" si="1"/>
        <v>0</v>
      </c>
      <c r="H82" s="67">
        <f t="shared" si="2"/>
        <v>0</v>
      </c>
      <c r="I82" s="67">
        <f t="shared" si="3"/>
        <v>0</v>
      </c>
      <c r="J82" s="67">
        <f t="shared" si="4"/>
        <v>0</v>
      </c>
      <c r="K82" s="100">
        <f t="shared" si="6"/>
        <v>0</v>
      </c>
      <c r="O82" s="96">
        <f>Amnt_Deposited!B77</f>
        <v>2063</v>
      </c>
      <c r="P82" s="99">
        <f>Amnt_Deposited!G77</f>
        <v>0</v>
      </c>
      <c r="Q82" s="283">
        <f>MCF!R81</f>
        <v>1</v>
      </c>
      <c r="R82" s="67">
        <f t="shared" si="5"/>
        <v>0</v>
      </c>
      <c r="S82" s="67">
        <f t="shared" si="7"/>
        <v>0</v>
      </c>
      <c r="T82" s="67">
        <f t="shared" si="8"/>
        <v>0</v>
      </c>
      <c r="U82" s="67">
        <f t="shared" si="9"/>
        <v>6.455994430843071</v>
      </c>
      <c r="V82" s="67">
        <f t="shared" si="10"/>
        <v>0.22996064163861982</v>
      </c>
      <c r="W82" s="100">
        <f t="shared" si="11"/>
        <v>0.15330709442574653</v>
      </c>
    </row>
    <row r="83" spans="2:23">
      <c r="B83" s="96">
        <f>Amnt_Deposited!B78</f>
        <v>2064</v>
      </c>
      <c r="C83" s="99">
        <f>Amnt_Deposited!F78</f>
        <v>0</v>
      </c>
      <c r="D83" s="417">
        <f>Dry_Matter_Content!G70</f>
        <v>0.56999999999999995</v>
      </c>
      <c r="E83" s="283">
        <f>MCF!R82</f>
        <v>1</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Amnt_Deposited!G78</f>
        <v>0</v>
      </c>
      <c r="Q83" s="283">
        <f>MCF!R82</f>
        <v>1</v>
      </c>
      <c r="R83" s="67">
        <f t="shared" ref="R83:R99" si="17">P83*$W$6*DOCF*Q83</f>
        <v>0</v>
      </c>
      <c r="S83" s="67">
        <f t="shared" si="7"/>
        <v>0</v>
      </c>
      <c r="T83" s="67">
        <f t="shared" si="8"/>
        <v>0</v>
      </c>
      <c r="U83" s="67">
        <f t="shared" si="9"/>
        <v>6.2339431897507547</v>
      </c>
      <c r="V83" s="67">
        <f t="shared" si="10"/>
        <v>0.22205124109231655</v>
      </c>
      <c r="W83" s="100">
        <f t="shared" si="11"/>
        <v>0.14803416072821102</v>
      </c>
    </row>
    <row r="84" spans="2:23">
      <c r="B84" s="96">
        <f>Amnt_Deposited!B79</f>
        <v>2065</v>
      </c>
      <c r="C84" s="99">
        <f>Amnt_Deposited!F79</f>
        <v>0</v>
      </c>
      <c r="D84" s="417">
        <f>Dry_Matter_Content!G71</f>
        <v>0.56999999999999995</v>
      </c>
      <c r="E84" s="283">
        <f>MCF!R83</f>
        <v>1</v>
      </c>
      <c r="F84" s="67">
        <f t="shared" si="12"/>
        <v>0</v>
      </c>
      <c r="G84" s="67">
        <f t="shared" si="13"/>
        <v>0</v>
      </c>
      <c r="H84" s="67">
        <f t="shared" si="14"/>
        <v>0</v>
      </c>
      <c r="I84" s="67">
        <f t="shared" si="15"/>
        <v>0</v>
      </c>
      <c r="J84" s="67">
        <f t="shared" si="16"/>
        <v>0</v>
      </c>
      <c r="K84" s="100">
        <f t="shared" si="6"/>
        <v>0</v>
      </c>
      <c r="O84" s="96">
        <f>Amnt_Deposited!B79</f>
        <v>2065</v>
      </c>
      <c r="P84" s="99">
        <f>Amnt_Deposited!G79</f>
        <v>0</v>
      </c>
      <c r="Q84" s="283">
        <f>MCF!R83</f>
        <v>1</v>
      </c>
      <c r="R84" s="67">
        <f t="shared" si="17"/>
        <v>0</v>
      </c>
      <c r="S84" s="67">
        <f t="shared" si="7"/>
        <v>0</v>
      </c>
      <c r="T84" s="67">
        <f t="shared" si="8"/>
        <v>0</v>
      </c>
      <c r="U84" s="67">
        <f t="shared" si="9"/>
        <v>6.019529308665299</v>
      </c>
      <c r="V84" s="67">
        <f t="shared" si="10"/>
        <v>0.21441388108545559</v>
      </c>
      <c r="W84" s="100">
        <f t="shared" si="11"/>
        <v>0.14294258739030372</v>
      </c>
    </row>
    <row r="85" spans="2:23">
      <c r="B85" s="96">
        <f>Amnt_Deposited!B80</f>
        <v>2066</v>
      </c>
      <c r="C85" s="99">
        <f>Amnt_Deposited!F80</f>
        <v>0</v>
      </c>
      <c r="D85" s="417">
        <f>Dry_Matter_Content!G72</f>
        <v>0.56999999999999995</v>
      </c>
      <c r="E85" s="283">
        <f>MCF!R84</f>
        <v>1</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Amnt_Deposited!G80</f>
        <v>0</v>
      </c>
      <c r="Q85" s="283">
        <f>MCF!R84</f>
        <v>1</v>
      </c>
      <c r="R85" s="67">
        <f t="shared" si="17"/>
        <v>0</v>
      </c>
      <c r="S85" s="67">
        <f t="shared" ref="S85:S98" si="19">R85*$W$12</f>
        <v>0</v>
      </c>
      <c r="T85" s="67">
        <f t="shared" ref="T85:T98" si="20">R85*(1-$W$12)</f>
        <v>0</v>
      </c>
      <c r="U85" s="67">
        <f t="shared" ref="U85:U98" si="21">S85+U84*$W$10</f>
        <v>5.8124901037683774</v>
      </c>
      <c r="V85" s="67">
        <f t="shared" ref="V85:V98" si="22">U84*(1-$W$10)+T85</f>
        <v>0.20703920489692168</v>
      </c>
      <c r="W85" s="100">
        <f t="shared" ref="W85:W99" si="23">V85*CH4_fraction*conv</f>
        <v>0.13802613659794777</v>
      </c>
    </row>
    <row r="86" spans="2:23">
      <c r="B86" s="96">
        <f>Amnt_Deposited!B81</f>
        <v>2067</v>
      </c>
      <c r="C86" s="99">
        <f>Amnt_Deposited!F81</f>
        <v>0</v>
      </c>
      <c r="D86" s="417">
        <f>Dry_Matter_Content!G73</f>
        <v>0.56999999999999995</v>
      </c>
      <c r="E86" s="283">
        <f>MCF!R85</f>
        <v>1</v>
      </c>
      <c r="F86" s="67">
        <f t="shared" si="12"/>
        <v>0</v>
      </c>
      <c r="G86" s="67">
        <f t="shared" si="13"/>
        <v>0</v>
      </c>
      <c r="H86" s="67">
        <f t="shared" si="14"/>
        <v>0</v>
      </c>
      <c r="I86" s="67">
        <f t="shared" si="15"/>
        <v>0</v>
      </c>
      <c r="J86" s="67">
        <f t="shared" si="16"/>
        <v>0</v>
      </c>
      <c r="K86" s="100">
        <f t="shared" si="18"/>
        <v>0</v>
      </c>
      <c r="O86" s="96">
        <f>Amnt_Deposited!B81</f>
        <v>2067</v>
      </c>
      <c r="P86" s="99">
        <f>Amnt_Deposited!G81</f>
        <v>0</v>
      </c>
      <c r="Q86" s="283">
        <f>MCF!R85</f>
        <v>1</v>
      </c>
      <c r="R86" s="67">
        <f t="shared" si="17"/>
        <v>0</v>
      </c>
      <c r="S86" s="67">
        <f t="shared" si="19"/>
        <v>0</v>
      </c>
      <c r="T86" s="67">
        <f t="shared" si="20"/>
        <v>0</v>
      </c>
      <c r="U86" s="67">
        <f t="shared" si="21"/>
        <v>5.61257192614225</v>
      </c>
      <c r="V86" s="67">
        <f t="shared" si="22"/>
        <v>0.19991817762612765</v>
      </c>
      <c r="W86" s="100">
        <f t="shared" si="23"/>
        <v>0.13327878508408508</v>
      </c>
    </row>
    <row r="87" spans="2:23">
      <c r="B87" s="96">
        <f>Amnt_Deposited!B82</f>
        <v>2068</v>
      </c>
      <c r="C87" s="99">
        <f>Amnt_Deposited!F82</f>
        <v>0</v>
      </c>
      <c r="D87" s="417">
        <f>Dry_Matter_Content!G74</f>
        <v>0.56999999999999995</v>
      </c>
      <c r="E87" s="283">
        <f>MCF!R86</f>
        <v>1</v>
      </c>
      <c r="F87" s="67">
        <f t="shared" si="12"/>
        <v>0</v>
      </c>
      <c r="G87" s="67">
        <f t="shared" si="13"/>
        <v>0</v>
      </c>
      <c r="H87" s="67">
        <f t="shared" si="14"/>
        <v>0</v>
      </c>
      <c r="I87" s="67">
        <f t="shared" si="15"/>
        <v>0</v>
      </c>
      <c r="J87" s="67">
        <f t="shared" si="16"/>
        <v>0</v>
      </c>
      <c r="K87" s="100">
        <f t="shared" si="18"/>
        <v>0</v>
      </c>
      <c r="O87" s="96">
        <f>Amnt_Deposited!B82</f>
        <v>2068</v>
      </c>
      <c r="P87" s="99">
        <f>Amnt_Deposited!G82</f>
        <v>0</v>
      </c>
      <c r="Q87" s="283">
        <f>MCF!R86</f>
        <v>1</v>
      </c>
      <c r="R87" s="67">
        <f t="shared" si="17"/>
        <v>0</v>
      </c>
      <c r="S87" s="67">
        <f t="shared" si="19"/>
        <v>0</v>
      </c>
      <c r="T87" s="67">
        <f t="shared" si="20"/>
        <v>0</v>
      </c>
      <c r="U87" s="67">
        <f t="shared" si="21"/>
        <v>5.4195298510181189</v>
      </c>
      <c r="V87" s="67">
        <f t="shared" si="22"/>
        <v>0.19304207512413113</v>
      </c>
      <c r="W87" s="100">
        <f t="shared" si="23"/>
        <v>0.12869471674942073</v>
      </c>
    </row>
    <row r="88" spans="2:23">
      <c r="B88" s="96">
        <f>Amnt_Deposited!B83</f>
        <v>2069</v>
      </c>
      <c r="C88" s="99">
        <f>Amnt_Deposited!F83</f>
        <v>0</v>
      </c>
      <c r="D88" s="417">
        <f>Dry_Matter_Content!G75</f>
        <v>0.56999999999999995</v>
      </c>
      <c r="E88" s="283">
        <f>MCF!R87</f>
        <v>1</v>
      </c>
      <c r="F88" s="67">
        <f t="shared" si="12"/>
        <v>0</v>
      </c>
      <c r="G88" s="67">
        <f t="shared" si="13"/>
        <v>0</v>
      </c>
      <c r="H88" s="67">
        <f t="shared" si="14"/>
        <v>0</v>
      </c>
      <c r="I88" s="67">
        <f t="shared" si="15"/>
        <v>0</v>
      </c>
      <c r="J88" s="67">
        <f t="shared" si="16"/>
        <v>0</v>
      </c>
      <c r="K88" s="100">
        <f t="shared" si="18"/>
        <v>0</v>
      </c>
      <c r="O88" s="96">
        <f>Amnt_Deposited!B83</f>
        <v>2069</v>
      </c>
      <c r="P88" s="99">
        <f>Amnt_Deposited!G83</f>
        <v>0</v>
      </c>
      <c r="Q88" s="283">
        <f>MCF!R87</f>
        <v>1</v>
      </c>
      <c r="R88" s="67">
        <f t="shared" si="17"/>
        <v>0</v>
      </c>
      <c r="S88" s="67">
        <f t="shared" si="19"/>
        <v>0</v>
      </c>
      <c r="T88" s="67">
        <f t="shared" si="20"/>
        <v>0</v>
      </c>
      <c r="U88" s="67">
        <f t="shared" si="21"/>
        <v>5.2331273777126581</v>
      </c>
      <c r="V88" s="67">
        <f t="shared" si="22"/>
        <v>0.18640247330546106</v>
      </c>
      <c r="W88" s="100">
        <f t="shared" si="23"/>
        <v>0.12426831553697404</v>
      </c>
    </row>
    <row r="89" spans="2:23">
      <c r="B89" s="96">
        <f>Amnt_Deposited!B84</f>
        <v>2070</v>
      </c>
      <c r="C89" s="99">
        <f>Amnt_Deposited!F84</f>
        <v>0</v>
      </c>
      <c r="D89" s="417">
        <f>Dry_Matter_Content!G76</f>
        <v>0.56999999999999995</v>
      </c>
      <c r="E89" s="283">
        <f>MCF!R88</f>
        <v>1</v>
      </c>
      <c r="F89" s="67">
        <f t="shared" si="12"/>
        <v>0</v>
      </c>
      <c r="G89" s="67">
        <f t="shared" si="13"/>
        <v>0</v>
      </c>
      <c r="H89" s="67">
        <f t="shared" si="14"/>
        <v>0</v>
      </c>
      <c r="I89" s="67">
        <f t="shared" si="15"/>
        <v>0</v>
      </c>
      <c r="J89" s="67">
        <f t="shared" si="16"/>
        <v>0</v>
      </c>
      <c r="K89" s="100">
        <f t="shared" si="18"/>
        <v>0</v>
      </c>
      <c r="O89" s="96">
        <f>Amnt_Deposited!B84</f>
        <v>2070</v>
      </c>
      <c r="P89" s="99">
        <f>Amnt_Deposited!G84</f>
        <v>0</v>
      </c>
      <c r="Q89" s="283">
        <f>MCF!R88</f>
        <v>1</v>
      </c>
      <c r="R89" s="67">
        <f t="shared" si="17"/>
        <v>0</v>
      </c>
      <c r="S89" s="67">
        <f t="shared" si="19"/>
        <v>0</v>
      </c>
      <c r="T89" s="67">
        <f t="shared" si="20"/>
        <v>0</v>
      </c>
      <c r="U89" s="67">
        <f t="shared" si="21"/>
        <v>5.0531361398850985</v>
      </c>
      <c r="V89" s="67">
        <f t="shared" si="22"/>
        <v>0.17999123782755963</v>
      </c>
      <c r="W89" s="100">
        <f t="shared" si="23"/>
        <v>0.11999415855170642</v>
      </c>
    </row>
    <row r="90" spans="2:23">
      <c r="B90" s="96">
        <f>Amnt_Deposited!B85</f>
        <v>2071</v>
      </c>
      <c r="C90" s="99">
        <f>Amnt_Deposited!F85</f>
        <v>0</v>
      </c>
      <c r="D90" s="417">
        <f>Dry_Matter_Content!G77</f>
        <v>0.56999999999999995</v>
      </c>
      <c r="E90" s="283">
        <f>MCF!R89</f>
        <v>1</v>
      </c>
      <c r="F90" s="67">
        <f t="shared" si="12"/>
        <v>0</v>
      </c>
      <c r="G90" s="67">
        <f t="shared" si="13"/>
        <v>0</v>
      </c>
      <c r="H90" s="67">
        <f t="shared" si="14"/>
        <v>0</v>
      </c>
      <c r="I90" s="67">
        <f t="shared" si="15"/>
        <v>0</v>
      </c>
      <c r="J90" s="67">
        <f t="shared" si="16"/>
        <v>0</v>
      </c>
      <c r="K90" s="100">
        <f t="shared" si="18"/>
        <v>0</v>
      </c>
      <c r="O90" s="96">
        <f>Amnt_Deposited!B85</f>
        <v>2071</v>
      </c>
      <c r="P90" s="99">
        <f>Amnt_Deposited!G85</f>
        <v>0</v>
      </c>
      <c r="Q90" s="283">
        <f>MCF!R89</f>
        <v>1</v>
      </c>
      <c r="R90" s="67">
        <f t="shared" si="17"/>
        <v>0</v>
      </c>
      <c r="S90" s="67">
        <f t="shared" si="19"/>
        <v>0</v>
      </c>
      <c r="T90" s="67">
        <f t="shared" si="20"/>
        <v>0</v>
      </c>
      <c r="U90" s="67">
        <f t="shared" si="21"/>
        <v>4.8793356257599028</v>
      </c>
      <c r="V90" s="67">
        <f t="shared" si="22"/>
        <v>0.17380051412519537</v>
      </c>
      <c r="W90" s="100">
        <f t="shared" si="23"/>
        <v>0.11586700941679691</v>
      </c>
    </row>
    <row r="91" spans="2:23">
      <c r="B91" s="96">
        <f>Amnt_Deposited!B86</f>
        <v>2072</v>
      </c>
      <c r="C91" s="99">
        <f>Amnt_Deposited!F86</f>
        <v>0</v>
      </c>
      <c r="D91" s="417">
        <f>Dry_Matter_Content!G78</f>
        <v>0.56999999999999995</v>
      </c>
      <c r="E91" s="283">
        <f>MCF!R90</f>
        <v>1</v>
      </c>
      <c r="F91" s="67">
        <f t="shared" si="12"/>
        <v>0</v>
      </c>
      <c r="G91" s="67">
        <f t="shared" si="13"/>
        <v>0</v>
      </c>
      <c r="H91" s="67">
        <f t="shared" si="14"/>
        <v>0</v>
      </c>
      <c r="I91" s="67">
        <f t="shared" si="15"/>
        <v>0</v>
      </c>
      <c r="J91" s="67">
        <f t="shared" si="16"/>
        <v>0</v>
      </c>
      <c r="K91" s="100">
        <f t="shared" si="18"/>
        <v>0</v>
      </c>
      <c r="O91" s="96">
        <f>Amnt_Deposited!B86</f>
        <v>2072</v>
      </c>
      <c r="P91" s="99">
        <f>Amnt_Deposited!G86</f>
        <v>0</v>
      </c>
      <c r="Q91" s="283">
        <f>MCF!R90</f>
        <v>1</v>
      </c>
      <c r="R91" s="67">
        <f t="shared" si="17"/>
        <v>0</v>
      </c>
      <c r="S91" s="67">
        <f t="shared" si="19"/>
        <v>0</v>
      </c>
      <c r="T91" s="67">
        <f t="shared" si="20"/>
        <v>0</v>
      </c>
      <c r="U91" s="67">
        <f t="shared" si="21"/>
        <v>4.7115129079722644</v>
      </c>
      <c r="V91" s="67">
        <f t="shared" si="22"/>
        <v>0.16782271778763833</v>
      </c>
      <c r="W91" s="100">
        <f t="shared" si="23"/>
        <v>0.11188181185842555</v>
      </c>
    </row>
    <row r="92" spans="2:23">
      <c r="B92" s="96">
        <f>Amnt_Deposited!B87</f>
        <v>2073</v>
      </c>
      <c r="C92" s="99">
        <f>Amnt_Deposited!F87</f>
        <v>0</v>
      </c>
      <c r="D92" s="417">
        <f>Dry_Matter_Content!G79</f>
        <v>0.56999999999999995</v>
      </c>
      <c r="E92" s="283">
        <f>MCF!R91</f>
        <v>1</v>
      </c>
      <c r="F92" s="67">
        <f t="shared" si="12"/>
        <v>0</v>
      </c>
      <c r="G92" s="67">
        <f t="shared" si="13"/>
        <v>0</v>
      </c>
      <c r="H92" s="67">
        <f t="shared" si="14"/>
        <v>0</v>
      </c>
      <c r="I92" s="67">
        <f t="shared" si="15"/>
        <v>0</v>
      </c>
      <c r="J92" s="67">
        <f t="shared" si="16"/>
        <v>0</v>
      </c>
      <c r="K92" s="100">
        <f t="shared" si="18"/>
        <v>0</v>
      </c>
      <c r="O92" s="96">
        <f>Amnt_Deposited!B87</f>
        <v>2073</v>
      </c>
      <c r="P92" s="99">
        <f>Amnt_Deposited!G87</f>
        <v>0</v>
      </c>
      <c r="Q92" s="283">
        <f>MCF!R91</f>
        <v>1</v>
      </c>
      <c r="R92" s="67">
        <f t="shared" si="17"/>
        <v>0</v>
      </c>
      <c r="S92" s="67">
        <f t="shared" si="19"/>
        <v>0</v>
      </c>
      <c r="T92" s="67">
        <f t="shared" si="20"/>
        <v>0</v>
      </c>
      <c r="U92" s="67">
        <f t="shared" si="21"/>
        <v>4.5494623827054559</v>
      </c>
      <c r="V92" s="67">
        <f t="shared" si="22"/>
        <v>0.1620505252668086</v>
      </c>
      <c r="W92" s="100">
        <f t="shared" si="23"/>
        <v>0.10803368351120574</v>
      </c>
    </row>
    <row r="93" spans="2:23">
      <c r="B93" s="96">
        <f>Amnt_Deposited!B88</f>
        <v>2074</v>
      </c>
      <c r="C93" s="99">
        <f>Amnt_Deposited!F88</f>
        <v>0</v>
      </c>
      <c r="D93" s="417">
        <f>Dry_Matter_Content!G80</f>
        <v>0.56999999999999995</v>
      </c>
      <c r="E93" s="283">
        <f>MCF!R92</f>
        <v>1</v>
      </c>
      <c r="F93" s="67">
        <f t="shared" si="12"/>
        <v>0</v>
      </c>
      <c r="G93" s="67">
        <f t="shared" si="13"/>
        <v>0</v>
      </c>
      <c r="H93" s="67">
        <f t="shared" si="14"/>
        <v>0</v>
      </c>
      <c r="I93" s="67">
        <f t="shared" si="15"/>
        <v>0</v>
      </c>
      <c r="J93" s="67">
        <f t="shared" si="16"/>
        <v>0</v>
      </c>
      <c r="K93" s="100">
        <f t="shared" si="18"/>
        <v>0</v>
      </c>
      <c r="O93" s="96">
        <f>Amnt_Deposited!B88</f>
        <v>2074</v>
      </c>
      <c r="P93" s="99">
        <f>Amnt_Deposited!G88</f>
        <v>0</v>
      </c>
      <c r="Q93" s="283">
        <f>MCF!R92</f>
        <v>1</v>
      </c>
      <c r="R93" s="67">
        <f t="shared" si="17"/>
        <v>0</v>
      </c>
      <c r="S93" s="67">
        <f t="shared" si="19"/>
        <v>0</v>
      </c>
      <c r="T93" s="67">
        <f t="shared" si="20"/>
        <v>0</v>
      </c>
      <c r="U93" s="67">
        <f t="shared" si="21"/>
        <v>4.392985517800442</v>
      </c>
      <c r="V93" s="67">
        <f t="shared" si="22"/>
        <v>0.15647686490501403</v>
      </c>
      <c r="W93" s="100">
        <f t="shared" si="23"/>
        <v>0.10431790993667601</v>
      </c>
    </row>
    <row r="94" spans="2:23">
      <c r="B94" s="96">
        <f>Amnt_Deposited!B89</f>
        <v>2075</v>
      </c>
      <c r="C94" s="99">
        <f>Amnt_Deposited!F89</f>
        <v>0</v>
      </c>
      <c r="D94" s="417">
        <f>Dry_Matter_Content!G81</f>
        <v>0.56999999999999995</v>
      </c>
      <c r="E94" s="283">
        <f>MCF!R93</f>
        <v>1</v>
      </c>
      <c r="F94" s="67">
        <f t="shared" si="12"/>
        <v>0</v>
      </c>
      <c r="G94" s="67">
        <f t="shared" si="13"/>
        <v>0</v>
      </c>
      <c r="H94" s="67">
        <f t="shared" si="14"/>
        <v>0</v>
      </c>
      <c r="I94" s="67">
        <f t="shared" si="15"/>
        <v>0</v>
      </c>
      <c r="J94" s="67">
        <f t="shared" si="16"/>
        <v>0</v>
      </c>
      <c r="K94" s="100">
        <f t="shared" si="18"/>
        <v>0</v>
      </c>
      <c r="O94" s="96">
        <f>Amnt_Deposited!B89</f>
        <v>2075</v>
      </c>
      <c r="P94" s="99">
        <f>Amnt_Deposited!G89</f>
        <v>0</v>
      </c>
      <c r="Q94" s="283">
        <f>MCF!R93</f>
        <v>1</v>
      </c>
      <c r="R94" s="67">
        <f t="shared" si="17"/>
        <v>0</v>
      </c>
      <c r="S94" s="67">
        <f t="shared" si="19"/>
        <v>0</v>
      </c>
      <c r="T94" s="67">
        <f t="shared" si="20"/>
        <v>0</v>
      </c>
      <c r="U94" s="67">
        <f t="shared" si="21"/>
        <v>4.2418906095291566</v>
      </c>
      <c r="V94" s="67">
        <f t="shared" si="22"/>
        <v>0.15109490827128505</v>
      </c>
      <c r="W94" s="100">
        <f t="shared" si="23"/>
        <v>0.10072993884752336</v>
      </c>
    </row>
    <row r="95" spans="2:23">
      <c r="B95" s="96">
        <f>Amnt_Deposited!B90</f>
        <v>2076</v>
      </c>
      <c r="C95" s="99">
        <f>Amnt_Deposited!F90</f>
        <v>0</v>
      </c>
      <c r="D95" s="417">
        <f>Dry_Matter_Content!G82</f>
        <v>0.56999999999999995</v>
      </c>
      <c r="E95" s="283">
        <f>MCF!R94</f>
        <v>1</v>
      </c>
      <c r="F95" s="67">
        <f t="shared" si="12"/>
        <v>0</v>
      </c>
      <c r="G95" s="67">
        <f t="shared" si="13"/>
        <v>0</v>
      </c>
      <c r="H95" s="67">
        <f t="shared" si="14"/>
        <v>0</v>
      </c>
      <c r="I95" s="67">
        <f t="shared" si="15"/>
        <v>0</v>
      </c>
      <c r="J95" s="67">
        <f t="shared" si="16"/>
        <v>0</v>
      </c>
      <c r="K95" s="100">
        <f t="shared" si="18"/>
        <v>0</v>
      </c>
      <c r="O95" s="96">
        <f>Amnt_Deposited!B90</f>
        <v>2076</v>
      </c>
      <c r="P95" s="99">
        <f>Amnt_Deposited!G90</f>
        <v>0</v>
      </c>
      <c r="Q95" s="283">
        <f>MCF!R94</f>
        <v>1</v>
      </c>
      <c r="R95" s="67">
        <f t="shared" si="17"/>
        <v>0</v>
      </c>
      <c r="S95" s="67">
        <f t="shared" si="19"/>
        <v>0</v>
      </c>
      <c r="T95" s="67">
        <f t="shared" si="20"/>
        <v>0</v>
      </c>
      <c r="U95" s="67">
        <f t="shared" si="21"/>
        <v>4.0959925477334638</v>
      </c>
      <c r="V95" s="67">
        <f t="shared" si="22"/>
        <v>0.14589806179569301</v>
      </c>
      <c r="W95" s="100">
        <f t="shared" si="23"/>
        <v>9.7265374530461995E-2</v>
      </c>
    </row>
    <row r="96" spans="2:23">
      <c r="B96" s="96">
        <f>Amnt_Deposited!B91</f>
        <v>2077</v>
      </c>
      <c r="C96" s="99">
        <f>Amnt_Deposited!F91</f>
        <v>0</v>
      </c>
      <c r="D96" s="417">
        <f>Dry_Matter_Content!G83</f>
        <v>0.56999999999999995</v>
      </c>
      <c r="E96" s="283">
        <f>MCF!R95</f>
        <v>1</v>
      </c>
      <c r="F96" s="67">
        <f t="shared" si="12"/>
        <v>0</v>
      </c>
      <c r="G96" s="67">
        <f t="shared" si="13"/>
        <v>0</v>
      </c>
      <c r="H96" s="67">
        <f t="shared" si="14"/>
        <v>0</v>
      </c>
      <c r="I96" s="67">
        <f t="shared" si="15"/>
        <v>0</v>
      </c>
      <c r="J96" s="67">
        <f t="shared" si="16"/>
        <v>0</v>
      </c>
      <c r="K96" s="100">
        <f t="shared" si="18"/>
        <v>0</v>
      </c>
      <c r="O96" s="96">
        <f>Amnt_Deposited!B91</f>
        <v>2077</v>
      </c>
      <c r="P96" s="99">
        <f>Amnt_Deposited!G91</f>
        <v>0</v>
      </c>
      <c r="Q96" s="283">
        <f>MCF!R95</f>
        <v>1</v>
      </c>
      <c r="R96" s="67">
        <f t="shared" si="17"/>
        <v>0</v>
      </c>
      <c r="S96" s="67">
        <f t="shared" si="19"/>
        <v>0</v>
      </c>
      <c r="T96" s="67">
        <f t="shared" si="20"/>
        <v>0</v>
      </c>
      <c r="U96" s="67">
        <f t="shared" si="21"/>
        <v>3.9551125890420615</v>
      </c>
      <c r="V96" s="67">
        <f t="shared" si="22"/>
        <v>0.14087995869140232</v>
      </c>
      <c r="W96" s="100">
        <f t="shared" si="23"/>
        <v>9.3919972460934878E-2</v>
      </c>
    </row>
    <row r="97" spans="2:23">
      <c r="B97" s="96">
        <f>Amnt_Deposited!B92</f>
        <v>2078</v>
      </c>
      <c r="C97" s="99">
        <f>Amnt_Deposited!F92</f>
        <v>0</v>
      </c>
      <c r="D97" s="417">
        <f>Dry_Matter_Content!G84</f>
        <v>0.56999999999999995</v>
      </c>
      <c r="E97" s="283">
        <f>MCF!R96</f>
        <v>1</v>
      </c>
      <c r="F97" s="67">
        <f t="shared" si="12"/>
        <v>0</v>
      </c>
      <c r="G97" s="67">
        <f t="shared" si="13"/>
        <v>0</v>
      </c>
      <c r="H97" s="67">
        <f t="shared" si="14"/>
        <v>0</v>
      </c>
      <c r="I97" s="67">
        <f t="shared" si="15"/>
        <v>0</v>
      </c>
      <c r="J97" s="67">
        <f t="shared" si="16"/>
        <v>0</v>
      </c>
      <c r="K97" s="100">
        <f t="shared" si="18"/>
        <v>0</v>
      </c>
      <c r="O97" s="96">
        <f>Amnt_Deposited!B92</f>
        <v>2078</v>
      </c>
      <c r="P97" s="99">
        <f>Amnt_Deposited!G92</f>
        <v>0</v>
      </c>
      <c r="Q97" s="283">
        <f>MCF!R96</f>
        <v>1</v>
      </c>
      <c r="R97" s="67">
        <f t="shared" si="17"/>
        <v>0</v>
      </c>
      <c r="S97" s="67">
        <f t="shared" si="19"/>
        <v>0</v>
      </c>
      <c r="T97" s="67">
        <f t="shared" si="20"/>
        <v>0</v>
      </c>
      <c r="U97" s="67">
        <f t="shared" si="21"/>
        <v>3.8190781378875012</v>
      </c>
      <c r="V97" s="67">
        <f t="shared" si="22"/>
        <v>0.13603445115456031</v>
      </c>
      <c r="W97" s="100">
        <f t="shared" si="23"/>
        <v>9.0689634103040206E-2</v>
      </c>
    </row>
    <row r="98" spans="2:23">
      <c r="B98" s="96">
        <f>Amnt_Deposited!B93</f>
        <v>2079</v>
      </c>
      <c r="C98" s="99">
        <f>Amnt_Deposited!F93</f>
        <v>0</v>
      </c>
      <c r="D98" s="417">
        <f>Dry_Matter_Content!G85</f>
        <v>0.56999999999999995</v>
      </c>
      <c r="E98" s="283">
        <f>MCF!R97</f>
        <v>1</v>
      </c>
      <c r="F98" s="67">
        <f t="shared" si="12"/>
        <v>0</v>
      </c>
      <c r="G98" s="67">
        <f t="shared" si="13"/>
        <v>0</v>
      </c>
      <c r="H98" s="67">
        <f t="shared" si="14"/>
        <v>0</v>
      </c>
      <c r="I98" s="67">
        <f t="shared" si="15"/>
        <v>0</v>
      </c>
      <c r="J98" s="67">
        <f t="shared" si="16"/>
        <v>0</v>
      </c>
      <c r="K98" s="100">
        <f t="shared" si="18"/>
        <v>0</v>
      </c>
      <c r="O98" s="96">
        <f>Amnt_Deposited!B93</f>
        <v>2079</v>
      </c>
      <c r="P98" s="99">
        <f>Amnt_Deposited!G93</f>
        <v>0</v>
      </c>
      <c r="Q98" s="283">
        <f>MCF!R97</f>
        <v>1</v>
      </c>
      <c r="R98" s="67">
        <f t="shared" si="17"/>
        <v>0</v>
      </c>
      <c r="S98" s="67">
        <f t="shared" si="19"/>
        <v>0</v>
      </c>
      <c r="T98" s="67">
        <f t="shared" si="20"/>
        <v>0</v>
      </c>
      <c r="U98" s="67">
        <f t="shared" si="21"/>
        <v>3.6877225350550322</v>
      </c>
      <c r="V98" s="67">
        <f t="shared" si="22"/>
        <v>0.1313556028324688</v>
      </c>
      <c r="W98" s="100">
        <f t="shared" si="23"/>
        <v>8.7570401888312527E-2</v>
      </c>
    </row>
    <row r="99" spans="2:23" ht="13.5" thickBot="1">
      <c r="B99" s="97">
        <f>Amnt_Deposited!B94</f>
        <v>2080</v>
      </c>
      <c r="C99" s="101">
        <f>Amnt_Deposited!F94</f>
        <v>0</v>
      </c>
      <c r="D99" s="417">
        <f>Dry_Matter_Content!G86</f>
        <v>0.56999999999999995</v>
      </c>
      <c r="E99" s="284">
        <f>MCF!R98</f>
        <v>1</v>
      </c>
      <c r="F99" s="68">
        <f t="shared" si="12"/>
        <v>0</v>
      </c>
      <c r="G99" s="68">
        <f t="shared" si="13"/>
        <v>0</v>
      </c>
      <c r="H99" s="68">
        <f t="shared" si="14"/>
        <v>0</v>
      </c>
      <c r="I99" s="68">
        <f t="shared" si="15"/>
        <v>0</v>
      </c>
      <c r="J99" s="68">
        <f t="shared" si="16"/>
        <v>0</v>
      </c>
      <c r="K99" s="102">
        <f t="shared" si="18"/>
        <v>0</v>
      </c>
      <c r="O99" s="97">
        <f>Amnt_Deposited!B94</f>
        <v>2080</v>
      </c>
      <c r="P99" s="99">
        <f>Amnt_Deposited!G94</f>
        <v>0</v>
      </c>
      <c r="Q99" s="284">
        <f>MCF!R98</f>
        <v>1</v>
      </c>
      <c r="R99" s="68">
        <f t="shared" si="17"/>
        <v>0</v>
      </c>
      <c r="S99" s="68">
        <f>R99*$W$12</f>
        <v>0</v>
      </c>
      <c r="T99" s="68">
        <f>R99*(1-$W$12)</f>
        <v>0</v>
      </c>
      <c r="U99" s="68">
        <f>S99+U98*$W$10</f>
        <v>3.5608848535042226</v>
      </c>
      <c r="V99" s="68">
        <f>U98*(1-$W$10)+T99</f>
        <v>0.1268376815508096</v>
      </c>
      <c r="W99" s="102">
        <f t="shared" si="23"/>
        <v>8.4558454367206395E-2</v>
      </c>
    </row>
  </sheetData>
  <pageMargins left="0.75" right="0.75" top="1" bottom="1" header="0.5" footer="0.5"/>
  <headerFooter alignWithMargins="0"/>
  <ignoredErrors>
    <ignoredError sqref="K9" evalError="1"/>
  </ignoredErrors>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153</v>
      </c>
      <c r="C2" s="223"/>
      <c r="D2" s="223"/>
      <c r="E2" s="224"/>
      <c r="F2" s="225"/>
      <c r="G2" s="225"/>
      <c r="H2" s="225"/>
      <c r="I2" s="225"/>
      <c r="J2" s="225"/>
      <c r="K2" s="225"/>
    </row>
    <row r="3" spans="1:23" ht="15">
      <c r="B3" s="242" t="str">
        <f>IF(Select2=2,"This sheet applies only to the waste compositon option and can be deleted when the bulk waste option has been chosen","")</f>
        <v/>
      </c>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260">
        <f>Parameters!O18</f>
        <v>0.3</v>
      </c>
      <c r="O6" s="229"/>
      <c r="P6" s="230"/>
      <c r="Q6" s="222"/>
      <c r="R6" s="108" t="s">
        <v>9</v>
      </c>
      <c r="S6" s="109"/>
      <c r="T6" s="109"/>
      <c r="U6" s="113"/>
      <c r="V6" s="120" t="s">
        <v>9</v>
      </c>
      <c r="W6" s="260">
        <f>Parameters!R18</f>
        <v>0.24</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Parameters!O37</f>
        <v>7.0000000000000007E-2</v>
      </c>
      <c r="O8" s="47"/>
      <c r="P8" s="47"/>
      <c r="Q8" s="222"/>
      <c r="R8" s="108" t="s">
        <v>192</v>
      </c>
      <c r="S8" s="109"/>
      <c r="T8" s="109"/>
      <c r="U8" s="113"/>
      <c r="V8" s="120" t="s">
        <v>188</v>
      </c>
      <c r="W8" s="114">
        <f>Parameters!O37</f>
        <v>7.0000000000000007E-2</v>
      </c>
    </row>
    <row r="9" spans="1:23" ht="15.75">
      <c r="F9" s="246" t="s">
        <v>190</v>
      </c>
      <c r="G9" s="247"/>
      <c r="H9" s="247"/>
      <c r="I9" s="248"/>
      <c r="J9" s="249" t="s">
        <v>189</v>
      </c>
      <c r="K9" s="255">
        <f>LN(2)/$K$8</f>
        <v>9.9021025794277886</v>
      </c>
      <c r="O9" s="47"/>
      <c r="P9" s="47"/>
      <c r="Q9" s="222"/>
      <c r="R9" s="246" t="s">
        <v>190</v>
      </c>
      <c r="S9" s="247"/>
      <c r="T9" s="247"/>
      <c r="U9" s="248"/>
      <c r="V9" s="249" t="s">
        <v>189</v>
      </c>
      <c r="W9" s="255">
        <f>LN(2)/$W$8</f>
        <v>9.9021025794277886</v>
      </c>
    </row>
    <row r="10" spans="1:23">
      <c r="F10" s="110" t="s">
        <v>84</v>
      </c>
      <c r="G10" s="111"/>
      <c r="H10" s="111"/>
      <c r="I10" s="112"/>
      <c r="J10" s="121" t="s">
        <v>148</v>
      </c>
      <c r="K10" s="49">
        <f>EXP(-$K$8)</f>
        <v>0.93239381990594827</v>
      </c>
      <c r="O10" s="47"/>
      <c r="P10" s="47"/>
      <c r="Q10" s="222"/>
      <c r="R10" s="110" t="s">
        <v>84</v>
      </c>
      <c r="S10" s="111"/>
      <c r="T10" s="111"/>
      <c r="U10" s="112"/>
      <c r="V10" s="121" t="s">
        <v>148</v>
      </c>
      <c r="W10" s="49">
        <f>EXP(-$W$8)</f>
        <v>0.93239381990594827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Amnt_Deposited!H14</f>
        <v>0.763883473122</v>
      </c>
      <c r="D19" s="415">
        <f>Dry_Matter_Content!H6</f>
        <v>0.73</v>
      </c>
      <c r="E19" s="282">
        <f>MCF!R18</f>
        <v>1</v>
      </c>
      <c r="F19" s="130">
        <f t="shared" ref="F19:F50" si="0">C19*D19*$K$6*DOCF*E19</f>
        <v>8.3645240306858992E-2</v>
      </c>
      <c r="G19" s="65">
        <f t="shared" ref="G19:G82" si="1">F19*$K$12</f>
        <v>8.3645240306858992E-2</v>
      </c>
      <c r="H19" s="65">
        <f t="shared" ref="H19:H82" si="2">F19*(1-$K$12)</f>
        <v>0</v>
      </c>
      <c r="I19" s="65">
        <f t="shared" ref="I19:I82" si="3">G19+I18*$K$10</f>
        <v>8.3645240306858992E-2</v>
      </c>
      <c r="J19" s="65">
        <f t="shared" ref="J19:J82" si="4">I18*(1-$K$10)+H19</f>
        <v>0</v>
      </c>
      <c r="K19" s="66">
        <f>J19*CH4_fraction*conv</f>
        <v>0</v>
      </c>
      <c r="O19" s="95">
        <f>Amnt_Deposited!B14</f>
        <v>2000</v>
      </c>
      <c r="P19" s="98">
        <f>Amnt_Deposited!H14</f>
        <v>0.763883473122</v>
      </c>
      <c r="Q19" s="282">
        <f>MCF!R18</f>
        <v>1</v>
      </c>
      <c r="R19" s="130">
        <f t="shared" ref="R19:R50" si="5">P19*$W$6*DOCF*Q19</f>
        <v>9.1666016774639994E-2</v>
      </c>
      <c r="S19" s="65">
        <f>R19*$W$12</f>
        <v>9.1666016774639994E-2</v>
      </c>
      <c r="T19" s="65">
        <f>R19*(1-$W$12)</f>
        <v>0</v>
      </c>
      <c r="U19" s="65">
        <f>S19+U18*$W$10</f>
        <v>9.1666016774639994E-2</v>
      </c>
      <c r="V19" s="65">
        <f>U18*(1-$W$10)+T19</f>
        <v>0</v>
      </c>
      <c r="W19" s="66">
        <f>V19*CH4_fraction*conv</f>
        <v>0</v>
      </c>
    </row>
    <row r="20" spans="2:23">
      <c r="B20" s="96">
        <f>Amnt_Deposited!B15</f>
        <v>2001</v>
      </c>
      <c r="C20" s="99">
        <f>Amnt_Deposited!H15</f>
        <v>0.77366970152999981</v>
      </c>
      <c r="D20" s="417">
        <f>Dry_Matter_Content!H7</f>
        <v>0.73</v>
      </c>
      <c r="E20" s="283">
        <f>MCF!R19</f>
        <v>1</v>
      </c>
      <c r="F20" s="67">
        <f t="shared" si="0"/>
        <v>8.4716832317534976E-2</v>
      </c>
      <c r="G20" s="67">
        <f t="shared" si="1"/>
        <v>8.4716832317534976E-2</v>
      </c>
      <c r="H20" s="67">
        <f t="shared" si="2"/>
        <v>0</v>
      </c>
      <c r="I20" s="67">
        <f t="shared" si="3"/>
        <v>0.16270713744419824</v>
      </c>
      <c r="J20" s="67">
        <f t="shared" si="4"/>
        <v>5.6549351801957436E-3</v>
      </c>
      <c r="K20" s="100">
        <f>J20*CH4_fraction*conv</f>
        <v>3.7699567867971622E-3</v>
      </c>
      <c r="M20" s="392"/>
      <c r="O20" s="96">
        <f>Amnt_Deposited!B15</f>
        <v>2001</v>
      </c>
      <c r="P20" s="99">
        <f>Amnt_Deposited!H15</f>
        <v>0.77366970152999981</v>
      </c>
      <c r="Q20" s="283">
        <f>MCF!R19</f>
        <v>1</v>
      </c>
      <c r="R20" s="67">
        <f t="shared" si="5"/>
        <v>9.2840364183599977E-2</v>
      </c>
      <c r="S20" s="67">
        <f>R20*$W$12</f>
        <v>9.2840364183599977E-2</v>
      </c>
      <c r="T20" s="67">
        <f>R20*(1-$W$12)</f>
        <v>0</v>
      </c>
      <c r="U20" s="67">
        <f>S20+U19*$W$10</f>
        <v>0.1783091917196693</v>
      </c>
      <c r="V20" s="67">
        <f>U19*(1-$W$10)+T20</f>
        <v>6.1971892385706776E-3</v>
      </c>
      <c r="W20" s="100">
        <f>V20*CH4_fraction*conv</f>
        <v>4.1314594923804512E-3</v>
      </c>
    </row>
    <row r="21" spans="2:23">
      <c r="B21" s="96">
        <f>Amnt_Deposited!B16</f>
        <v>2002</v>
      </c>
      <c r="C21" s="99">
        <f>Amnt_Deposited!H16</f>
        <v>0.79110353321999993</v>
      </c>
      <c r="D21" s="417">
        <f>Dry_Matter_Content!H8</f>
        <v>0.73</v>
      </c>
      <c r="E21" s="283">
        <f>MCF!R20</f>
        <v>1</v>
      </c>
      <c r="F21" s="67">
        <f t="shared" si="0"/>
        <v>8.6625836887589999E-2</v>
      </c>
      <c r="G21" s="67">
        <f t="shared" si="1"/>
        <v>8.6625836887589999E-2</v>
      </c>
      <c r="H21" s="67">
        <f t="shared" si="2"/>
        <v>0</v>
      </c>
      <c r="I21" s="67">
        <f t="shared" si="3"/>
        <v>0.23833296629514816</v>
      </c>
      <c r="J21" s="67">
        <f t="shared" si="4"/>
        <v>1.1000008036640092E-2</v>
      </c>
      <c r="K21" s="100">
        <f t="shared" ref="K21:K84" si="6">J21*CH4_fraction*conv</f>
        <v>7.3333386910933943E-3</v>
      </c>
      <c r="O21" s="96">
        <f>Amnt_Deposited!B16</f>
        <v>2002</v>
      </c>
      <c r="P21" s="99">
        <f>Amnt_Deposited!H16</f>
        <v>0.79110353321999993</v>
      </c>
      <c r="Q21" s="283">
        <f>MCF!R20</f>
        <v>1</v>
      </c>
      <c r="R21" s="67">
        <f t="shared" si="5"/>
        <v>9.4932423986399991E-2</v>
      </c>
      <c r="S21" s="67">
        <f t="shared" ref="S21:S84" si="7">R21*$W$12</f>
        <v>9.4932423986399991E-2</v>
      </c>
      <c r="T21" s="67">
        <f t="shared" ref="T21:T84" si="8">R21*(1-$W$12)</f>
        <v>0</v>
      </c>
      <c r="U21" s="67">
        <f t="shared" ref="U21:U84" si="9">S21+U20*$W$10</f>
        <v>0.26118681237824454</v>
      </c>
      <c r="V21" s="67">
        <f t="shared" ref="V21:V84" si="10">U20*(1-$W$10)+T21</f>
        <v>1.205480332782476E-2</v>
      </c>
      <c r="W21" s="100">
        <f t="shared" ref="W21:W84" si="11">V21*CH4_fraction*conv</f>
        <v>8.036535551883172E-3</v>
      </c>
    </row>
    <row r="22" spans="2:23">
      <c r="B22" s="96">
        <f>Amnt_Deposited!B17</f>
        <v>2003</v>
      </c>
      <c r="C22" s="99">
        <f>Amnt_Deposited!H17</f>
        <v>0.805165134246</v>
      </c>
      <c r="D22" s="417">
        <f>Dry_Matter_Content!H9</f>
        <v>0.73</v>
      </c>
      <c r="E22" s="283">
        <f>MCF!R21</f>
        <v>1</v>
      </c>
      <c r="F22" s="67">
        <f t="shared" si="0"/>
        <v>8.816558219993699E-2</v>
      </c>
      <c r="G22" s="67">
        <f t="shared" si="1"/>
        <v>8.816558219993699E-2</v>
      </c>
      <c r="H22" s="67">
        <f t="shared" si="2"/>
        <v>0</v>
      </c>
      <c r="I22" s="67">
        <f t="shared" si="3"/>
        <v>0.31038576705338583</v>
      </c>
      <c r="J22" s="67">
        <f t="shared" si="4"/>
        <v>1.6112781441699347E-2</v>
      </c>
      <c r="K22" s="100">
        <f t="shared" si="6"/>
        <v>1.0741854294466231E-2</v>
      </c>
      <c r="N22" s="257"/>
      <c r="O22" s="96">
        <f>Amnt_Deposited!B17</f>
        <v>2003</v>
      </c>
      <c r="P22" s="99">
        <f>Amnt_Deposited!H17</f>
        <v>0.805165134246</v>
      </c>
      <c r="Q22" s="283">
        <f>MCF!R21</f>
        <v>1</v>
      </c>
      <c r="R22" s="67">
        <f t="shared" si="5"/>
        <v>9.6619816109520001E-2</v>
      </c>
      <c r="S22" s="67">
        <f t="shared" si="7"/>
        <v>9.6619816109520001E-2</v>
      </c>
      <c r="T22" s="67">
        <f t="shared" si="8"/>
        <v>0</v>
      </c>
      <c r="U22" s="67">
        <f t="shared" si="9"/>
        <v>0.34014878581192964</v>
      </c>
      <c r="V22" s="67">
        <f t="shared" si="10"/>
        <v>1.7657842675834898E-2</v>
      </c>
      <c r="W22" s="100">
        <f t="shared" si="11"/>
        <v>1.1771895117223265E-2</v>
      </c>
    </row>
    <row r="23" spans="2:23">
      <c r="B23" s="96">
        <f>Amnt_Deposited!B18</f>
        <v>2004</v>
      </c>
      <c r="C23" s="99">
        <f>Amnt_Deposited!H18</f>
        <v>0.80947242664200003</v>
      </c>
      <c r="D23" s="417">
        <f>Dry_Matter_Content!H10</f>
        <v>0.73</v>
      </c>
      <c r="E23" s="283">
        <f>MCF!R22</f>
        <v>1</v>
      </c>
      <c r="F23" s="67">
        <f t="shared" si="0"/>
        <v>8.8637230717299009E-2</v>
      </c>
      <c r="G23" s="67">
        <f t="shared" si="1"/>
        <v>8.8637230717299009E-2</v>
      </c>
      <c r="H23" s="67">
        <f t="shared" si="2"/>
        <v>0</v>
      </c>
      <c r="I23" s="67">
        <f t="shared" si="3"/>
        <v>0.37803900170464327</v>
      </c>
      <c r="J23" s="67">
        <f t="shared" si="4"/>
        <v>2.098399606604159E-2</v>
      </c>
      <c r="K23" s="100">
        <f t="shared" si="6"/>
        <v>1.3989330710694393E-2</v>
      </c>
      <c r="N23" s="257"/>
      <c r="O23" s="96">
        <f>Amnt_Deposited!B18</f>
        <v>2004</v>
      </c>
      <c r="P23" s="99">
        <f>Amnt_Deposited!H18</f>
        <v>0.80947242664200003</v>
      </c>
      <c r="Q23" s="283">
        <f>MCF!R22</f>
        <v>1</v>
      </c>
      <c r="R23" s="67">
        <f t="shared" si="5"/>
        <v>9.7136691197040007E-2</v>
      </c>
      <c r="S23" s="67">
        <f t="shared" si="7"/>
        <v>9.7136691197040007E-2</v>
      </c>
      <c r="T23" s="67">
        <f t="shared" si="8"/>
        <v>0</v>
      </c>
      <c r="U23" s="67">
        <f t="shared" si="9"/>
        <v>0.41428931693659532</v>
      </c>
      <c r="V23" s="67">
        <f t="shared" si="10"/>
        <v>2.2996160072374341E-2</v>
      </c>
      <c r="W23" s="100">
        <f t="shared" si="11"/>
        <v>1.5330773381582893E-2</v>
      </c>
    </row>
    <row r="24" spans="2:23">
      <c r="B24" s="96">
        <f>Amnt_Deposited!B19</f>
        <v>2005</v>
      </c>
      <c r="C24" s="99">
        <f>Amnt_Deposited!H19</f>
        <v>0.89662656401999996</v>
      </c>
      <c r="D24" s="417">
        <f>Dry_Matter_Content!H11</f>
        <v>0.73</v>
      </c>
      <c r="E24" s="283">
        <f>MCF!R23</f>
        <v>1</v>
      </c>
      <c r="F24" s="67">
        <f t="shared" si="0"/>
        <v>9.8180608760189983E-2</v>
      </c>
      <c r="G24" s="67">
        <f t="shared" si="1"/>
        <v>9.8180608760189983E-2</v>
      </c>
      <c r="H24" s="67">
        <f t="shared" si="2"/>
        <v>0</v>
      </c>
      <c r="I24" s="67">
        <f t="shared" si="3"/>
        <v>0.4506618376330136</v>
      </c>
      <c r="J24" s="67">
        <f t="shared" si="4"/>
        <v>2.555777283181964E-2</v>
      </c>
      <c r="K24" s="100">
        <f t="shared" si="6"/>
        <v>1.7038515221213094E-2</v>
      </c>
      <c r="N24" s="257"/>
      <c r="O24" s="96">
        <f>Amnt_Deposited!B19</f>
        <v>2005</v>
      </c>
      <c r="P24" s="99">
        <f>Amnt_Deposited!H19</f>
        <v>0.89662656401999996</v>
      </c>
      <c r="Q24" s="283">
        <f>MCF!R23</f>
        <v>1</v>
      </c>
      <c r="R24" s="67">
        <f t="shared" si="5"/>
        <v>0.10759518768239999</v>
      </c>
      <c r="S24" s="67">
        <f t="shared" si="7"/>
        <v>0.10759518768239999</v>
      </c>
      <c r="T24" s="67">
        <f t="shared" si="8"/>
        <v>0</v>
      </c>
      <c r="U24" s="67">
        <f t="shared" si="9"/>
        <v>0.4938759864471382</v>
      </c>
      <c r="V24" s="67">
        <f t="shared" si="10"/>
        <v>2.8008518171857136E-2</v>
      </c>
      <c r="W24" s="100">
        <f t="shared" si="11"/>
        <v>1.8672345447904755E-2</v>
      </c>
    </row>
    <row r="25" spans="2:23">
      <c r="B25" s="96">
        <f>Amnt_Deposited!B20</f>
        <v>2006</v>
      </c>
      <c r="C25" s="99">
        <f>Amnt_Deposited!H20</f>
        <v>0.91507056280200005</v>
      </c>
      <c r="D25" s="417">
        <f>Dry_Matter_Content!H12</f>
        <v>0.73</v>
      </c>
      <c r="E25" s="283">
        <f>MCF!R24</f>
        <v>1</v>
      </c>
      <c r="F25" s="67">
        <f t="shared" si="0"/>
        <v>0.100200226626819</v>
      </c>
      <c r="G25" s="67">
        <f t="shared" si="1"/>
        <v>0.100200226626819</v>
      </c>
      <c r="H25" s="67">
        <f t="shared" si="2"/>
        <v>0</v>
      </c>
      <c r="I25" s="67">
        <f t="shared" si="3"/>
        <v>0.52039453890329879</v>
      </c>
      <c r="J25" s="67">
        <f t="shared" si="4"/>
        <v>3.0467525356533815E-2</v>
      </c>
      <c r="K25" s="100">
        <f t="shared" si="6"/>
        <v>2.0311683571022542E-2</v>
      </c>
      <c r="N25" s="257"/>
      <c r="O25" s="96">
        <f>Amnt_Deposited!B20</f>
        <v>2006</v>
      </c>
      <c r="P25" s="99">
        <f>Amnt_Deposited!H20</f>
        <v>0.91507056280200005</v>
      </c>
      <c r="Q25" s="283">
        <f>MCF!R24</f>
        <v>1</v>
      </c>
      <c r="R25" s="67">
        <f t="shared" si="5"/>
        <v>0.10980846753624</v>
      </c>
      <c r="S25" s="67">
        <f t="shared" si="7"/>
        <v>0.10980846753624</v>
      </c>
      <c r="T25" s="67">
        <f t="shared" si="8"/>
        <v>0</v>
      </c>
      <c r="U25" s="67">
        <f t="shared" si="9"/>
        <v>0.5702953850995055</v>
      </c>
      <c r="V25" s="67">
        <f t="shared" si="10"/>
        <v>3.3389068883872677E-2</v>
      </c>
      <c r="W25" s="100">
        <f t="shared" si="11"/>
        <v>2.2259379255915118E-2</v>
      </c>
    </row>
    <row r="26" spans="2:23">
      <c r="B26" s="96">
        <f>Amnt_Deposited!B21</f>
        <v>2007</v>
      </c>
      <c r="C26" s="99">
        <f>Amnt_Deposited!H21</f>
        <v>0.93349954051200001</v>
      </c>
      <c r="D26" s="417">
        <f>Dry_Matter_Content!H13</f>
        <v>0.73</v>
      </c>
      <c r="E26" s="283">
        <f>MCF!R25</f>
        <v>1</v>
      </c>
      <c r="F26" s="67">
        <f t="shared" si="0"/>
        <v>0.10221819968606401</v>
      </c>
      <c r="G26" s="67">
        <f t="shared" si="1"/>
        <v>0.10221819968606401</v>
      </c>
      <c r="H26" s="67">
        <f t="shared" si="2"/>
        <v>0</v>
      </c>
      <c r="I26" s="67">
        <f t="shared" si="3"/>
        <v>0.58743085167230535</v>
      </c>
      <c r="J26" s="67">
        <f t="shared" si="4"/>
        <v>3.5181886917057426E-2</v>
      </c>
      <c r="K26" s="100">
        <f t="shared" si="6"/>
        <v>2.3454591278038284E-2</v>
      </c>
      <c r="N26" s="257"/>
      <c r="O26" s="96">
        <f>Amnt_Deposited!B21</f>
        <v>2007</v>
      </c>
      <c r="P26" s="99">
        <f>Amnt_Deposited!H21</f>
        <v>0.93349954051200001</v>
      </c>
      <c r="Q26" s="283">
        <f>MCF!R25</f>
        <v>1</v>
      </c>
      <c r="R26" s="67">
        <f t="shared" si="5"/>
        <v>0.11201994486144</v>
      </c>
      <c r="S26" s="67">
        <f t="shared" si="7"/>
        <v>0.11201994486144</v>
      </c>
      <c r="T26" s="67">
        <f t="shared" si="8"/>
        <v>0</v>
      </c>
      <c r="U26" s="67">
        <f t="shared" si="9"/>
        <v>0.6437598374491017</v>
      </c>
      <c r="V26" s="67">
        <f t="shared" si="10"/>
        <v>3.8555492511843752E-2</v>
      </c>
      <c r="W26" s="100">
        <f t="shared" si="11"/>
        <v>2.5703661674562499E-2</v>
      </c>
    </row>
    <row r="27" spans="2:23">
      <c r="B27" s="96">
        <f>Amnt_Deposited!B22</f>
        <v>2008</v>
      </c>
      <c r="C27" s="99">
        <f>Amnt_Deposited!H22</f>
        <v>0.95180083911000002</v>
      </c>
      <c r="D27" s="417">
        <f>Dry_Matter_Content!H14</f>
        <v>0.73</v>
      </c>
      <c r="E27" s="283">
        <f>MCF!R26</f>
        <v>1</v>
      </c>
      <c r="F27" s="67">
        <f t="shared" si="0"/>
        <v>0.10422219188254499</v>
      </c>
      <c r="G27" s="67">
        <f t="shared" si="1"/>
        <v>0.10422219188254499</v>
      </c>
      <c r="H27" s="67">
        <f t="shared" si="2"/>
        <v>0</v>
      </c>
      <c r="I27" s="67">
        <f t="shared" si="3"/>
        <v>0.6519390876038903</v>
      </c>
      <c r="J27" s="67">
        <f t="shared" si="4"/>
        <v>3.9713955950960063E-2</v>
      </c>
      <c r="K27" s="100">
        <f t="shared" si="6"/>
        <v>2.6475970633973375E-2</v>
      </c>
      <c r="N27" s="257"/>
      <c r="O27" s="96">
        <f>Amnt_Deposited!B22</f>
        <v>2008</v>
      </c>
      <c r="P27" s="99">
        <f>Amnt_Deposited!H22</f>
        <v>0.95180083911000002</v>
      </c>
      <c r="Q27" s="283">
        <f>MCF!R26</f>
        <v>1</v>
      </c>
      <c r="R27" s="67">
        <f t="shared" si="5"/>
        <v>0.1142161006932</v>
      </c>
      <c r="S27" s="67">
        <f t="shared" si="7"/>
        <v>0.1142161006932</v>
      </c>
      <c r="T27" s="67">
        <f t="shared" si="8"/>
        <v>0</v>
      </c>
      <c r="U27" s="67">
        <f t="shared" si="9"/>
        <v>0.71445379463440029</v>
      </c>
      <c r="V27" s="67">
        <f t="shared" si="10"/>
        <v>4.3522143507901435E-2</v>
      </c>
      <c r="W27" s="100">
        <f t="shared" si="11"/>
        <v>2.9014762338600956E-2</v>
      </c>
    </row>
    <row r="28" spans="2:23">
      <c r="B28" s="96">
        <f>Amnt_Deposited!B23</f>
        <v>2009</v>
      </c>
      <c r="C28" s="99">
        <f>Amnt_Deposited!H23</f>
        <v>0.96983926894799999</v>
      </c>
      <c r="D28" s="417">
        <f>Dry_Matter_Content!H15</f>
        <v>0.73</v>
      </c>
      <c r="E28" s="283">
        <f>MCF!R27</f>
        <v>1</v>
      </c>
      <c r="F28" s="67">
        <f t="shared" si="0"/>
        <v>0.106197399949806</v>
      </c>
      <c r="G28" s="67">
        <f t="shared" si="1"/>
        <v>0.106197399949806</v>
      </c>
      <c r="H28" s="67">
        <f t="shared" si="2"/>
        <v>0</v>
      </c>
      <c r="I28" s="67">
        <f t="shared" si="3"/>
        <v>0.71406137618679599</v>
      </c>
      <c r="J28" s="67">
        <f t="shared" si="4"/>
        <v>4.4075111366900371E-2</v>
      </c>
      <c r="K28" s="100">
        <f t="shared" si="6"/>
        <v>2.938340757793358E-2</v>
      </c>
      <c r="N28" s="257"/>
      <c r="O28" s="96">
        <f>Amnt_Deposited!B23</f>
        <v>2009</v>
      </c>
      <c r="P28" s="99">
        <f>Amnt_Deposited!H23</f>
        <v>0.96983926894799999</v>
      </c>
      <c r="Q28" s="283">
        <f>MCF!R27</f>
        <v>1</v>
      </c>
      <c r="R28" s="67">
        <f t="shared" si="5"/>
        <v>0.11638071227376</v>
      </c>
      <c r="S28" s="67">
        <f t="shared" si="7"/>
        <v>0.11638071227376</v>
      </c>
      <c r="T28" s="67">
        <f t="shared" si="8"/>
        <v>0</v>
      </c>
      <c r="U28" s="67">
        <f t="shared" si="9"/>
        <v>0.78253301499922834</v>
      </c>
      <c r="V28" s="67">
        <f t="shared" si="10"/>
        <v>4.8301491908931911E-2</v>
      </c>
      <c r="W28" s="100">
        <f t="shared" si="11"/>
        <v>3.2200994605954603E-2</v>
      </c>
    </row>
    <row r="29" spans="2:23">
      <c r="B29" s="96">
        <f>Amnt_Deposited!B24</f>
        <v>2010</v>
      </c>
      <c r="C29" s="99">
        <f>Amnt_Deposited!H24</f>
        <v>1.0469292880859999</v>
      </c>
      <c r="D29" s="417">
        <f>Dry_Matter_Content!H16</f>
        <v>0.73</v>
      </c>
      <c r="E29" s="283">
        <f>MCF!R28</f>
        <v>1</v>
      </c>
      <c r="F29" s="67">
        <f t="shared" si="0"/>
        <v>0.11463875704541698</v>
      </c>
      <c r="G29" s="67">
        <f t="shared" si="1"/>
        <v>0.11463875704541698</v>
      </c>
      <c r="H29" s="67">
        <f t="shared" si="2"/>
        <v>0</v>
      </c>
      <c r="I29" s="67">
        <f t="shared" si="3"/>
        <v>0.78042517123552213</v>
      </c>
      <c r="J29" s="67">
        <f t="shared" si="4"/>
        <v>4.827496199669095E-2</v>
      </c>
      <c r="K29" s="100">
        <f t="shared" si="6"/>
        <v>3.2183307997793967E-2</v>
      </c>
      <c r="O29" s="96">
        <f>Amnt_Deposited!B24</f>
        <v>2010</v>
      </c>
      <c r="P29" s="99">
        <f>Amnt_Deposited!H24</f>
        <v>1.0469292880859999</v>
      </c>
      <c r="Q29" s="283">
        <f>MCF!R28</f>
        <v>1</v>
      </c>
      <c r="R29" s="67">
        <f t="shared" si="5"/>
        <v>0.12563151457031999</v>
      </c>
      <c r="S29" s="67">
        <f t="shared" si="7"/>
        <v>0.12563151457031999</v>
      </c>
      <c r="T29" s="67">
        <f t="shared" si="8"/>
        <v>0</v>
      </c>
      <c r="U29" s="67">
        <f t="shared" si="9"/>
        <v>0.8552604616279692</v>
      </c>
      <c r="V29" s="67">
        <f t="shared" si="10"/>
        <v>5.2904067941579112E-2</v>
      </c>
      <c r="W29" s="100">
        <f t="shared" si="11"/>
        <v>3.5269378627719408E-2</v>
      </c>
    </row>
    <row r="30" spans="2:23">
      <c r="B30" s="96">
        <f>Amnt_Deposited!B25</f>
        <v>2011</v>
      </c>
      <c r="C30" s="99">
        <f>Amnt_Deposited!H25</f>
        <v>1.0743521326559999</v>
      </c>
      <c r="D30" s="417">
        <f>Dry_Matter_Content!H17</f>
        <v>0.73</v>
      </c>
      <c r="E30" s="283">
        <f>MCF!R29</f>
        <v>1</v>
      </c>
      <c r="F30" s="67">
        <f t="shared" si="0"/>
        <v>0.11764155852583198</v>
      </c>
      <c r="G30" s="67">
        <f t="shared" si="1"/>
        <v>0.11764155852583198</v>
      </c>
      <c r="H30" s="67">
        <f t="shared" si="2"/>
        <v>0</v>
      </c>
      <c r="I30" s="67">
        <f t="shared" si="3"/>
        <v>0.8453051650848743</v>
      </c>
      <c r="J30" s="67">
        <f t="shared" si="4"/>
        <v>5.2761564676479869E-2</v>
      </c>
      <c r="K30" s="100">
        <f t="shared" si="6"/>
        <v>3.5174376450986575E-2</v>
      </c>
      <c r="O30" s="96">
        <f>Amnt_Deposited!B25</f>
        <v>2011</v>
      </c>
      <c r="P30" s="99">
        <f>Amnt_Deposited!H25</f>
        <v>1.0743521326559999</v>
      </c>
      <c r="Q30" s="283">
        <f>MCF!R29</f>
        <v>1</v>
      </c>
      <c r="R30" s="67">
        <f t="shared" si="5"/>
        <v>0.12892225591871997</v>
      </c>
      <c r="S30" s="67">
        <f t="shared" si="7"/>
        <v>0.12892225591871997</v>
      </c>
      <c r="T30" s="67">
        <f t="shared" si="8"/>
        <v>0</v>
      </c>
      <c r="U30" s="67">
        <f t="shared" si="9"/>
        <v>0.92636182475054685</v>
      </c>
      <c r="V30" s="67">
        <f t="shared" si="10"/>
        <v>5.7820892796142304E-2</v>
      </c>
      <c r="W30" s="100">
        <f t="shared" si="11"/>
        <v>3.8547261864094864E-2</v>
      </c>
    </row>
    <row r="31" spans="2:23">
      <c r="B31" s="96">
        <f>Amnt_Deposited!B26</f>
        <v>2012</v>
      </c>
      <c r="C31" s="99">
        <f>Amnt_Deposited!H26</f>
        <v>1.095171338448</v>
      </c>
      <c r="D31" s="417">
        <f>Dry_Matter_Content!H18</f>
        <v>0.73</v>
      </c>
      <c r="E31" s="283">
        <f>MCF!R30</f>
        <v>1</v>
      </c>
      <c r="F31" s="67">
        <f t="shared" si="0"/>
        <v>0.11992126156005598</v>
      </c>
      <c r="G31" s="67">
        <f t="shared" si="1"/>
        <v>0.11992126156005598</v>
      </c>
      <c r="H31" s="67">
        <f t="shared" si="2"/>
        <v>0</v>
      </c>
      <c r="I31" s="67">
        <f t="shared" si="3"/>
        <v>0.90807857341977016</v>
      </c>
      <c r="J31" s="67">
        <f t="shared" si="4"/>
        <v>5.7147853225160139E-2</v>
      </c>
      <c r="K31" s="100">
        <f t="shared" si="6"/>
        <v>3.8098568816773426E-2</v>
      </c>
      <c r="O31" s="96">
        <f>Amnt_Deposited!B26</f>
        <v>2012</v>
      </c>
      <c r="P31" s="99">
        <f>Amnt_Deposited!H26</f>
        <v>1.095171338448</v>
      </c>
      <c r="Q31" s="283">
        <f>MCF!R30</f>
        <v>1</v>
      </c>
      <c r="R31" s="67">
        <f t="shared" si="5"/>
        <v>0.13142056061375998</v>
      </c>
      <c r="S31" s="67">
        <f t="shared" si="7"/>
        <v>0.13142056061375998</v>
      </c>
      <c r="T31" s="67">
        <f t="shared" si="8"/>
        <v>0</v>
      </c>
      <c r="U31" s="67">
        <f t="shared" si="9"/>
        <v>0.99515460100796693</v>
      </c>
      <c r="V31" s="67">
        <f t="shared" si="10"/>
        <v>6.2627784356339852E-2</v>
      </c>
      <c r="W31" s="100">
        <f t="shared" si="11"/>
        <v>4.1751856237559899E-2</v>
      </c>
    </row>
    <row r="32" spans="2:23">
      <c r="B32" s="96">
        <f>Amnt_Deposited!B27</f>
        <v>2013</v>
      </c>
      <c r="C32" s="99">
        <f>Amnt_Deposited!H27</f>
        <v>1.1159191941479998</v>
      </c>
      <c r="D32" s="417">
        <f>Dry_Matter_Content!H19</f>
        <v>0.73</v>
      </c>
      <c r="E32" s="283">
        <f>MCF!R31</f>
        <v>1</v>
      </c>
      <c r="F32" s="67">
        <f t="shared" si="0"/>
        <v>0.12219315175920596</v>
      </c>
      <c r="G32" s="67">
        <f t="shared" si="1"/>
        <v>0.12219315175920596</v>
      </c>
      <c r="H32" s="67">
        <f t="shared" si="2"/>
        <v>0</v>
      </c>
      <c r="I32" s="67">
        <f t="shared" si="3"/>
        <v>0.96888000160480958</v>
      </c>
      <c r="J32" s="67">
        <f t="shared" si="4"/>
        <v>6.1391723574166557E-2</v>
      </c>
      <c r="K32" s="100">
        <f t="shared" si="6"/>
        <v>4.0927815716111038E-2</v>
      </c>
      <c r="O32" s="96">
        <f>Amnt_Deposited!B27</f>
        <v>2013</v>
      </c>
      <c r="P32" s="99">
        <f>Amnt_Deposited!H27</f>
        <v>1.1159191941479998</v>
      </c>
      <c r="Q32" s="283">
        <f>MCF!R31</f>
        <v>1</v>
      </c>
      <c r="R32" s="67">
        <f t="shared" si="5"/>
        <v>0.13391030329775996</v>
      </c>
      <c r="S32" s="67">
        <f t="shared" si="7"/>
        <v>0.13391030329775996</v>
      </c>
      <c r="T32" s="67">
        <f t="shared" si="8"/>
        <v>0</v>
      </c>
      <c r="U32" s="67">
        <f t="shared" si="9"/>
        <v>1.0617863031285582</v>
      </c>
      <c r="V32" s="67">
        <f t="shared" si="10"/>
        <v>6.7278601177168801E-2</v>
      </c>
      <c r="W32" s="100">
        <f t="shared" si="11"/>
        <v>4.4852400784779201E-2</v>
      </c>
    </row>
    <row r="33" spans="2:23">
      <c r="B33" s="96">
        <f>Amnt_Deposited!B28</f>
        <v>2014</v>
      </c>
      <c r="C33" s="99">
        <f>Amnt_Deposited!H28</f>
        <v>1.1361488228639998</v>
      </c>
      <c r="D33" s="417">
        <f>Dry_Matter_Content!H20</f>
        <v>0.73</v>
      </c>
      <c r="E33" s="283">
        <f>MCF!R32</f>
        <v>1</v>
      </c>
      <c r="F33" s="67">
        <f t="shared" si="0"/>
        <v>0.12440829610360797</v>
      </c>
      <c r="G33" s="67">
        <f t="shared" si="1"/>
        <v>0.12440829610360797</v>
      </c>
      <c r="H33" s="67">
        <f t="shared" si="2"/>
        <v>0</v>
      </c>
      <c r="I33" s="67">
        <f t="shared" si="3"/>
        <v>1.0277860218303976</v>
      </c>
      <c r="J33" s="67">
        <f t="shared" si="4"/>
        <v>6.5502275878019878E-2</v>
      </c>
      <c r="K33" s="100">
        <f t="shared" si="6"/>
        <v>4.3668183918679916E-2</v>
      </c>
      <c r="O33" s="96">
        <f>Amnt_Deposited!B28</f>
        <v>2014</v>
      </c>
      <c r="P33" s="99">
        <f>Amnt_Deposited!H28</f>
        <v>1.1361488228639998</v>
      </c>
      <c r="Q33" s="283">
        <f>MCF!R32</f>
        <v>1</v>
      </c>
      <c r="R33" s="67">
        <f t="shared" si="5"/>
        <v>0.13633785874367996</v>
      </c>
      <c r="S33" s="67">
        <f t="shared" si="7"/>
        <v>0.13633785874367996</v>
      </c>
      <c r="T33" s="67">
        <f t="shared" si="8"/>
        <v>0</v>
      </c>
      <c r="U33" s="67">
        <f t="shared" si="9"/>
        <v>1.1263408458415314</v>
      </c>
      <c r="V33" s="67">
        <f t="shared" si="10"/>
        <v>7.1783316030706701E-2</v>
      </c>
      <c r="W33" s="100">
        <f t="shared" si="11"/>
        <v>4.7855544020471132E-2</v>
      </c>
    </row>
    <row r="34" spans="2:23">
      <c r="B34" s="96">
        <f>Amnt_Deposited!B29</f>
        <v>2015</v>
      </c>
      <c r="C34" s="99">
        <f>Amnt_Deposited!H29</f>
        <v>1.1558226719159999</v>
      </c>
      <c r="D34" s="417">
        <f>Dry_Matter_Content!H21</f>
        <v>0.73</v>
      </c>
      <c r="E34" s="283">
        <f>MCF!R33</f>
        <v>1</v>
      </c>
      <c r="F34" s="67">
        <f t="shared" si="0"/>
        <v>0.12656258257480196</v>
      </c>
      <c r="G34" s="67">
        <f t="shared" si="1"/>
        <v>0.12656258257480196</v>
      </c>
      <c r="H34" s="67">
        <f t="shared" si="2"/>
        <v>0</v>
      </c>
      <c r="I34" s="67">
        <f t="shared" si="3"/>
        <v>1.0848639175151846</v>
      </c>
      <c r="J34" s="67">
        <f t="shared" si="4"/>
        <v>6.9484686890014843E-2</v>
      </c>
      <c r="K34" s="100">
        <f t="shared" si="6"/>
        <v>4.6323124593343229E-2</v>
      </c>
      <c r="O34" s="96">
        <f>Amnt_Deposited!B29</f>
        <v>2015</v>
      </c>
      <c r="P34" s="99">
        <f>Amnt_Deposited!H29</f>
        <v>1.1558226719159999</v>
      </c>
      <c r="Q34" s="283">
        <f>MCF!R33</f>
        <v>1</v>
      </c>
      <c r="R34" s="67">
        <f t="shared" si="5"/>
        <v>0.13869872062991997</v>
      </c>
      <c r="S34" s="67">
        <f t="shared" si="7"/>
        <v>0.13869872062991997</v>
      </c>
      <c r="T34" s="67">
        <f t="shared" si="8"/>
        <v>0</v>
      </c>
      <c r="U34" s="67">
        <f t="shared" si="9"/>
        <v>1.1888919644002023</v>
      </c>
      <c r="V34" s="67">
        <f t="shared" si="10"/>
        <v>7.6147602071249126E-2</v>
      </c>
      <c r="W34" s="100">
        <f t="shared" si="11"/>
        <v>5.0765068047499418E-2</v>
      </c>
    </row>
    <row r="35" spans="2:23">
      <c r="B35" s="96">
        <f>Amnt_Deposited!B30</f>
        <v>2016</v>
      </c>
      <c r="C35" s="99">
        <f>Amnt_Deposited!H30</f>
        <v>1.1753387997119997</v>
      </c>
      <c r="D35" s="417">
        <f>Dry_Matter_Content!H22</f>
        <v>0.73</v>
      </c>
      <c r="E35" s="283">
        <f>MCF!R34</f>
        <v>1</v>
      </c>
      <c r="F35" s="67">
        <f t="shared" si="0"/>
        <v>0.12869959856846397</v>
      </c>
      <c r="G35" s="67">
        <f t="shared" si="1"/>
        <v>0.12869959856846397</v>
      </c>
      <c r="H35" s="67">
        <f t="shared" si="2"/>
        <v>0</v>
      </c>
      <c r="I35" s="67">
        <f t="shared" si="3"/>
        <v>1.1402200106985787</v>
      </c>
      <c r="J35" s="67">
        <f t="shared" si="4"/>
        <v>7.3343505385070049E-2</v>
      </c>
      <c r="K35" s="100">
        <f t="shared" si="6"/>
        <v>4.8895670256713361E-2</v>
      </c>
      <c r="O35" s="96">
        <f>Amnt_Deposited!B30</f>
        <v>2016</v>
      </c>
      <c r="P35" s="99">
        <f>Amnt_Deposited!H30</f>
        <v>1.1753387997119997</v>
      </c>
      <c r="Q35" s="283">
        <f>MCF!R34</f>
        <v>1</v>
      </c>
      <c r="R35" s="67">
        <f t="shared" si="5"/>
        <v>0.14104065596543996</v>
      </c>
      <c r="S35" s="67">
        <f t="shared" si="7"/>
        <v>0.14104065596543996</v>
      </c>
      <c r="T35" s="67">
        <f t="shared" si="8"/>
        <v>0</v>
      </c>
      <c r="U35" s="67">
        <f t="shared" si="9"/>
        <v>1.2495561761080314</v>
      </c>
      <c r="V35" s="67">
        <f t="shared" si="10"/>
        <v>8.0376444257611007E-2</v>
      </c>
      <c r="W35" s="100">
        <f t="shared" si="11"/>
        <v>5.3584296171740667E-2</v>
      </c>
    </row>
    <row r="36" spans="2:23">
      <c r="B36" s="96">
        <f>Amnt_Deposited!B31</f>
        <v>2017</v>
      </c>
      <c r="C36" s="99">
        <f>Amnt_Deposited!H31</f>
        <v>1.1743440096996629</v>
      </c>
      <c r="D36" s="417">
        <f>Dry_Matter_Content!H23</f>
        <v>0.73</v>
      </c>
      <c r="E36" s="283">
        <f>MCF!R35</f>
        <v>1</v>
      </c>
      <c r="F36" s="67">
        <f t="shared" si="0"/>
        <v>0.12859066906211308</v>
      </c>
      <c r="G36" s="67">
        <f t="shared" si="1"/>
        <v>0.12859066906211308</v>
      </c>
      <c r="H36" s="67">
        <f t="shared" si="2"/>
        <v>0</v>
      </c>
      <c r="I36" s="67">
        <f t="shared" si="3"/>
        <v>1.1917247603705621</v>
      </c>
      <c r="J36" s="67">
        <f t="shared" si="4"/>
        <v>7.7085919390129695E-2</v>
      </c>
      <c r="K36" s="100">
        <f t="shared" si="6"/>
        <v>5.1390612926753128E-2</v>
      </c>
      <c r="O36" s="96">
        <f>Amnt_Deposited!B31</f>
        <v>2017</v>
      </c>
      <c r="P36" s="99">
        <f>Amnt_Deposited!H31</f>
        <v>1.1743440096996629</v>
      </c>
      <c r="Q36" s="283">
        <f>MCF!R35</f>
        <v>1</v>
      </c>
      <c r="R36" s="67">
        <f t="shared" si="5"/>
        <v>0.14092128116395955</v>
      </c>
      <c r="S36" s="67">
        <f t="shared" si="7"/>
        <v>0.14092128116395955</v>
      </c>
      <c r="T36" s="67">
        <f t="shared" si="8"/>
        <v>0</v>
      </c>
      <c r="U36" s="67">
        <f t="shared" si="9"/>
        <v>1.3059997373923966</v>
      </c>
      <c r="V36" s="67">
        <f t="shared" si="10"/>
        <v>8.4477719879594182E-2</v>
      </c>
      <c r="W36" s="100">
        <f t="shared" si="11"/>
        <v>5.631847991972945E-2</v>
      </c>
    </row>
    <row r="37" spans="2:23">
      <c r="B37" s="96">
        <f>Amnt_Deposited!B32</f>
        <v>2018</v>
      </c>
      <c r="C37" s="99">
        <f>Amnt_Deposited!H32</f>
        <v>1.2285118890473172</v>
      </c>
      <c r="D37" s="417">
        <f>Dry_Matter_Content!H24</f>
        <v>0.73</v>
      </c>
      <c r="E37" s="283">
        <f>MCF!R36</f>
        <v>1</v>
      </c>
      <c r="F37" s="67">
        <f t="shared" si="0"/>
        <v>0.13452205185068122</v>
      </c>
      <c r="G37" s="67">
        <f t="shared" si="1"/>
        <v>0.13452205185068122</v>
      </c>
      <c r="H37" s="67">
        <f t="shared" si="2"/>
        <v>0</v>
      </c>
      <c r="I37" s="67">
        <f t="shared" si="3"/>
        <v>1.2456788534490904</v>
      </c>
      <c r="J37" s="67">
        <f t="shared" si="4"/>
        <v>8.0567958772152864E-2</v>
      </c>
      <c r="K37" s="100">
        <f t="shared" si="6"/>
        <v>5.3711972514768572E-2</v>
      </c>
      <c r="O37" s="96">
        <f>Amnt_Deposited!B32</f>
        <v>2018</v>
      </c>
      <c r="P37" s="99">
        <f>Amnt_Deposited!H32</f>
        <v>1.2285118890473172</v>
      </c>
      <c r="Q37" s="283">
        <f>MCF!R36</f>
        <v>1</v>
      </c>
      <c r="R37" s="67">
        <f t="shared" si="5"/>
        <v>0.14742142668567806</v>
      </c>
      <c r="S37" s="67">
        <f t="shared" si="7"/>
        <v>0.14742142668567806</v>
      </c>
      <c r="T37" s="67">
        <f t="shared" si="8"/>
        <v>0</v>
      </c>
      <c r="U37" s="67">
        <f t="shared" si="9"/>
        <v>1.3651275106291401</v>
      </c>
      <c r="V37" s="67">
        <f t="shared" si="10"/>
        <v>8.8293653448934625E-2</v>
      </c>
      <c r="W37" s="100">
        <f t="shared" si="11"/>
        <v>5.8862435632623084E-2</v>
      </c>
    </row>
    <row r="38" spans="2:23">
      <c r="B38" s="96">
        <f>Amnt_Deposited!B33</f>
        <v>2019</v>
      </c>
      <c r="C38" s="99">
        <f>Amnt_Deposited!H33</f>
        <v>1.2843216413249403</v>
      </c>
      <c r="D38" s="417">
        <f>Dry_Matter_Content!H25</f>
        <v>0.73</v>
      </c>
      <c r="E38" s="283">
        <f>MCF!R37</f>
        <v>1</v>
      </c>
      <c r="F38" s="67">
        <f t="shared" si="0"/>
        <v>0.14063321972508097</v>
      </c>
      <c r="G38" s="67">
        <f t="shared" si="1"/>
        <v>0.14063321972508097</v>
      </c>
      <c r="H38" s="67">
        <f t="shared" si="2"/>
        <v>0</v>
      </c>
      <c r="I38" s="67">
        <f t="shared" si="3"/>
        <v>1.3020964842685403</v>
      </c>
      <c r="J38" s="67">
        <f t="shared" si="4"/>
        <v>8.4215588905631064E-2</v>
      </c>
      <c r="K38" s="100">
        <f t="shared" si="6"/>
        <v>5.6143725937087371E-2</v>
      </c>
      <c r="O38" s="96">
        <f>Amnt_Deposited!B33</f>
        <v>2019</v>
      </c>
      <c r="P38" s="99">
        <f>Amnt_Deposited!H33</f>
        <v>1.2843216413249403</v>
      </c>
      <c r="Q38" s="283">
        <f>MCF!R37</f>
        <v>1</v>
      </c>
      <c r="R38" s="67">
        <f t="shared" si="5"/>
        <v>0.15411859695899283</v>
      </c>
      <c r="S38" s="67">
        <f t="shared" si="7"/>
        <v>0.15411859695899283</v>
      </c>
      <c r="T38" s="67">
        <f t="shared" si="8"/>
        <v>0</v>
      </c>
      <c r="U38" s="67">
        <f t="shared" si="9"/>
        <v>1.4269550512531948</v>
      </c>
      <c r="V38" s="67">
        <f t="shared" si="10"/>
        <v>9.2291056334938157E-2</v>
      </c>
      <c r="W38" s="100">
        <f t="shared" si="11"/>
        <v>6.1527370889958771E-2</v>
      </c>
    </row>
    <row r="39" spans="2:23">
      <c r="B39" s="96">
        <f>Amnt_Deposited!B34</f>
        <v>2020</v>
      </c>
      <c r="C39" s="99">
        <f>Amnt_Deposited!H34</f>
        <v>1.3417913705351414</v>
      </c>
      <c r="D39" s="417">
        <f>Dry_Matter_Content!H26</f>
        <v>0.73</v>
      </c>
      <c r="E39" s="283">
        <f>MCF!R38</f>
        <v>1</v>
      </c>
      <c r="F39" s="67">
        <f t="shared" si="0"/>
        <v>0.14692615507359796</v>
      </c>
      <c r="G39" s="67">
        <f t="shared" si="1"/>
        <v>0.14692615507359796</v>
      </c>
      <c r="H39" s="67">
        <f t="shared" si="2"/>
        <v>0</v>
      </c>
      <c r="I39" s="67">
        <f t="shared" si="3"/>
        <v>1.3609928699268479</v>
      </c>
      <c r="J39" s="67">
        <f t="shared" si="4"/>
        <v>8.8029769415290532E-2</v>
      </c>
      <c r="K39" s="100">
        <f t="shared" si="6"/>
        <v>5.8686512943527017E-2</v>
      </c>
      <c r="O39" s="96">
        <f>Amnt_Deposited!B34</f>
        <v>2020</v>
      </c>
      <c r="P39" s="99">
        <f>Amnt_Deposited!H34</f>
        <v>1.3417913705351414</v>
      </c>
      <c r="Q39" s="283">
        <f>MCF!R38</f>
        <v>1</v>
      </c>
      <c r="R39" s="67">
        <f t="shared" si="5"/>
        <v>0.16101496446421695</v>
      </c>
      <c r="S39" s="67">
        <f t="shared" si="7"/>
        <v>0.16101496446421695</v>
      </c>
      <c r="T39" s="67">
        <f t="shared" si="8"/>
        <v>0</v>
      </c>
      <c r="U39" s="67">
        <f t="shared" si="9"/>
        <v>1.4914990355362714</v>
      </c>
      <c r="V39" s="67">
        <f t="shared" si="10"/>
        <v>9.6470980181140295E-2</v>
      </c>
      <c r="W39" s="100">
        <f t="shared" si="11"/>
        <v>6.4313986787426863E-2</v>
      </c>
    </row>
    <row r="40" spans="2:23">
      <c r="B40" s="96">
        <f>Amnt_Deposited!B35</f>
        <v>2021</v>
      </c>
      <c r="C40" s="99">
        <f>Amnt_Deposited!H35</f>
        <v>1.400936499499432</v>
      </c>
      <c r="D40" s="417">
        <f>Dry_Matter_Content!H27</f>
        <v>0.73</v>
      </c>
      <c r="E40" s="283">
        <f>MCF!R39</f>
        <v>1</v>
      </c>
      <c r="F40" s="67">
        <f t="shared" si="0"/>
        <v>0.1534025466951878</v>
      </c>
      <c r="G40" s="67">
        <f t="shared" si="1"/>
        <v>0.1534025466951878</v>
      </c>
      <c r="H40" s="67">
        <f t="shared" si="2"/>
        <v>0</v>
      </c>
      <c r="I40" s="67">
        <f t="shared" si="3"/>
        <v>1.4223838875510408</v>
      </c>
      <c r="J40" s="67">
        <f t="shared" si="4"/>
        <v>9.2011529070994788E-2</v>
      </c>
      <c r="K40" s="100">
        <f t="shared" si="6"/>
        <v>6.1341019380663192E-2</v>
      </c>
      <c r="O40" s="96">
        <f>Amnt_Deposited!B35</f>
        <v>2021</v>
      </c>
      <c r="P40" s="99">
        <f>Amnt_Deposited!H35</f>
        <v>1.400936499499432</v>
      </c>
      <c r="Q40" s="283">
        <f>MCF!R39</f>
        <v>1</v>
      </c>
      <c r="R40" s="67">
        <f t="shared" si="5"/>
        <v>0.16811237993993183</v>
      </c>
      <c r="S40" s="67">
        <f t="shared" si="7"/>
        <v>0.16811237993993183</v>
      </c>
      <c r="T40" s="67">
        <f t="shared" si="8"/>
        <v>0</v>
      </c>
      <c r="U40" s="67">
        <f t="shared" si="9"/>
        <v>1.5587768630696335</v>
      </c>
      <c r="V40" s="67">
        <f t="shared" si="10"/>
        <v>0.10083455240656962</v>
      </c>
      <c r="W40" s="100">
        <f t="shared" si="11"/>
        <v>6.7223034937713075E-2</v>
      </c>
    </row>
    <row r="41" spans="2:23">
      <c r="B41" s="96">
        <f>Amnt_Deposited!B36</f>
        <v>2022</v>
      </c>
      <c r="C41" s="99">
        <f>Amnt_Deposited!H36</f>
        <v>1.4617694130134657</v>
      </c>
      <c r="D41" s="417">
        <f>Dry_Matter_Content!H28</f>
        <v>0.73</v>
      </c>
      <c r="E41" s="283">
        <f>MCF!R40</f>
        <v>1</v>
      </c>
      <c r="F41" s="67">
        <f t="shared" si="0"/>
        <v>0.1600637507249745</v>
      </c>
      <c r="G41" s="67">
        <f t="shared" si="1"/>
        <v>0.1600637507249745</v>
      </c>
      <c r="H41" s="67">
        <f t="shared" si="2"/>
        <v>0</v>
      </c>
      <c r="I41" s="67">
        <f t="shared" si="3"/>
        <v>1.4862856970113623</v>
      </c>
      <c r="J41" s="67">
        <f t="shared" si="4"/>
        <v>9.6161941264653092E-2</v>
      </c>
      <c r="K41" s="100">
        <f t="shared" si="6"/>
        <v>6.4107960843102052E-2</v>
      </c>
      <c r="O41" s="96">
        <f>Amnt_Deposited!B36</f>
        <v>2022</v>
      </c>
      <c r="P41" s="99">
        <f>Amnt_Deposited!H36</f>
        <v>1.4617694130134657</v>
      </c>
      <c r="Q41" s="283">
        <f>MCF!R40</f>
        <v>1</v>
      </c>
      <c r="R41" s="67">
        <f t="shared" si="5"/>
        <v>0.17541232956161587</v>
      </c>
      <c r="S41" s="67">
        <f t="shared" si="7"/>
        <v>0.17541232956161587</v>
      </c>
      <c r="T41" s="67">
        <f t="shared" si="8"/>
        <v>0</v>
      </c>
      <c r="U41" s="67">
        <f t="shared" si="9"/>
        <v>1.6288062433001227</v>
      </c>
      <c r="V41" s="67">
        <f t="shared" si="10"/>
        <v>0.10538294933112664</v>
      </c>
      <c r="W41" s="100">
        <f t="shared" si="11"/>
        <v>7.0255299554084424E-2</v>
      </c>
    </row>
    <row r="42" spans="2:23">
      <c r="B42" s="96">
        <f>Amnt_Deposited!B37</f>
        <v>2023</v>
      </c>
      <c r="C42" s="99">
        <f>Amnt_Deposited!H37</f>
        <v>1.5242990676490207</v>
      </c>
      <c r="D42" s="417">
        <f>Dry_Matter_Content!H29</f>
        <v>0.73</v>
      </c>
      <c r="E42" s="283">
        <f>MCF!R41</f>
        <v>1</v>
      </c>
      <c r="F42" s="67">
        <f t="shared" si="0"/>
        <v>0.16691074790756774</v>
      </c>
      <c r="G42" s="67">
        <f t="shared" si="1"/>
        <v>0.16691074790756774</v>
      </c>
      <c r="H42" s="67">
        <f t="shared" si="2"/>
        <v>0</v>
      </c>
      <c r="I42" s="67">
        <f t="shared" si="3"/>
        <v>1.5527143464155666</v>
      </c>
      <c r="J42" s="67">
        <f t="shared" si="4"/>
        <v>0.10048209850336336</v>
      </c>
      <c r="K42" s="100">
        <f t="shared" si="6"/>
        <v>6.69880656689089E-2</v>
      </c>
      <c r="O42" s="96">
        <f>Amnt_Deposited!B37</f>
        <v>2023</v>
      </c>
      <c r="P42" s="99">
        <f>Amnt_Deposited!H37</f>
        <v>1.5242990676490207</v>
      </c>
      <c r="Q42" s="283">
        <f>MCF!R41</f>
        <v>1</v>
      </c>
      <c r="R42" s="67">
        <f t="shared" si="5"/>
        <v>0.18291588811788248</v>
      </c>
      <c r="S42" s="67">
        <f t="shared" si="7"/>
        <v>0.18291588811788248</v>
      </c>
      <c r="T42" s="67">
        <f t="shared" si="8"/>
        <v>0</v>
      </c>
      <c r="U42" s="67">
        <f t="shared" si="9"/>
        <v>1.7016047631951412</v>
      </c>
      <c r="V42" s="67">
        <f t="shared" si="10"/>
        <v>0.11011736822286393</v>
      </c>
      <c r="W42" s="100">
        <f t="shared" si="11"/>
        <v>7.3411578815242615E-2</v>
      </c>
    </row>
    <row r="43" spans="2:23">
      <c r="B43" s="96">
        <f>Amnt_Deposited!B38</f>
        <v>2024</v>
      </c>
      <c r="C43" s="99">
        <f>Amnt_Deposited!H38</f>
        <v>1.5885305653768877</v>
      </c>
      <c r="D43" s="417">
        <f>Dry_Matter_Content!H30</f>
        <v>0.73</v>
      </c>
      <c r="E43" s="283">
        <f>MCF!R42</f>
        <v>1</v>
      </c>
      <c r="F43" s="67">
        <f t="shared" si="0"/>
        <v>0.17394409690876919</v>
      </c>
      <c r="G43" s="67">
        <f t="shared" si="1"/>
        <v>0.17394409690876919</v>
      </c>
      <c r="H43" s="67">
        <f t="shared" si="2"/>
        <v>0</v>
      </c>
      <c r="I43" s="67">
        <f t="shared" si="3"/>
        <v>1.6216853575859471</v>
      </c>
      <c r="J43" s="67">
        <f t="shared" si="4"/>
        <v>0.10497308573838862</v>
      </c>
      <c r="K43" s="100">
        <f t="shared" si="6"/>
        <v>6.9982057158925748E-2</v>
      </c>
      <c r="O43" s="96">
        <f>Amnt_Deposited!B38</f>
        <v>2024</v>
      </c>
      <c r="P43" s="99">
        <f>Amnt_Deposited!H38</f>
        <v>1.5885305653768877</v>
      </c>
      <c r="Q43" s="283">
        <f>MCF!R42</f>
        <v>1</v>
      </c>
      <c r="R43" s="67">
        <f t="shared" si="5"/>
        <v>0.19062366784522652</v>
      </c>
      <c r="S43" s="67">
        <f t="shared" si="7"/>
        <v>0.19062366784522652</v>
      </c>
      <c r="T43" s="67">
        <f t="shared" si="8"/>
        <v>0</v>
      </c>
      <c r="U43" s="67">
        <f t="shared" si="9"/>
        <v>1.7771894329709006</v>
      </c>
      <c r="V43" s="67">
        <f t="shared" si="10"/>
        <v>0.11503899806946696</v>
      </c>
      <c r="W43" s="100">
        <f t="shared" si="11"/>
        <v>7.6692665379644642E-2</v>
      </c>
    </row>
    <row r="44" spans="2:23">
      <c r="B44" s="96">
        <f>Amnt_Deposited!B39</f>
        <v>2025</v>
      </c>
      <c r="C44" s="99">
        <f>Amnt_Deposited!H39</f>
        <v>1.6544646879543667</v>
      </c>
      <c r="D44" s="417">
        <f>Dry_Matter_Content!H31</f>
        <v>0.73</v>
      </c>
      <c r="E44" s="283">
        <f>MCF!R43</f>
        <v>1</v>
      </c>
      <c r="F44" s="67">
        <f t="shared" si="0"/>
        <v>0.18116388333100317</v>
      </c>
      <c r="G44" s="67">
        <f t="shared" si="1"/>
        <v>0.18116388333100317</v>
      </c>
      <c r="H44" s="67">
        <f t="shared" si="2"/>
        <v>0</v>
      </c>
      <c r="I44" s="67">
        <f t="shared" si="3"/>
        <v>1.6932132885761082</v>
      </c>
      <c r="J44" s="67">
        <f t="shared" si="4"/>
        <v>0.10963595234084221</v>
      </c>
      <c r="K44" s="100">
        <f t="shared" si="6"/>
        <v>7.3090634893894807E-2</v>
      </c>
      <c r="O44" s="96">
        <f>Amnt_Deposited!B39</f>
        <v>2025</v>
      </c>
      <c r="P44" s="99">
        <f>Amnt_Deposited!H39</f>
        <v>1.6544646879543667</v>
      </c>
      <c r="Q44" s="283">
        <f>MCF!R43</f>
        <v>1</v>
      </c>
      <c r="R44" s="67">
        <f t="shared" si="5"/>
        <v>0.19853576255452401</v>
      </c>
      <c r="S44" s="67">
        <f t="shared" si="7"/>
        <v>0.19853576255452401</v>
      </c>
      <c r="T44" s="67">
        <f t="shared" si="8"/>
        <v>0</v>
      </c>
      <c r="U44" s="67">
        <f t="shared" si="9"/>
        <v>1.8555762066587482</v>
      </c>
      <c r="V44" s="67">
        <f t="shared" si="10"/>
        <v>0.12014898886667638</v>
      </c>
      <c r="W44" s="100">
        <f t="shared" si="11"/>
        <v>8.0099325911117583E-2</v>
      </c>
    </row>
    <row r="45" spans="2:23">
      <c r="B45" s="96">
        <f>Amnt_Deposited!B40</f>
        <v>2026</v>
      </c>
      <c r="C45" s="99">
        <f>Amnt_Deposited!H40</f>
        <v>1.7220973887721112</v>
      </c>
      <c r="D45" s="417">
        <f>Dry_Matter_Content!H32</f>
        <v>0.73</v>
      </c>
      <c r="E45" s="283">
        <f>MCF!R44</f>
        <v>1</v>
      </c>
      <c r="F45" s="67">
        <f t="shared" si="0"/>
        <v>0.18856966407054615</v>
      </c>
      <c r="G45" s="67">
        <f t="shared" si="1"/>
        <v>0.18856966407054615</v>
      </c>
      <c r="H45" s="67">
        <f t="shared" si="2"/>
        <v>0</v>
      </c>
      <c r="I45" s="67">
        <f t="shared" si="3"/>
        <v>1.7673112701215363</v>
      </c>
      <c r="J45" s="67">
        <f t="shared" si="4"/>
        <v>0.11447168252511795</v>
      </c>
      <c r="K45" s="100">
        <f t="shared" si="6"/>
        <v>7.6314455016745303E-2</v>
      </c>
      <c r="O45" s="96">
        <f>Amnt_Deposited!B40</f>
        <v>2026</v>
      </c>
      <c r="P45" s="99">
        <f>Amnt_Deposited!H40</f>
        <v>1.7220973887721112</v>
      </c>
      <c r="Q45" s="283">
        <f>MCF!R44</f>
        <v>1</v>
      </c>
      <c r="R45" s="67">
        <f t="shared" si="5"/>
        <v>0.20665168665265332</v>
      </c>
      <c r="S45" s="67">
        <f t="shared" si="7"/>
        <v>0.20665168665265332</v>
      </c>
      <c r="T45" s="67">
        <f t="shared" si="8"/>
        <v>0</v>
      </c>
      <c r="U45" s="67">
        <f t="shared" si="9"/>
        <v>1.9367794741057929</v>
      </c>
      <c r="V45" s="67">
        <f t="shared" si="10"/>
        <v>0.12544841920560867</v>
      </c>
      <c r="W45" s="100">
        <f t="shared" si="11"/>
        <v>8.3632279470405774E-2</v>
      </c>
    </row>
    <row r="46" spans="2:23">
      <c r="B46" s="96">
        <f>Amnt_Deposited!B41</f>
        <v>2027</v>
      </c>
      <c r="C46" s="99">
        <f>Amnt_Deposited!H41</f>
        <v>1.791419238586204</v>
      </c>
      <c r="D46" s="417">
        <f>Dry_Matter_Content!H33</f>
        <v>0.73</v>
      </c>
      <c r="E46" s="283">
        <f>MCF!R45</f>
        <v>1</v>
      </c>
      <c r="F46" s="67">
        <f t="shared" si="0"/>
        <v>0.19616040662518933</v>
      </c>
      <c r="G46" s="67">
        <f t="shared" si="1"/>
        <v>0.19616040662518933</v>
      </c>
      <c r="H46" s="67">
        <f t="shared" si="2"/>
        <v>0</v>
      </c>
      <c r="I46" s="67">
        <f t="shared" si="3"/>
        <v>1.8439905127366418</v>
      </c>
      <c r="J46" s="67">
        <f t="shared" si="4"/>
        <v>0.11948116401008388</v>
      </c>
      <c r="K46" s="100">
        <f t="shared" si="6"/>
        <v>7.9654109340055915E-2</v>
      </c>
      <c r="O46" s="96">
        <f>Amnt_Deposited!B41</f>
        <v>2027</v>
      </c>
      <c r="P46" s="99">
        <f>Amnt_Deposited!H41</f>
        <v>1.791419238586204</v>
      </c>
      <c r="Q46" s="283">
        <f>MCF!R45</f>
        <v>1</v>
      </c>
      <c r="R46" s="67">
        <f t="shared" si="5"/>
        <v>0.21497030863034447</v>
      </c>
      <c r="S46" s="67">
        <f t="shared" si="7"/>
        <v>0.21497030863034447</v>
      </c>
      <c r="T46" s="67">
        <f t="shared" si="8"/>
        <v>0</v>
      </c>
      <c r="U46" s="67">
        <f t="shared" si="9"/>
        <v>2.0208115208072783</v>
      </c>
      <c r="V46" s="67">
        <f t="shared" si="10"/>
        <v>0.13093826192885902</v>
      </c>
      <c r="W46" s="100">
        <f t="shared" si="11"/>
        <v>8.7292174619239341E-2</v>
      </c>
    </row>
    <row r="47" spans="2:23">
      <c r="B47" s="96">
        <f>Amnt_Deposited!B42</f>
        <v>2028</v>
      </c>
      <c r="C47" s="99">
        <f>Amnt_Deposited!H42</f>
        <v>1.8624148212709639</v>
      </c>
      <c r="D47" s="417">
        <f>Dry_Matter_Content!H34</f>
        <v>0.73</v>
      </c>
      <c r="E47" s="283">
        <f>MCF!R46</f>
        <v>1</v>
      </c>
      <c r="F47" s="67">
        <f t="shared" si="0"/>
        <v>0.20393442292917052</v>
      </c>
      <c r="G47" s="67">
        <f t="shared" si="1"/>
        <v>0.20393442292917052</v>
      </c>
      <c r="H47" s="67">
        <f t="shared" si="2"/>
        <v>0</v>
      </c>
      <c r="I47" s="67">
        <f t="shared" si="3"/>
        <v>1.923259780970016</v>
      </c>
      <c r="J47" s="67">
        <f t="shared" si="4"/>
        <v>0.12466515469579618</v>
      </c>
      <c r="K47" s="100">
        <f t="shared" si="6"/>
        <v>8.3110103130530785E-2</v>
      </c>
      <c r="O47" s="96">
        <f>Amnt_Deposited!B42</f>
        <v>2028</v>
      </c>
      <c r="P47" s="99">
        <f>Amnt_Deposited!H42</f>
        <v>1.8624148212709639</v>
      </c>
      <c r="Q47" s="283">
        <f>MCF!R46</f>
        <v>1</v>
      </c>
      <c r="R47" s="67">
        <f t="shared" si="5"/>
        <v>0.22348977855251567</v>
      </c>
      <c r="S47" s="67">
        <f t="shared" si="7"/>
        <v>0.22348977855251567</v>
      </c>
      <c r="T47" s="67">
        <f t="shared" si="8"/>
        <v>0</v>
      </c>
      <c r="U47" s="67">
        <f t="shared" si="9"/>
        <v>2.1076819517479626</v>
      </c>
      <c r="V47" s="67">
        <f t="shared" si="10"/>
        <v>0.13661934761183142</v>
      </c>
      <c r="W47" s="100">
        <f t="shared" si="11"/>
        <v>9.1079565074554281E-2</v>
      </c>
    </row>
    <row r="48" spans="2:23">
      <c r="B48" s="96">
        <f>Amnt_Deposited!B43</f>
        <v>2029</v>
      </c>
      <c r="C48" s="99">
        <f>Amnt_Deposited!H43</f>
        <v>1.935062075414415</v>
      </c>
      <c r="D48" s="417">
        <f>Dry_Matter_Content!H35</f>
        <v>0.73</v>
      </c>
      <c r="E48" s="283">
        <f>MCF!R47</f>
        <v>1</v>
      </c>
      <c r="F48" s="67">
        <f t="shared" si="0"/>
        <v>0.21188929725787845</v>
      </c>
      <c r="G48" s="67">
        <f t="shared" si="1"/>
        <v>0.21188929725787845</v>
      </c>
      <c r="H48" s="67">
        <f t="shared" si="2"/>
        <v>0</v>
      </c>
      <c r="I48" s="67">
        <f t="shared" si="3"/>
        <v>2.005124831107989</v>
      </c>
      <c r="J48" s="67">
        <f t="shared" si="4"/>
        <v>0.13002424711990537</v>
      </c>
      <c r="K48" s="100">
        <f t="shared" si="6"/>
        <v>8.6682831413270239E-2</v>
      </c>
      <c r="O48" s="96">
        <f>Amnt_Deposited!B43</f>
        <v>2029</v>
      </c>
      <c r="P48" s="99">
        <f>Amnt_Deposited!H43</f>
        <v>1.935062075414415</v>
      </c>
      <c r="Q48" s="283">
        <f>MCF!R47</f>
        <v>1</v>
      </c>
      <c r="R48" s="67">
        <f t="shared" si="5"/>
        <v>0.23220744904972979</v>
      </c>
      <c r="S48" s="67">
        <f t="shared" si="7"/>
        <v>0.23220744904972979</v>
      </c>
      <c r="T48" s="67">
        <f t="shared" si="8"/>
        <v>0</v>
      </c>
      <c r="U48" s="67">
        <f t="shared" si="9"/>
        <v>2.1973970751868372</v>
      </c>
      <c r="V48" s="67">
        <f t="shared" si="10"/>
        <v>0.1424923256108552</v>
      </c>
      <c r="W48" s="100">
        <f t="shared" si="11"/>
        <v>9.4994883740570135E-2</v>
      </c>
    </row>
    <row r="49" spans="2:23">
      <c r="B49" s="96">
        <f>Amnt_Deposited!B44</f>
        <v>2030</v>
      </c>
      <c r="C49" s="99">
        <f>Amnt_Deposited!H44</f>
        <v>2.0107517760000002</v>
      </c>
      <c r="D49" s="417">
        <f>Dry_Matter_Content!H36</f>
        <v>0.73</v>
      </c>
      <c r="E49" s="283">
        <f>MCF!R48</f>
        <v>1</v>
      </c>
      <c r="F49" s="67">
        <f t="shared" si="0"/>
        <v>0.22017731947200003</v>
      </c>
      <c r="G49" s="67">
        <f t="shared" si="1"/>
        <v>0.22017731947200003</v>
      </c>
      <c r="H49" s="67">
        <f t="shared" si="2"/>
        <v>0</v>
      </c>
      <c r="I49" s="67">
        <f t="shared" si="3"/>
        <v>2.089743320137047</v>
      </c>
      <c r="J49" s="67">
        <f t="shared" si="4"/>
        <v>0.13555883044294176</v>
      </c>
      <c r="K49" s="100">
        <f t="shared" si="6"/>
        <v>9.0372553628627839E-2</v>
      </c>
      <c r="O49" s="96">
        <f>Amnt_Deposited!B44</f>
        <v>2030</v>
      </c>
      <c r="P49" s="99">
        <f>Amnt_Deposited!H44</f>
        <v>2.0107517760000002</v>
      </c>
      <c r="Q49" s="283">
        <f>MCF!R48</f>
        <v>1</v>
      </c>
      <c r="R49" s="67">
        <f t="shared" si="5"/>
        <v>0.24129021312000001</v>
      </c>
      <c r="S49" s="67">
        <f t="shared" si="7"/>
        <v>0.24129021312000001</v>
      </c>
      <c r="T49" s="67">
        <f t="shared" si="8"/>
        <v>0</v>
      </c>
      <c r="U49" s="67">
        <f t="shared" si="9"/>
        <v>2.2901296659036134</v>
      </c>
      <c r="V49" s="67">
        <f t="shared" si="10"/>
        <v>0.14855762240322384</v>
      </c>
      <c r="W49" s="100">
        <f t="shared" si="11"/>
        <v>9.9038414935482558E-2</v>
      </c>
    </row>
    <row r="50" spans="2:23">
      <c r="B50" s="96">
        <f>Amnt_Deposited!B45</f>
        <v>2031</v>
      </c>
      <c r="C50" s="99">
        <f>Amnt_Deposited!H45</f>
        <v>0</v>
      </c>
      <c r="D50" s="417">
        <f>Dry_Matter_Content!H37</f>
        <v>0.73</v>
      </c>
      <c r="E50" s="283">
        <f>MCF!R49</f>
        <v>1</v>
      </c>
      <c r="F50" s="67">
        <f t="shared" si="0"/>
        <v>0</v>
      </c>
      <c r="G50" s="67">
        <f t="shared" si="1"/>
        <v>0</v>
      </c>
      <c r="H50" s="67">
        <f t="shared" si="2"/>
        <v>0</v>
      </c>
      <c r="I50" s="67">
        <f t="shared" si="3"/>
        <v>1.9484637568855203</v>
      </c>
      <c r="J50" s="67">
        <f t="shared" si="4"/>
        <v>0.1412795632515268</v>
      </c>
      <c r="K50" s="100">
        <f t="shared" si="6"/>
        <v>9.4186375501017855E-2</v>
      </c>
      <c r="O50" s="96">
        <f>Amnt_Deposited!B45</f>
        <v>2031</v>
      </c>
      <c r="P50" s="99">
        <f>Amnt_Deposited!H45</f>
        <v>0</v>
      </c>
      <c r="Q50" s="283">
        <f>MCF!R49</f>
        <v>1</v>
      </c>
      <c r="R50" s="67">
        <f t="shared" si="5"/>
        <v>0</v>
      </c>
      <c r="S50" s="67">
        <f t="shared" si="7"/>
        <v>0</v>
      </c>
      <c r="T50" s="67">
        <f t="shared" si="8"/>
        <v>0</v>
      </c>
      <c r="U50" s="67">
        <f t="shared" si="9"/>
        <v>2.1353027472718034</v>
      </c>
      <c r="V50" s="67">
        <f t="shared" si="10"/>
        <v>0.1548269186318102</v>
      </c>
      <c r="W50" s="100">
        <f t="shared" si="11"/>
        <v>0.10321794575454013</v>
      </c>
    </row>
    <row r="51" spans="2:23">
      <c r="B51" s="96">
        <f>Amnt_Deposited!B46</f>
        <v>2032</v>
      </c>
      <c r="C51" s="99">
        <f>Amnt_Deposited!H46</f>
        <v>0</v>
      </c>
      <c r="D51" s="417">
        <f>Dry_Matter_Content!H38</f>
        <v>0.73</v>
      </c>
      <c r="E51" s="283">
        <f>MCF!R50</f>
        <v>1</v>
      </c>
      <c r="F51" s="67">
        <f t="shared" ref="F51:F82" si="12">C51*D51*$K$6*DOCF*E51</f>
        <v>0</v>
      </c>
      <c r="G51" s="67">
        <f t="shared" si="1"/>
        <v>0</v>
      </c>
      <c r="H51" s="67">
        <f t="shared" si="2"/>
        <v>0</v>
      </c>
      <c r="I51" s="67">
        <f t="shared" si="3"/>
        <v>1.8167355652307853</v>
      </c>
      <c r="J51" s="67">
        <f t="shared" si="4"/>
        <v>0.13172819165473509</v>
      </c>
      <c r="K51" s="100">
        <f t="shared" si="6"/>
        <v>8.7818794436490058E-2</v>
      </c>
      <c r="O51" s="96">
        <f>Amnt_Deposited!B46</f>
        <v>2032</v>
      </c>
      <c r="P51" s="99">
        <f>Amnt_Deposited!H46</f>
        <v>0</v>
      </c>
      <c r="Q51" s="283">
        <f>MCF!R50</f>
        <v>1</v>
      </c>
      <c r="R51" s="67">
        <f t="shared" ref="R51:R82" si="13">P51*$W$6*DOCF*Q51</f>
        <v>0</v>
      </c>
      <c r="S51" s="67">
        <f t="shared" si="7"/>
        <v>0</v>
      </c>
      <c r="T51" s="67">
        <f t="shared" si="8"/>
        <v>0</v>
      </c>
      <c r="U51" s="67">
        <f t="shared" si="9"/>
        <v>1.9909430851844223</v>
      </c>
      <c r="V51" s="67">
        <f t="shared" si="10"/>
        <v>0.14435966208738096</v>
      </c>
      <c r="W51" s="100">
        <f t="shared" si="11"/>
        <v>9.6239774724920638E-2</v>
      </c>
    </row>
    <row r="52" spans="2:23">
      <c r="B52" s="96">
        <f>Amnt_Deposited!B47</f>
        <v>2033</v>
      </c>
      <c r="C52" s="99">
        <f>Amnt_Deposited!H47</f>
        <v>0</v>
      </c>
      <c r="D52" s="417">
        <f>Dry_Matter_Content!H39</f>
        <v>0.73</v>
      </c>
      <c r="E52" s="283">
        <f>MCF!R51</f>
        <v>1</v>
      </c>
      <c r="F52" s="67">
        <f t="shared" si="12"/>
        <v>0</v>
      </c>
      <c r="G52" s="67">
        <f t="shared" si="1"/>
        <v>0</v>
      </c>
      <c r="H52" s="67">
        <f t="shared" si="2"/>
        <v>0</v>
      </c>
      <c r="I52" s="67">
        <f t="shared" si="3"/>
        <v>1.6939130134245239</v>
      </c>
      <c r="J52" s="67">
        <f t="shared" si="4"/>
        <v>0.12282255180626132</v>
      </c>
      <c r="K52" s="100">
        <f t="shared" si="6"/>
        <v>8.1881701204174206E-2</v>
      </c>
      <c r="O52" s="96">
        <f>Amnt_Deposited!B47</f>
        <v>2033</v>
      </c>
      <c r="P52" s="99">
        <f>Amnt_Deposited!H47</f>
        <v>0</v>
      </c>
      <c r="Q52" s="283">
        <f>MCF!R51</f>
        <v>1</v>
      </c>
      <c r="R52" s="67">
        <f t="shared" si="13"/>
        <v>0</v>
      </c>
      <c r="S52" s="67">
        <f t="shared" si="7"/>
        <v>0</v>
      </c>
      <c r="T52" s="67">
        <f t="shared" si="8"/>
        <v>0</v>
      </c>
      <c r="U52" s="67">
        <f t="shared" si="9"/>
        <v>1.8563430284104372</v>
      </c>
      <c r="V52" s="67">
        <f t="shared" si="10"/>
        <v>0.13460005677398501</v>
      </c>
      <c r="W52" s="100">
        <f t="shared" si="11"/>
        <v>8.9733371182656674E-2</v>
      </c>
    </row>
    <row r="53" spans="2:23">
      <c r="B53" s="96">
        <f>Amnt_Deposited!B48</f>
        <v>2034</v>
      </c>
      <c r="C53" s="99">
        <f>Amnt_Deposited!H48</f>
        <v>0</v>
      </c>
      <c r="D53" s="417">
        <f>Dry_Matter_Content!H40</f>
        <v>0.73</v>
      </c>
      <c r="E53" s="283">
        <f>MCF!R52</f>
        <v>1</v>
      </c>
      <c r="F53" s="67">
        <f t="shared" si="12"/>
        <v>0</v>
      </c>
      <c r="G53" s="67">
        <f t="shared" si="1"/>
        <v>0</v>
      </c>
      <c r="H53" s="67">
        <f t="shared" si="2"/>
        <v>0</v>
      </c>
      <c r="I53" s="67">
        <f t="shared" si="3"/>
        <v>1.5793940251752878</v>
      </c>
      <c r="J53" s="67">
        <f t="shared" si="4"/>
        <v>0.11451898824923623</v>
      </c>
      <c r="K53" s="100">
        <f t="shared" si="6"/>
        <v>7.6345992166157478E-2</v>
      </c>
      <c r="O53" s="96">
        <f>Amnt_Deposited!B48</f>
        <v>2034</v>
      </c>
      <c r="P53" s="99">
        <f>Amnt_Deposited!H48</f>
        <v>0</v>
      </c>
      <c r="Q53" s="283">
        <f>MCF!R52</f>
        <v>1</v>
      </c>
      <c r="R53" s="67">
        <f t="shared" si="13"/>
        <v>0</v>
      </c>
      <c r="S53" s="67">
        <f t="shared" si="7"/>
        <v>0</v>
      </c>
      <c r="T53" s="67">
        <f t="shared" si="8"/>
        <v>0</v>
      </c>
      <c r="U53" s="67">
        <f t="shared" si="9"/>
        <v>1.7308427673153839</v>
      </c>
      <c r="V53" s="67">
        <f t="shared" si="10"/>
        <v>0.12550026109505338</v>
      </c>
      <c r="W53" s="100">
        <f t="shared" si="11"/>
        <v>8.366684073003558E-2</v>
      </c>
    </row>
    <row r="54" spans="2:23">
      <c r="B54" s="96">
        <f>Amnt_Deposited!B49</f>
        <v>2035</v>
      </c>
      <c r="C54" s="99">
        <f>Amnt_Deposited!H49</f>
        <v>0</v>
      </c>
      <c r="D54" s="417">
        <f>Dry_Matter_Content!H41</f>
        <v>0.73</v>
      </c>
      <c r="E54" s="283">
        <f>MCF!R53</f>
        <v>1</v>
      </c>
      <c r="F54" s="67">
        <f t="shared" si="12"/>
        <v>0</v>
      </c>
      <c r="G54" s="67">
        <f t="shared" si="1"/>
        <v>0</v>
      </c>
      <c r="H54" s="67">
        <f t="shared" si="2"/>
        <v>0</v>
      </c>
      <c r="I54" s="67">
        <f t="shared" si="3"/>
        <v>1.472617228269818</v>
      </c>
      <c r="J54" s="67">
        <f t="shared" si="4"/>
        <v>0.10677679690546978</v>
      </c>
      <c r="K54" s="100">
        <f t="shared" si="6"/>
        <v>7.1184531270313184E-2</v>
      </c>
      <c r="O54" s="96">
        <f>Amnt_Deposited!B49</f>
        <v>2035</v>
      </c>
      <c r="P54" s="99">
        <f>Amnt_Deposited!H49</f>
        <v>0</v>
      </c>
      <c r="Q54" s="283">
        <f>MCF!R53</f>
        <v>1</v>
      </c>
      <c r="R54" s="67">
        <f t="shared" si="13"/>
        <v>0</v>
      </c>
      <c r="S54" s="67">
        <f t="shared" si="7"/>
        <v>0</v>
      </c>
      <c r="T54" s="67">
        <f t="shared" si="8"/>
        <v>0</v>
      </c>
      <c r="U54" s="67">
        <f t="shared" si="9"/>
        <v>1.6138270994737731</v>
      </c>
      <c r="V54" s="67">
        <f t="shared" si="10"/>
        <v>0.11701566784161072</v>
      </c>
      <c r="W54" s="100">
        <f t="shared" si="11"/>
        <v>7.8010445227740477E-2</v>
      </c>
    </row>
    <row r="55" spans="2:23">
      <c r="B55" s="96">
        <f>Amnt_Deposited!B50</f>
        <v>2036</v>
      </c>
      <c r="C55" s="99">
        <f>Amnt_Deposited!H50</f>
        <v>0</v>
      </c>
      <c r="D55" s="417">
        <f>Dry_Matter_Content!H42</f>
        <v>0.73</v>
      </c>
      <c r="E55" s="283">
        <f>MCF!R54</f>
        <v>1</v>
      </c>
      <c r="F55" s="67">
        <f t="shared" si="12"/>
        <v>0</v>
      </c>
      <c r="G55" s="67">
        <f t="shared" si="1"/>
        <v>0</v>
      </c>
      <c r="H55" s="67">
        <f t="shared" si="2"/>
        <v>0</v>
      </c>
      <c r="I55" s="67">
        <f t="shared" si="3"/>
        <v>1.3730592027258055</v>
      </c>
      <c r="J55" s="67">
        <f t="shared" si="4"/>
        <v>9.9558025544012593E-2</v>
      </c>
      <c r="K55" s="100">
        <f t="shared" si="6"/>
        <v>6.6372017029341729E-2</v>
      </c>
      <c r="O55" s="96">
        <f>Amnt_Deposited!B50</f>
        <v>2036</v>
      </c>
      <c r="P55" s="99">
        <f>Amnt_Deposited!H50</f>
        <v>0</v>
      </c>
      <c r="Q55" s="283">
        <f>MCF!R54</f>
        <v>1</v>
      </c>
      <c r="R55" s="67">
        <f t="shared" si="13"/>
        <v>0</v>
      </c>
      <c r="S55" s="67">
        <f t="shared" si="7"/>
        <v>0</v>
      </c>
      <c r="T55" s="67">
        <f t="shared" si="8"/>
        <v>0</v>
      </c>
      <c r="U55" s="67">
        <f t="shared" si="9"/>
        <v>1.5047224139460882</v>
      </c>
      <c r="V55" s="67">
        <f t="shared" si="10"/>
        <v>0.10910468552768504</v>
      </c>
      <c r="W55" s="100">
        <f t="shared" si="11"/>
        <v>7.2736457018456685E-2</v>
      </c>
    </row>
    <row r="56" spans="2:23">
      <c r="B56" s="96">
        <f>Amnt_Deposited!B51</f>
        <v>2037</v>
      </c>
      <c r="C56" s="99">
        <f>Amnt_Deposited!H51</f>
        <v>0</v>
      </c>
      <c r="D56" s="417">
        <f>Dry_Matter_Content!H43</f>
        <v>0.73</v>
      </c>
      <c r="E56" s="283">
        <f>MCF!R55</f>
        <v>1</v>
      </c>
      <c r="F56" s="67">
        <f t="shared" si="12"/>
        <v>0</v>
      </c>
      <c r="G56" s="67">
        <f t="shared" si="1"/>
        <v>0</v>
      </c>
      <c r="H56" s="67">
        <f t="shared" si="2"/>
        <v>0</v>
      </c>
      <c r="I56" s="67">
        <f t="shared" si="3"/>
        <v>1.2802319149865296</v>
      </c>
      <c r="J56" s="67">
        <f t="shared" si="4"/>
        <v>9.2827287739275885E-2</v>
      </c>
      <c r="K56" s="100">
        <f t="shared" si="6"/>
        <v>6.1884858492850588E-2</v>
      </c>
      <c r="O56" s="96">
        <f>Amnt_Deposited!B51</f>
        <v>2037</v>
      </c>
      <c r="P56" s="99">
        <f>Amnt_Deposited!H51</f>
        <v>0</v>
      </c>
      <c r="Q56" s="283">
        <f>MCF!R55</f>
        <v>1</v>
      </c>
      <c r="R56" s="67">
        <f t="shared" si="13"/>
        <v>0</v>
      </c>
      <c r="S56" s="67">
        <f t="shared" si="7"/>
        <v>0</v>
      </c>
      <c r="T56" s="67">
        <f t="shared" si="8"/>
        <v>0</v>
      </c>
      <c r="U56" s="67">
        <f t="shared" si="9"/>
        <v>1.4029938794372927</v>
      </c>
      <c r="V56" s="67">
        <f t="shared" si="10"/>
        <v>0.10172853450879549</v>
      </c>
      <c r="W56" s="100">
        <f t="shared" si="11"/>
        <v>6.7819023005863649E-2</v>
      </c>
    </row>
    <row r="57" spans="2:23">
      <c r="B57" s="96">
        <f>Amnt_Deposited!B52</f>
        <v>2038</v>
      </c>
      <c r="C57" s="99">
        <f>Amnt_Deposited!H52</f>
        <v>0</v>
      </c>
      <c r="D57" s="417">
        <f>Dry_Matter_Content!H44</f>
        <v>0.73</v>
      </c>
      <c r="E57" s="283">
        <f>MCF!R56</f>
        <v>1</v>
      </c>
      <c r="F57" s="67">
        <f t="shared" si="12"/>
        <v>0</v>
      </c>
      <c r="G57" s="67">
        <f t="shared" si="1"/>
        <v>0</v>
      </c>
      <c r="H57" s="67">
        <f t="shared" si="2"/>
        <v>0</v>
      </c>
      <c r="I57" s="67">
        <f t="shared" si="3"/>
        <v>1.1936803255797974</v>
      </c>
      <c r="J57" s="67">
        <f t="shared" si="4"/>
        <v>8.6551589406732035E-2</v>
      </c>
      <c r="K57" s="100">
        <f t="shared" si="6"/>
        <v>5.7701059604488021E-2</v>
      </c>
      <c r="O57" s="96">
        <f>Amnt_Deposited!B52</f>
        <v>2038</v>
      </c>
      <c r="P57" s="99">
        <f>Amnt_Deposited!H52</f>
        <v>0</v>
      </c>
      <c r="Q57" s="283">
        <f>MCF!R56</f>
        <v>1</v>
      </c>
      <c r="R57" s="67">
        <f t="shared" si="13"/>
        <v>0</v>
      </c>
      <c r="S57" s="67">
        <f t="shared" si="7"/>
        <v>0</v>
      </c>
      <c r="T57" s="67">
        <f t="shared" si="8"/>
        <v>0</v>
      </c>
      <c r="U57" s="67">
        <f t="shared" si="9"/>
        <v>1.3081428225532028</v>
      </c>
      <c r="V57" s="67">
        <f t="shared" si="10"/>
        <v>9.4851056884089902E-2</v>
      </c>
      <c r="W57" s="100">
        <f t="shared" si="11"/>
        <v>6.3234037922726596E-2</v>
      </c>
    </row>
    <row r="58" spans="2:23">
      <c r="B58" s="96">
        <f>Amnt_Deposited!B53</f>
        <v>2039</v>
      </c>
      <c r="C58" s="99">
        <f>Amnt_Deposited!H53</f>
        <v>0</v>
      </c>
      <c r="D58" s="417">
        <f>Dry_Matter_Content!H45</f>
        <v>0.73</v>
      </c>
      <c r="E58" s="283">
        <f>MCF!R57</f>
        <v>1</v>
      </c>
      <c r="F58" s="67">
        <f t="shared" si="12"/>
        <v>0</v>
      </c>
      <c r="G58" s="67">
        <f t="shared" si="1"/>
        <v>0</v>
      </c>
      <c r="H58" s="67">
        <f t="shared" si="2"/>
        <v>0</v>
      </c>
      <c r="I58" s="67">
        <f t="shared" si="3"/>
        <v>1.1129801585139234</v>
      </c>
      <c r="J58" s="67">
        <f t="shared" si="4"/>
        <v>8.0700167065874087E-2</v>
      </c>
      <c r="K58" s="100">
        <f t="shared" si="6"/>
        <v>5.3800111377249389E-2</v>
      </c>
      <c r="O58" s="96">
        <f>Amnt_Deposited!B53</f>
        <v>2039</v>
      </c>
      <c r="P58" s="99">
        <f>Amnt_Deposited!H53</f>
        <v>0</v>
      </c>
      <c r="Q58" s="283">
        <f>MCF!R57</f>
        <v>1</v>
      </c>
      <c r="R58" s="67">
        <f t="shared" si="13"/>
        <v>0</v>
      </c>
      <c r="S58" s="67">
        <f t="shared" si="7"/>
        <v>0</v>
      </c>
      <c r="T58" s="67">
        <f t="shared" si="8"/>
        <v>0</v>
      </c>
      <c r="U58" s="67">
        <f t="shared" si="9"/>
        <v>1.2197042833029299</v>
      </c>
      <c r="V58" s="67">
        <f t="shared" si="10"/>
        <v>8.8438539250272979E-2</v>
      </c>
      <c r="W58" s="100">
        <f t="shared" si="11"/>
        <v>5.8959026166848651E-2</v>
      </c>
    </row>
    <row r="59" spans="2:23">
      <c r="B59" s="96">
        <f>Amnt_Deposited!B54</f>
        <v>2040</v>
      </c>
      <c r="C59" s="99">
        <f>Amnt_Deposited!H54</f>
        <v>0</v>
      </c>
      <c r="D59" s="417">
        <f>Dry_Matter_Content!H46</f>
        <v>0.73</v>
      </c>
      <c r="E59" s="283">
        <f>MCF!R58</f>
        <v>1</v>
      </c>
      <c r="F59" s="67">
        <f t="shared" si="12"/>
        <v>0</v>
      </c>
      <c r="G59" s="67">
        <f t="shared" si="1"/>
        <v>0</v>
      </c>
      <c r="H59" s="67">
        <f t="shared" si="2"/>
        <v>0</v>
      </c>
      <c r="I59" s="67">
        <f t="shared" si="3"/>
        <v>1.0377358214763248</v>
      </c>
      <c r="J59" s="67">
        <f t="shared" si="4"/>
        <v>7.5244337037598544E-2</v>
      </c>
      <c r="K59" s="100">
        <f t="shared" si="6"/>
        <v>5.0162891358399027E-2</v>
      </c>
      <c r="O59" s="96">
        <f>Amnt_Deposited!B54</f>
        <v>2040</v>
      </c>
      <c r="P59" s="99">
        <f>Amnt_Deposited!H54</f>
        <v>0</v>
      </c>
      <c r="Q59" s="283">
        <f>MCF!R58</f>
        <v>1</v>
      </c>
      <c r="R59" s="67">
        <f t="shared" si="13"/>
        <v>0</v>
      </c>
      <c r="S59" s="67">
        <f t="shared" si="7"/>
        <v>0</v>
      </c>
      <c r="T59" s="67">
        <f t="shared" si="8"/>
        <v>0</v>
      </c>
      <c r="U59" s="67">
        <f t="shared" si="9"/>
        <v>1.1372447358644657</v>
      </c>
      <c r="V59" s="67">
        <f t="shared" si="10"/>
        <v>8.2459547438464162E-2</v>
      </c>
      <c r="W59" s="100">
        <f t="shared" si="11"/>
        <v>5.4973031625642772E-2</v>
      </c>
    </row>
    <row r="60" spans="2:23">
      <c r="B60" s="96">
        <f>Amnt_Deposited!B55</f>
        <v>2041</v>
      </c>
      <c r="C60" s="99">
        <f>Amnt_Deposited!H55</f>
        <v>0</v>
      </c>
      <c r="D60" s="417">
        <f>Dry_Matter_Content!H47</f>
        <v>0.73</v>
      </c>
      <c r="E60" s="283">
        <f>MCF!R59</f>
        <v>1</v>
      </c>
      <c r="F60" s="67">
        <f t="shared" si="12"/>
        <v>0</v>
      </c>
      <c r="G60" s="67">
        <f t="shared" si="1"/>
        <v>0</v>
      </c>
      <c r="H60" s="67">
        <f t="shared" si="2"/>
        <v>0</v>
      </c>
      <c r="I60" s="67">
        <f t="shared" si="3"/>
        <v>0.96757846663954772</v>
      </c>
      <c r="J60" s="67">
        <f t="shared" si="4"/>
        <v>7.0157354836777125E-2</v>
      </c>
      <c r="K60" s="100">
        <f t="shared" si="6"/>
        <v>4.677156989118475E-2</v>
      </c>
      <c r="O60" s="96">
        <f>Amnt_Deposited!B55</f>
        <v>2041</v>
      </c>
      <c r="P60" s="99">
        <f>Amnt_Deposited!H55</f>
        <v>0</v>
      </c>
      <c r="Q60" s="283">
        <f>MCF!R59</f>
        <v>1</v>
      </c>
      <c r="R60" s="67">
        <f t="shared" si="13"/>
        <v>0</v>
      </c>
      <c r="S60" s="67">
        <f t="shared" si="7"/>
        <v>0</v>
      </c>
      <c r="T60" s="67">
        <f t="shared" si="8"/>
        <v>0</v>
      </c>
      <c r="U60" s="67">
        <f t="shared" si="9"/>
        <v>1.0603599634406005</v>
      </c>
      <c r="V60" s="67">
        <f t="shared" si="10"/>
        <v>7.688477242386535E-2</v>
      </c>
      <c r="W60" s="100">
        <f t="shared" si="11"/>
        <v>5.1256514949243562E-2</v>
      </c>
    </row>
    <row r="61" spans="2:23">
      <c r="B61" s="96">
        <f>Amnt_Deposited!B56</f>
        <v>2042</v>
      </c>
      <c r="C61" s="99">
        <f>Amnt_Deposited!H56</f>
        <v>0</v>
      </c>
      <c r="D61" s="417">
        <f>Dry_Matter_Content!H48</f>
        <v>0.73</v>
      </c>
      <c r="E61" s="283">
        <f>MCF!R60</f>
        <v>1</v>
      </c>
      <c r="F61" s="67">
        <f t="shared" si="12"/>
        <v>0</v>
      </c>
      <c r="G61" s="67">
        <f t="shared" si="1"/>
        <v>0</v>
      </c>
      <c r="H61" s="67">
        <f t="shared" si="2"/>
        <v>0</v>
      </c>
      <c r="I61" s="67">
        <f t="shared" si="3"/>
        <v>0.90216418256878805</v>
      </c>
      <c r="J61" s="67">
        <f t="shared" si="4"/>
        <v>6.5414284070759679E-2</v>
      </c>
      <c r="K61" s="100">
        <f t="shared" si="6"/>
        <v>4.3609522713839784E-2</v>
      </c>
      <c r="O61" s="96">
        <f>Amnt_Deposited!B56</f>
        <v>2042</v>
      </c>
      <c r="P61" s="99">
        <f>Amnt_Deposited!H56</f>
        <v>0</v>
      </c>
      <c r="Q61" s="283">
        <f>MCF!R60</f>
        <v>1</v>
      </c>
      <c r="R61" s="67">
        <f t="shared" si="13"/>
        <v>0</v>
      </c>
      <c r="S61" s="67">
        <f t="shared" si="7"/>
        <v>0</v>
      </c>
      <c r="T61" s="67">
        <f t="shared" si="8"/>
        <v>0</v>
      </c>
      <c r="U61" s="67">
        <f t="shared" si="9"/>
        <v>0.9886730767877131</v>
      </c>
      <c r="V61" s="67">
        <f t="shared" si="10"/>
        <v>7.1686886652887333E-2</v>
      </c>
      <c r="W61" s="100">
        <f t="shared" si="11"/>
        <v>4.7791257768591555E-2</v>
      </c>
    </row>
    <row r="62" spans="2:23">
      <c r="B62" s="96">
        <f>Amnt_Deposited!B57</f>
        <v>2043</v>
      </c>
      <c r="C62" s="99">
        <f>Amnt_Deposited!H57</f>
        <v>0</v>
      </c>
      <c r="D62" s="417">
        <f>Dry_Matter_Content!H49</f>
        <v>0.73</v>
      </c>
      <c r="E62" s="283">
        <f>MCF!R61</f>
        <v>1</v>
      </c>
      <c r="F62" s="67">
        <f t="shared" si="12"/>
        <v>0</v>
      </c>
      <c r="G62" s="67">
        <f t="shared" si="1"/>
        <v>0</v>
      </c>
      <c r="H62" s="67">
        <f t="shared" si="2"/>
        <v>0</v>
      </c>
      <c r="I62" s="67">
        <f t="shared" si="3"/>
        <v>0.84117230836763957</v>
      </c>
      <c r="J62" s="67">
        <f t="shared" si="4"/>
        <v>6.0991874201148447E-2</v>
      </c>
      <c r="K62" s="100">
        <f t="shared" si="6"/>
        <v>4.0661249467432298E-2</v>
      </c>
      <c r="O62" s="96">
        <f>Amnt_Deposited!B57</f>
        <v>2043</v>
      </c>
      <c r="P62" s="99">
        <f>Amnt_Deposited!H57</f>
        <v>0</v>
      </c>
      <c r="Q62" s="283">
        <f>MCF!R61</f>
        <v>1</v>
      </c>
      <c r="R62" s="67">
        <f t="shared" si="13"/>
        <v>0</v>
      </c>
      <c r="S62" s="67">
        <f t="shared" si="7"/>
        <v>0</v>
      </c>
      <c r="T62" s="67">
        <f t="shared" si="8"/>
        <v>0</v>
      </c>
      <c r="U62" s="67">
        <f t="shared" si="9"/>
        <v>0.92183266670426278</v>
      </c>
      <c r="V62" s="67">
        <f t="shared" si="10"/>
        <v>6.6840410083450361E-2</v>
      </c>
      <c r="W62" s="100">
        <f t="shared" si="11"/>
        <v>4.4560273388966905E-2</v>
      </c>
    </row>
    <row r="63" spans="2:23">
      <c r="B63" s="96">
        <f>Amnt_Deposited!B58</f>
        <v>2044</v>
      </c>
      <c r="C63" s="99">
        <f>Amnt_Deposited!H58</f>
        <v>0</v>
      </c>
      <c r="D63" s="417">
        <f>Dry_Matter_Content!H50</f>
        <v>0.73</v>
      </c>
      <c r="E63" s="283">
        <f>MCF!R62</f>
        <v>1</v>
      </c>
      <c r="F63" s="67">
        <f t="shared" si="12"/>
        <v>0</v>
      </c>
      <c r="G63" s="67">
        <f t="shared" si="1"/>
        <v>0</v>
      </c>
      <c r="H63" s="67">
        <f t="shared" si="2"/>
        <v>0</v>
      </c>
      <c r="I63" s="67">
        <f t="shared" si="3"/>
        <v>0.78430386179800771</v>
      </c>
      <c r="J63" s="67">
        <f t="shared" si="4"/>
        <v>5.6868446569631852E-2</v>
      </c>
      <c r="K63" s="100">
        <f t="shared" si="6"/>
        <v>3.7912297713087899E-2</v>
      </c>
      <c r="O63" s="96">
        <f>Amnt_Deposited!B58</f>
        <v>2044</v>
      </c>
      <c r="P63" s="99">
        <f>Amnt_Deposited!H58</f>
        <v>0</v>
      </c>
      <c r="Q63" s="283">
        <f>MCF!R62</f>
        <v>1</v>
      </c>
      <c r="R63" s="67">
        <f t="shared" si="13"/>
        <v>0</v>
      </c>
      <c r="S63" s="67">
        <f t="shared" si="7"/>
        <v>0</v>
      </c>
      <c r="T63" s="67">
        <f t="shared" si="8"/>
        <v>0</v>
      </c>
      <c r="U63" s="67">
        <f t="shared" si="9"/>
        <v>0.85951108142247445</v>
      </c>
      <c r="V63" s="67">
        <f t="shared" si="10"/>
        <v>6.2321585281788348E-2</v>
      </c>
      <c r="W63" s="100">
        <f t="shared" si="11"/>
        <v>4.154772352119223E-2</v>
      </c>
    </row>
    <row r="64" spans="2:23">
      <c r="B64" s="96">
        <f>Amnt_Deposited!B59</f>
        <v>2045</v>
      </c>
      <c r="C64" s="99">
        <f>Amnt_Deposited!H59</f>
        <v>0</v>
      </c>
      <c r="D64" s="417">
        <f>Dry_Matter_Content!H51</f>
        <v>0.73</v>
      </c>
      <c r="E64" s="283">
        <f>MCF!R63</f>
        <v>1</v>
      </c>
      <c r="F64" s="67">
        <f t="shared" si="12"/>
        <v>0</v>
      </c>
      <c r="G64" s="67">
        <f t="shared" si="1"/>
        <v>0</v>
      </c>
      <c r="H64" s="67">
        <f t="shared" si="2"/>
        <v>0</v>
      </c>
      <c r="I64" s="67">
        <f t="shared" si="3"/>
        <v>0.7312800736688313</v>
      </c>
      <c r="J64" s="67">
        <f t="shared" si="4"/>
        <v>5.3023788129176366E-2</v>
      </c>
      <c r="K64" s="100">
        <f t="shared" si="6"/>
        <v>3.5349192086117573E-2</v>
      </c>
      <c r="O64" s="96">
        <f>Amnt_Deposited!B59</f>
        <v>2045</v>
      </c>
      <c r="P64" s="99">
        <f>Amnt_Deposited!H59</f>
        <v>0</v>
      </c>
      <c r="Q64" s="283">
        <f>MCF!R63</f>
        <v>1</v>
      </c>
      <c r="R64" s="67">
        <f t="shared" si="13"/>
        <v>0</v>
      </c>
      <c r="S64" s="67">
        <f t="shared" si="7"/>
        <v>0</v>
      </c>
      <c r="T64" s="67">
        <f t="shared" si="8"/>
        <v>0</v>
      </c>
      <c r="U64" s="67">
        <f t="shared" si="9"/>
        <v>0.80140282045899347</v>
      </c>
      <c r="V64" s="67">
        <f t="shared" si="10"/>
        <v>5.8108260963480964E-2</v>
      </c>
      <c r="W64" s="100">
        <f t="shared" si="11"/>
        <v>3.8738840642320638E-2</v>
      </c>
    </row>
    <row r="65" spans="2:23">
      <c r="B65" s="96">
        <f>Amnt_Deposited!B60</f>
        <v>2046</v>
      </c>
      <c r="C65" s="99">
        <f>Amnt_Deposited!H60</f>
        <v>0</v>
      </c>
      <c r="D65" s="417">
        <f>Dry_Matter_Content!H52</f>
        <v>0.73</v>
      </c>
      <c r="E65" s="283">
        <f>MCF!R64</f>
        <v>1</v>
      </c>
      <c r="F65" s="67">
        <f t="shared" si="12"/>
        <v>0</v>
      </c>
      <c r="G65" s="67">
        <f t="shared" si="1"/>
        <v>0</v>
      </c>
      <c r="H65" s="67">
        <f t="shared" si="2"/>
        <v>0</v>
      </c>
      <c r="I65" s="67">
        <f t="shared" si="3"/>
        <v>0.68184102130918489</v>
      </c>
      <c r="J65" s="67">
        <f t="shared" si="4"/>
        <v>4.9439052359646421E-2</v>
      </c>
      <c r="K65" s="100">
        <f t="shared" si="6"/>
        <v>3.2959368239764281E-2</v>
      </c>
      <c r="O65" s="96">
        <f>Amnt_Deposited!B60</f>
        <v>2046</v>
      </c>
      <c r="P65" s="99">
        <f>Amnt_Deposited!H60</f>
        <v>0</v>
      </c>
      <c r="Q65" s="283">
        <f>MCF!R64</f>
        <v>1</v>
      </c>
      <c r="R65" s="67">
        <f t="shared" si="13"/>
        <v>0</v>
      </c>
      <c r="S65" s="67">
        <f t="shared" si="7"/>
        <v>0</v>
      </c>
      <c r="T65" s="67">
        <f t="shared" si="8"/>
        <v>0</v>
      </c>
      <c r="U65" s="67">
        <f t="shared" si="9"/>
        <v>0.74722303705116178</v>
      </c>
      <c r="V65" s="67">
        <f t="shared" si="10"/>
        <v>5.4179783407831715E-2</v>
      </c>
      <c r="W65" s="100">
        <f t="shared" si="11"/>
        <v>3.6119855605221143E-2</v>
      </c>
    </row>
    <row r="66" spans="2:23">
      <c r="B66" s="96">
        <f>Amnt_Deposited!B61</f>
        <v>2047</v>
      </c>
      <c r="C66" s="99">
        <f>Amnt_Deposited!H61</f>
        <v>0</v>
      </c>
      <c r="D66" s="417">
        <f>Dry_Matter_Content!H53</f>
        <v>0.73</v>
      </c>
      <c r="E66" s="283">
        <f>MCF!R65</f>
        <v>1</v>
      </c>
      <c r="F66" s="67">
        <f t="shared" si="12"/>
        <v>0</v>
      </c>
      <c r="G66" s="67">
        <f t="shared" si="1"/>
        <v>0</v>
      </c>
      <c r="H66" s="67">
        <f t="shared" si="2"/>
        <v>0</v>
      </c>
      <c r="I66" s="67">
        <f t="shared" si="3"/>
        <v>0.63574435442704402</v>
      </c>
      <c r="J66" s="67">
        <f t="shared" si="4"/>
        <v>4.6096666882140917E-2</v>
      </c>
      <c r="K66" s="100">
        <f t="shared" si="6"/>
        <v>3.073111125476061E-2</v>
      </c>
      <c r="O66" s="96">
        <f>Amnt_Deposited!B61</f>
        <v>2047</v>
      </c>
      <c r="P66" s="99">
        <f>Amnt_Deposited!H61</f>
        <v>0</v>
      </c>
      <c r="Q66" s="283">
        <f>MCF!R65</f>
        <v>1</v>
      </c>
      <c r="R66" s="67">
        <f t="shared" si="13"/>
        <v>0</v>
      </c>
      <c r="S66" s="67">
        <f t="shared" si="7"/>
        <v>0</v>
      </c>
      <c r="T66" s="67">
        <f t="shared" si="8"/>
        <v>0</v>
      </c>
      <c r="U66" s="67">
        <f t="shared" si="9"/>
        <v>0.69670614183785662</v>
      </c>
      <c r="V66" s="67">
        <f t="shared" si="10"/>
        <v>5.051689521330513E-2</v>
      </c>
      <c r="W66" s="100">
        <f t="shared" si="11"/>
        <v>3.3677930142203417E-2</v>
      </c>
    </row>
    <row r="67" spans="2:23">
      <c r="B67" s="96">
        <f>Amnt_Deposited!B62</f>
        <v>2048</v>
      </c>
      <c r="C67" s="99">
        <f>Amnt_Deposited!H62</f>
        <v>0</v>
      </c>
      <c r="D67" s="417">
        <f>Dry_Matter_Content!H54</f>
        <v>0.73</v>
      </c>
      <c r="E67" s="283">
        <f>MCF!R66</f>
        <v>1</v>
      </c>
      <c r="F67" s="67">
        <f t="shared" si="12"/>
        <v>0</v>
      </c>
      <c r="G67" s="67">
        <f t="shared" si="1"/>
        <v>0</v>
      </c>
      <c r="H67" s="67">
        <f t="shared" si="2"/>
        <v>0</v>
      </c>
      <c r="I67" s="67">
        <f t="shared" si="3"/>
        <v>0.59276410710787264</v>
      </c>
      <c r="J67" s="67">
        <f t="shared" si="4"/>
        <v>4.298024731917139E-2</v>
      </c>
      <c r="K67" s="100">
        <f t="shared" si="6"/>
        <v>2.8653498212780924E-2</v>
      </c>
      <c r="O67" s="96">
        <f>Amnt_Deposited!B62</f>
        <v>2048</v>
      </c>
      <c r="P67" s="99">
        <f>Amnt_Deposited!H62</f>
        <v>0</v>
      </c>
      <c r="Q67" s="283">
        <f>MCF!R66</f>
        <v>1</v>
      </c>
      <c r="R67" s="67">
        <f t="shared" si="13"/>
        <v>0</v>
      </c>
      <c r="S67" s="67">
        <f t="shared" si="7"/>
        <v>0</v>
      </c>
      <c r="T67" s="67">
        <f t="shared" si="8"/>
        <v>0</v>
      </c>
      <c r="U67" s="67">
        <f t="shared" si="9"/>
        <v>0.64960450094013455</v>
      </c>
      <c r="V67" s="67">
        <f t="shared" si="10"/>
        <v>4.7101640897722084E-2</v>
      </c>
      <c r="W67" s="100">
        <f t="shared" si="11"/>
        <v>3.1401093931814721E-2</v>
      </c>
    </row>
    <row r="68" spans="2:23">
      <c r="B68" s="96">
        <f>Amnt_Deposited!B63</f>
        <v>2049</v>
      </c>
      <c r="C68" s="99">
        <f>Amnt_Deposited!H63</f>
        <v>0</v>
      </c>
      <c r="D68" s="417">
        <f>Dry_Matter_Content!H55</f>
        <v>0.73</v>
      </c>
      <c r="E68" s="283">
        <f>MCF!R67</f>
        <v>1</v>
      </c>
      <c r="F68" s="67">
        <f t="shared" si="12"/>
        <v>0</v>
      </c>
      <c r="G68" s="67">
        <f t="shared" si="1"/>
        <v>0</v>
      </c>
      <c r="H68" s="67">
        <f t="shared" si="2"/>
        <v>0</v>
      </c>
      <c r="I68" s="67">
        <f t="shared" si="3"/>
        <v>0.55268959012944807</v>
      </c>
      <c r="J68" s="67">
        <f t="shared" si="4"/>
        <v>4.0074516978424603E-2</v>
      </c>
      <c r="K68" s="100">
        <f t="shared" si="6"/>
        <v>2.6716344652283067E-2</v>
      </c>
      <c r="O68" s="96">
        <f>Amnt_Deposited!B63</f>
        <v>2049</v>
      </c>
      <c r="P68" s="99">
        <f>Amnt_Deposited!H63</f>
        <v>0</v>
      </c>
      <c r="Q68" s="283">
        <f>MCF!R67</f>
        <v>1</v>
      </c>
      <c r="R68" s="67">
        <f t="shared" si="13"/>
        <v>0</v>
      </c>
      <c r="S68" s="67">
        <f t="shared" si="7"/>
        <v>0</v>
      </c>
      <c r="T68" s="67">
        <f t="shared" si="8"/>
        <v>0</v>
      </c>
      <c r="U68" s="67">
        <f t="shared" si="9"/>
        <v>0.60568722205966918</v>
      </c>
      <c r="V68" s="67">
        <f t="shared" si="10"/>
        <v>4.391727888046533E-2</v>
      </c>
      <c r="W68" s="100">
        <f t="shared" si="11"/>
        <v>2.9278185920310219E-2</v>
      </c>
    </row>
    <row r="69" spans="2:23">
      <c r="B69" s="96">
        <f>Amnt_Deposited!B64</f>
        <v>2050</v>
      </c>
      <c r="C69" s="99">
        <f>Amnt_Deposited!H64</f>
        <v>0</v>
      </c>
      <c r="D69" s="417">
        <f>Dry_Matter_Content!H56</f>
        <v>0.73</v>
      </c>
      <c r="E69" s="283">
        <f>MCF!R68</f>
        <v>1</v>
      </c>
      <c r="F69" s="67">
        <f t="shared" si="12"/>
        <v>0</v>
      </c>
      <c r="G69" s="67">
        <f t="shared" si="1"/>
        <v>0</v>
      </c>
      <c r="H69" s="67">
        <f t="shared" si="2"/>
        <v>0</v>
      </c>
      <c r="I69" s="67">
        <f t="shared" si="3"/>
        <v>0.515324358163049</v>
      </c>
      <c r="J69" s="67">
        <f t="shared" si="4"/>
        <v>3.7365231966399098E-2</v>
      </c>
      <c r="K69" s="100">
        <f t="shared" si="6"/>
        <v>2.4910154644266064E-2</v>
      </c>
      <c r="O69" s="96">
        <f>Amnt_Deposited!B64</f>
        <v>2050</v>
      </c>
      <c r="P69" s="99">
        <f>Amnt_Deposited!H64</f>
        <v>0</v>
      </c>
      <c r="Q69" s="283">
        <f>MCF!R68</f>
        <v>1</v>
      </c>
      <c r="R69" s="67">
        <f t="shared" si="13"/>
        <v>0</v>
      </c>
      <c r="S69" s="67">
        <f t="shared" si="7"/>
        <v>0</v>
      </c>
      <c r="T69" s="67">
        <f t="shared" si="8"/>
        <v>0</v>
      </c>
      <c r="U69" s="67">
        <f t="shared" si="9"/>
        <v>0.56473902264443732</v>
      </c>
      <c r="V69" s="67">
        <f t="shared" si="10"/>
        <v>4.0948199415231895E-2</v>
      </c>
      <c r="W69" s="100">
        <f t="shared" si="11"/>
        <v>2.7298799610154596E-2</v>
      </c>
    </row>
    <row r="70" spans="2:23">
      <c r="B70" s="96">
        <f>Amnt_Deposited!B65</f>
        <v>2051</v>
      </c>
      <c r="C70" s="99">
        <f>Amnt_Deposited!H65</f>
        <v>0</v>
      </c>
      <c r="D70" s="417">
        <f>Dry_Matter_Content!H57</f>
        <v>0.73</v>
      </c>
      <c r="E70" s="283">
        <f>MCF!R69</f>
        <v>1</v>
      </c>
      <c r="F70" s="67">
        <f t="shared" si="12"/>
        <v>0</v>
      </c>
      <c r="G70" s="67">
        <f t="shared" si="1"/>
        <v>0</v>
      </c>
      <c r="H70" s="67">
        <f t="shared" si="2"/>
        <v>0</v>
      </c>
      <c r="I70" s="67">
        <f t="shared" si="3"/>
        <v>0.4804852467982263</v>
      </c>
      <c r="J70" s="67">
        <f t="shared" si="4"/>
        <v>3.4839111364822706E-2</v>
      </c>
      <c r="K70" s="100">
        <f t="shared" si="6"/>
        <v>2.3226074243215135E-2</v>
      </c>
      <c r="O70" s="96">
        <f>Amnt_Deposited!B65</f>
        <v>2051</v>
      </c>
      <c r="P70" s="99">
        <f>Amnt_Deposited!H65</f>
        <v>0</v>
      </c>
      <c r="Q70" s="283">
        <f>MCF!R69</f>
        <v>1</v>
      </c>
      <c r="R70" s="67">
        <f t="shared" si="13"/>
        <v>0</v>
      </c>
      <c r="S70" s="67">
        <f t="shared" si="7"/>
        <v>0</v>
      </c>
      <c r="T70" s="67">
        <f t="shared" si="8"/>
        <v>0</v>
      </c>
      <c r="U70" s="67">
        <f t="shared" si="9"/>
        <v>0.52655917457339874</v>
      </c>
      <c r="V70" s="67">
        <f t="shared" si="10"/>
        <v>3.8179848071038587E-2</v>
      </c>
      <c r="W70" s="100">
        <f t="shared" si="11"/>
        <v>2.5453232047359057E-2</v>
      </c>
    </row>
    <row r="71" spans="2:23">
      <c r="B71" s="96">
        <f>Amnt_Deposited!B66</f>
        <v>2052</v>
      </c>
      <c r="C71" s="99">
        <f>Amnt_Deposited!H66</f>
        <v>0</v>
      </c>
      <c r="D71" s="417">
        <f>Dry_Matter_Content!H58</f>
        <v>0.73</v>
      </c>
      <c r="E71" s="283">
        <f>MCF!R70</f>
        <v>1</v>
      </c>
      <c r="F71" s="67">
        <f t="shared" si="12"/>
        <v>0</v>
      </c>
      <c r="G71" s="67">
        <f t="shared" si="1"/>
        <v>0</v>
      </c>
      <c r="H71" s="67">
        <f t="shared" si="2"/>
        <v>0</v>
      </c>
      <c r="I71" s="67">
        <f t="shared" si="3"/>
        <v>0.44800147467065049</v>
      </c>
      <c r="J71" s="67">
        <f t="shared" si="4"/>
        <v>3.2483772127575777E-2</v>
      </c>
      <c r="K71" s="100">
        <f t="shared" si="6"/>
        <v>2.1655848085050517E-2</v>
      </c>
      <c r="O71" s="96">
        <f>Amnt_Deposited!B66</f>
        <v>2052</v>
      </c>
      <c r="P71" s="99">
        <f>Amnt_Deposited!H66</f>
        <v>0</v>
      </c>
      <c r="Q71" s="283">
        <f>MCF!R70</f>
        <v>1</v>
      </c>
      <c r="R71" s="67">
        <f t="shared" si="13"/>
        <v>0</v>
      </c>
      <c r="S71" s="67">
        <f t="shared" si="7"/>
        <v>0</v>
      </c>
      <c r="T71" s="67">
        <f t="shared" si="8"/>
        <v>0</v>
      </c>
      <c r="U71" s="67">
        <f t="shared" si="9"/>
        <v>0.4909605201870143</v>
      </c>
      <c r="V71" s="67">
        <f t="shared" si="10"/>
        <v>3.5598654386384418E-2</v>
      </c>
      <c r="W71" s="100">
        <f t="shared" si="11"/>
        <v>2.3732436257589612E-2</v>
      </c>
    </row>
    <row r="72" spans="2:23">
      <c r="B72" s="96">
        <f>Amnt_Deposited!B67</f>
        <v>2053</v>
      </c>
      <c r="C72" s="99">
        <f>Amnt_Deposited!H67</f>
        <v>0</v>
      </c>
      <c r="D72" s="417">
        <f>Dry_Matter_Content!H59</f>
        <v>0.73</v>
      </c>
      <c r="E72" s="283">
        <f>MCF!R71</f>
        <v>1</v>
      </c>
      <c r="F72" s="67">
        <f t="shared" si="12"/>
        <v>0</v>
      </c>
      <c r="G72" s="67">
        <f t="shared" si="1"/>
        <v>0</v>
      </c>
      <c r="H72" s="67">
        <f t="shared" si="2"/>
        <v>0</v>
      </c>
      <c r="I72" s="67">
        <f t="shared" si="3"/>
        <v>0.41771380629166577</v>
      </c>
      <c r="J72" s="67">
        <f t="shared" si="4"/>
        <v>3.028766837898475E-2</v>
      </c>
      <c r="K72" s="100">
        <f t="shared" si="6"/>
        <v>2.0191778919323167E-2</v>
      </c>
      <c r="O72" s="96">
        <f>Amnt_Deposited!B67</f>
        <v>2053</v>
      </c>
      <c r="P72" s="99">
        <f>Amnt_Deposited!H67</f>
        <v>0</v>
      </c>
      <c r="Q72" s="283">
        <f>MCF!R71</f>
        <v>1</v>
      </c>
      <c r="R72" s="67">
        <f t="shared" si="13"/>
        <v>0</v>
      </c>
      <c r="S72" s="67">
        <f t="shared" si="7"/>
        <v>0</v>
      </c>
      <c r="T72" s="67">
        <f t="shared" si="8"/>
        <v>0</v>
      </c>
      <c r="U72" s="67">
        <f t="shared" si="9"/>
        <v>0.4577685548401817</v>
      </c>
      <c r="V72" s="67">
        <f t="shared" si="10"/>
        <v>3.3191965346832608E-2</v>
      </c>
      <c r="W72" s="100">
        <f t="shared" si="11"/>
        <v>2.2127976897888403E-2</v>
      </c>
    </row>
    <row r="73" spans="2:23">
      <c r="B73" s="96">
        <f>Amnt_Deposited!B68</f>
        <v>2054</v>
      </c>
      <c r="C73" s="99">
        <f>Amnt_Deposited!H68</f>
        <v>0</v>
      </c>
      <c r="D73" s="417">
        <f>Dry_Matter_Content!H60</f>
        <v>0.73</v>
      </c>
      <c r="E73" s="283">
        <f>MCF!R72</f>
        <v>1</v>
      </c>
      <c r="F73" s="67">
        <f t="shared" si="12"/>
        <v>0</v>
      </c>
      <c r="G73" s="67">
        <f t="shared" si="1"/>
        <v>0</v>
      </c>
      <c r="H73" s="67">
        <f t="shared" si="2"/>
        <v>0</v>
      </c>
      <c r="I73" s="67">
        <f t="shared" si="3"/>
        <v>0.38947377147573958</v>
      </c>
      <c r="J73" s="67">
        <f t="shared" si="4"/>
        <v>2.8240034815926192E-2</v>
      </c>
      <c r="K73" s="100">
        <f t="shared" si="6"/>
        <v>1.8826689877284128E-2</v>
      </c>
      <c r="O73" s="96">
        <f>Amnt_Deposited!B68</f>
        <v>2054</v>
      </c>
      <c r="P73" s="99">
        <f>Amnt_Deposited!H68</f>
        <v>0</v>
      </c>
      <c r="Q73" s="283">
        <f>MCF!R72</f>
        <v>1</v>
      </c>
      <c r="R73" s="67">
        <f t="shared" si="13"/>
        <v>0</v>
      </c>
      <c r="S73" s="67">
        <f t="shared" si="7"/>
        <v>0</v>
      </c>
      <c r="T73" s="67">
        <f t="shared" si="8"/>
        <v>0</v>
      </c>
      <c r="U73" s="67">
        <f t="shared" si="9"/>
        <v>0.42682057148026259</v>
      </c>
      <c r="V73" s="67">
        <f t="shared" si="10"/>
        <v>3.0947983359919117E-2</v>
      </c>
      <c r="W73" s="100">
        <f t="shared" si="11"/>
        <v>2.0631988906612744E-2</v>
      </c>
    </row>
    <row r="74" spans="2:23">
      <c r="B74" s="96">
        <f>Amnt_Deposited!B69</f>
        <v>2055</v>
      </c>
      <c r="C74" s="99">
        <f>Amnt_Deposited!H69</f>
        <v>0</v>
      </c>
      <c r="D74" s="417">
        <f>Dry_Matter_Content!H61</f>
        <v>0.73</v>
      </c>
      <c r="E74" s="283">
        <f>MCF!R73</f>
        <v>1</v>
      </c>
      <c r="F74" s="67">
        <f t="shared" si="12"/>
        <v>0</v>
      </c>
      <c r="G74" s="67">
        <f t="shared" si="1"/>
        <v>0</v>
      </c>
      <c r="H74" s="67">
        <f t="shared" si="2"/>
        <v>0</v>
      </c>
      <c r="I74" s="67">
        <f t="shared" si="3"/>
        <v>0.36314293753944121</v>
      </c>
      <c r="J74" s="67">
        <f t="shared" si="4"/>
        <v>2.6330833936298398E-2</v>
      </c>
      <c r="K74" s="100">
        <f t="shared" si="6"/>
        <v>1.7553889290865599E-2</v>
      </c>
      <c r="O74" s="96">
        <f>Amnt_Deposited!B69</f>
        <v>2055</v>
      </c>
      <c r="P74" s="99">
        <f>Amnt_Deposited!H69</f>
        <v>0</v>
      </c>
      <c r="Q74" s="283">
        <f>MCF!R73</f>
        <v>1</v>
      </c>
      <c r="R74" s="67">
        <f t="shared" si="13"/>
        <v>0</v>
      </c>
      <c r="S74" s="67">
        <f t="shared" si="7"/>
        <v>0</v>
      </c>
      <c r="T74" s="67">
        <f t="shared" si="8"/>
        <v>0</v>
      </c>
      <c r="U74" s="67">
        <f t="shared" si="9"/>
        <v>0.39796486305692186</v>
      </c>
      <c r="V74" s="67">
        <f t="shared" si="10"/>
        <v>2.885570842334071E-2</v>
      </c>
      <c r="W74" s="100">
        <f t="shared" si="11"/>
        <v>1.9237138948893805E-2</v>
      </c>
    </row>
    <row r="75" spans="2:23">
      <c r="B75" s="96">
        <f>Amnt_Deposited!B70</f>
        <v>2056</v>
      </c>
      <c r="C75" s="99">
        <f>Amnt_Deposited!H70</f>
        <v>0</v>
      </c>
      <c r="D75" s="417">
        <f>Dry_Matter_Content!H62</f>
        <v>0.73</v>
      </c>
      <c r="E75" s="283">
        <f>MCF!R74</f>
        <v>1</v>
      </c>
      <c r="F75" s="67">
        <f t="shared" si="12"/>
        <v>0</v>
      </c>
      <c r="G75" s="67">
        <f t="shared" si="1"/>
        <v>0</v>
      </c>
      <c r="H75" s="67">
        <f t="shared" si="2"/>
        <v>0</v>
      </c>
      <c r="I75" s="67">
        <f t="shared" si="3"/>
        <v>0.33859223070426675</v>
      </c>
      <c r="J75" s="67">
        <f t="shared" si="4"/>
        <v>2.4550706835174439E-2</v>
      </c>
      <c r="K75" s="100">
        <f t="shared" si="6"/>
        <v>1.636713789011629E-2</v>
      </c>
      <c r="O75" s="96">
        <f>Amnt_Deposited!B70</f>
        <v>2056</v>
      </c>
      <c r="P75" s="99">
        <f>Amnt_Deposited!H70</f>
        <v>0</v>
      </c>
      <c r="Q75" s="283">
        <f>MCF!R74</f>
        <v>1</v>
      </c>
      <c r="R75" s="67">
        <f t="shared" si="13"/>
        <v>0</v>
      </c>
      <c r="S75" s="67">
        <f t="shared" si="7"/>
        <v>0</v>
      </c>
      <c r="T75" s="67">
        <f t="shared" si="8"/>
        <v>0</v>
      </c>
      <c r="U75" s="67">
        <f t="shared" si="9"/>
        <v>0.37105997885399095</v>
      </c>
      <c r="V75" s="67">
        <f t="shared" si="10"/>
        <v>2.6904884202930891E-2</v>
      </c>
      <c r="W75" s="100">
        <f t="shared" si="11"/>
        <v>1.7936589468620593E-2</v>
      </c>
    </row>
    <row r="76" spans="2:23">
      <c r="B76" s="96">
        <f>Amnt_Deposited!B71</f>
        <v>2057</v>
      </c>
      <c r="C76" s="99">
        <f>Amnt_Deposited!H71</f>
        <v>0</v>
      </c>
      <c r="D76" s="417">
        <f>Dry_Matter_Content!H63</f>
        <v>0.73</v>
      </c>
      <c r="E76" s="283">
        <f>MCF!R75</f>
        <v>1</v>
      </c>
      <c r="F76" s="67">
        <f t="shared" si="12"/>
        <v>0</v>
      </c>
      <c r="G76" s="67">
        <f t="shared" si="1"/>
        <v>0</v>
      </c>
      <c r="H76" s="67">
        <f t="shared" si="2"/>
        <v>0</v>
      </c>
      <c r="I76" s="67">
        <f t="shared" si="3"/>
        <v>0.31570130337682739</v>
      </c>
      <c r="J76" s="67">
        <f t="shared" si="4"/>
        <v>2.2890927327439369E-2</v>
      </c>
      <c r="K76" s="100">
        <f t="shared" si="6"/>
        <v>1.5260618218292912E-2</v>
      </c>
      <c r="O76" s="96">
        <f>Amnt_Deposited!B71</f>
        <v>2057</v>
      </c>
      <c r="P76" s="99">
        <f>Amnt_Deposited!H71</f>
        <v>0</v>
      </c>
      <c r="Q76" s="283">
        <f>MCF!R75</f>
        <v>1</v>
      </c>
      <c r="R76" s="67">
        <f t="shared" si="13"/>
        <v>0</v>
      </c>
      <c r="S76" s="67">
        <f t="shared" si="7"/>
        <v>0</v>
      </c>
      <c r="T76" s="67">
        <f t="shared" si="8"/>
        <v>0</v>
      </c>
      <c r="U76" s="67">
        <f t="shared" si="9"/>
        <v>0.34597403109789299</v>
      </c>
      <c r="V76" s="67">
        <f t="shared" si="10"/>
        <v>2.5085947756097939E-2</v>
      </c>
      <c r="W76" s="100">
        <f t="shared" si="11"/>
        <v>1.6723965170731957E-2</v>
      </c>
    </row>
    <row r="77" spans="2:23">
      <c r="B77" s="96">
        <f>Amnt_Deposited!B72</f>
        <v>2058</v>
      </c>
      <c r="C77" s="99">
        <f>Amnt_Deposited!H72</f>
        <v>0</v>
      </c>
      <c r="D77" s="417">
        <f>Dry_Matter_Content!H64</f>
        <v>0.73</v>
      </c>
      <c r="E77" s="283">
        <f>MCF!R76</f>
        <v>1</v>
      </c>
      <c r="F77" s="67">
        <f t="shared" si="12"/>
        <v>0</v>
      </c>
      <c r="G77" s="67">
        <f t="shared" si="1"/>
        <v>0</v>
      </c>
      <c r="H77" s="67">
        <f t="shared" si="2"/>
        <v>0</v>
      </c>
      <c r="I77" s="67">
        <f t="shared" si="3"/>
        <v>0.29435794420480677</v>
      </c>
      <c r="J77" s="67">
        <f t="shared" si="4"/>
        <v>2.1343359172020654E-2</v>
      </c>
      <c r="K77" s="100">
        <f t="shared" si="6"/>
        <v>1.4228906114680435E-2</v>
      </c>
      <c r="O77" s="96">
        <f>Amnt_Deposited!B72</f>
        <v>2058</v>
      </c>
      <c r="P77" s="99">
        <f>Amnt_Deposited!H72</f>
        <v>0</v>
      </c>
      <c r="Q77" s="283">
        <f>MCF!R76</f>
        <v>1</v>
      </c>
      <c r="R77" s="67">
        <f t="shared" si="13"/>
        <v>0</v>
      </c>
      <c r="S77" s="67">
        <f t="shared" si="7"/>
        <v>0</v>
      </c>
      <c r="T77" s="67">
        <f t="shared" si="8"/>
        <v>0</v>
      </c>
      <c r="U77" s="67">
        <f t="shared" si="9"/>
        <v>0.32258404844362376</v>
      </c>
      <c r="V77" s="67">
        <f t="shared" si="10"/>
        <v>2.3389982654269205E-2</v>
      </c>
      <c r="W77" s="100">
        <f t="shared" si="11"/>
        <v>1.5593321769512803E-2</v>
      </c>
    </row>
    <row r="78" spans="2:23">
      <c r="B78" s="96">
        <f>Amnt_Deposited!B73</f>
        <v>2059</v>
      </c>
      <c r="C78" s="99">
        <f>Amnt_Deposited!H73</f>
        <v>0</v>
      </c>
      <c r="D78" s="417">
        <f>Dry_Matter_Content!H65</f>
        <v>0.73</v>
      </c>
      <c r="E78" s="283">
        <f>MCF!R77</f>
        <v>1</v>
      </c>
      <c r="F78" s="67">
        <f t="shared" si="12"/>
        <v>0</v>
      </c>
      <c r="G78" s="67">
        <f t="shared" si="1"/>
        <v>0</v>
      </c>
      <c r="H78" s="67">
        <f t="shared" si="2"/>
        <v>0</v>
      </c>
      <c r="I78" s="67">
        <f t="shared" si="3"/>
        <v>0.27445752801678175</v>
      </c>
      <c r="J78" s="67">
        <f t="shared" si="4"/>
        <v>1.9900416188024996E-2</v>
      </c>
      <c r="K78" s="100">
        <f t="shared" si="6"/>
        <v>1.3266944125349997E-2</v>
      </c>
      <c r="O78" s="96">
        <f>Amnt_Deposited!B73</f>
        <v>2059</v>
      </c>
      <c r="P78" s="99">
        <f>Amnt_Deposited!H73</f>
        <v>0</v>
      </c>
      <c r="Q78" s="283">
        <f>MCF!R77</f>
        <v>1</v>
      </c>
      <c r="R78" s="67">
        <f t="shared" si="13"/>
        <v>0</v>
      </c>
      <c r="S78" s="67">
        <f t="shared" si="7"/>
        <v>0</v>
      </c>
      <c r="T78" s="67">
        <f t="shared" si="8"/>
        <v>0</v>
      </c>
      <c r="U78" s="67">
        <f t="shared" si="9"/>
        <v>0.30077537316907582</v>
      </c>
      <c r="V78" s="67">
        <f t="shared" si="10"/>
        <v>2.1808675274547936E-2</v>
      </c>
      <c r="W78" s="100">
        <f t="shared" si="11"/>
        <v>1.4539116849698623E-2</v>
      </c>
    </row>
    <row r="79" spans="2:23">
      <c r="B79" s="96">
        <f>Amnt_Deposited!B74</f>
        <v>2060</v>
      </c>
      <c r="C79" s="99">
        <f>Amnt_Deposited!H74</f>
        <v>0</v>
      </c>
      <c r="D79" s="417">
        <f>Dry_Matter_Content!H66</f>
        <v>0.73</v>
      </c>
      <c r="E79" s="283">
        <f>MCF!R78</f>
        <v>1</v>
      </c>
      <c r="F79" s="67">
        <f t="shared" si="12"/>
        <v>0</v>
      </c>
      <c r="G79" s="67">
        <f t="shared" si="1"/>
        <v>0</v>
      </c>
      <c r="H79" s="67">
        <f t="shared" si="2"/>
        <v>0</v>
      </c>
      <c r="I79" s="67">
        <f t="shared" si="3"/>
        <v>0.25590250294951095</v>
      </c>
      <c r="J79" s="67">
        <f t="shared" si="4"/>
        <v>1.8555025067270796E-2</v>
      </c>
      <c r="K79" s="100">
        <f t="shared" si="6"/>
        <v>1.2370016711513863E-2</v>
      </c>
      <c r="O79" s="96">
        <f>Amnt_Deposited!B74</f>
        <v>2060</v>
      </c>
      <c r="P79" s="99">
        <f>Amnt_Deposited!H74</f>
        <v>0</v>
      </c>
      <c r="Q79" s="283">
        <f>MCF!R78</f>
        <v>1</v>
      </c>
      <c r="R79" s="67">
        <f t="shared" si="13"/>
        <v>0</v>
      </c>
      <c r="S79" s="67">
        <f t="shared" si="7"/>
        <v>0</v>
      </c>
      <c r="T79" s="67">
        <f t="shared" si="8"/>
        <v>0</v>
      </c>
      <c r="U79" s="67">
        <f t="shared" si="9"/>
        <v>0.28044109912275167</v>
      </c>
      <c r="V79" s="67">
        <f t="shared" si="10"/>
        <v>2.0334274046324152E-2</v>
      </c>
      <c r="W79" s="100">
        <f t="shared" si="11"/>
        <v>1.3556182697549435E-2</v>
      </c>
    </row>
    <row r="80" spans="2:23">
      <c r="B80" s="96">
        <f>Amnt_Deposited!B75</f>
        <v>2061</v>
      </c>
      <c r="C80" s="99">
        <f>Amnt_Deposited!H75</f>
        <v>0</v>
      </c>
      <c r="D80" s="417">
        <f>Dry_Matter_Content!H67</f>
        <v>0.73</v>
      </c>
      <c r="E80" s="283">
        <f>MCF!R79</f>
        <v>1</v>
      </c>
      <c r="F80" s="67">
        <f t="shared" si="12"/>
        <v>0</v>
      </c>
      <c r="G80" s="67">
        <f t="shared" si="1"/>
        <v>0</v>
      </c>
      <c r="H80" s="67">
        <f t="shared" si="2"/>
        <v>0</v>
      </c>
      <c r="I80" s="67">
        <f t="shared" si="3"/>
        <v>0.23860191224858771</v>
      </c>
      <c r="J80" s="67">
        <f t="shared" si="4"/>
        <v>1.7300590700923241E-2</v>
      </c>
      <c r="K80" s="100">
        <f t="shared" si="6"/>
        <v>1.1533727133948827E-2</v>
      </c>
      <c r="O80" s="96">
        <f>Amnt_Deposited!B75</f>
        <v>2061</v>
      </c>
      <c r="P80" s="99">
        <f>Amnt_Deposited!H75</f>
        <v>0</v>
      </c>
      <c r="Q80" s="283">
        <f>MCF!R79</f>
        <v>1</v>
      </c>
      <c r="R80" s="67">
        <f t="shared" si="13"/>
        <v>0</v>
      </c>
      <c r="S80" s="67">
        <f t="shared" si="7"/>
        <v>0</v>
      </c>
      <c r="T80" s="67">
        <f t="shared" si="8"/>
        <v>0</v>
      </c>
      <c r="U80" s="67">
        <f t="shared" si="9"/>
        <v>0.26148154766968512</v>
      </c>
      <c r="V80" s="67">
        <f t="shared" si="10"/>
        <v>1.8959551453066562E-2</v>
      </c>
      <c r="W80" s="100">
        <f t="shared" si="11"/>
        <v>1.263970096871104E-2</v>
      </c>
    </row>
    <row r="81" spans="2:23">
      <c r="B81" s="96">
        <f>Amnt_Deposited!B76</f>
        <v>2062</v>
      </c>
      <c r="C81" s="99">
        <f>Amnt_Deposited!H76</f>
        <v>0</v>
      </c>
      <c r="D81" s="417">
        <f>Dry_Matter_Content!H68</f>
        <v>0.73</v>
      </c>
      <c r="E81" s="283">
        <f>MCF!R80</f>
        <v>1</v>
      </c>
      <c r="F81" s="67">
        <f t="shared" si="12"/>
        <v>0</v>
      </c>
      <c r="G81" s="67">
        <f t="shared" si="1"/>
        <v>0</v>
      </c>
      <c r="H81" s="67">
        <f t="shared" si="2"/>
        <v>0</v>
      </c>
      <c r="I81" s="67">
        <f t="shared" si="3"/>
        <v>0.22247094839832457</v>
      </c>
      <c r="J81" s="67">
        <f t="shared" si="4"/>
        <v>1.6130963850263146E-2</v>
      </c>
      <c r="K81" s="100">
        <f t="shared" si="6"/>
        <v>1.075397590017543E-2</v>
      </c>
      <c r="O81" s="96">
        <f>Amnt_Deposited!B76</f>
        <v>2062</v>
      </c>
      <c r="P81" s="99">
        <f>Amnt_Deposited!H76</f>
        <v>0</v>
      </c>
      <c r="Q81" s="283">
        <f>MCF!R80</f>
        <v>1</v>
      </c>
      <c r="R81" s="67">
        <f t="shared" si="13"/>
        <v>0</v>
      </c>
      <c r="S81" s="67">
        <f t="shared" si="7"/>
        <v>0</v>
      </c>
      <c r="T81" s="67">
        <f t="shared" si="8"/>
        <v>0</v>
      </c>
      <c r="U81" s="67">
        <f t="shared" si="9"/>
        <v>0.24380377906665701</v>
      </c>
      <c r="V81" s="67">
        <f t="shared" si="10"/>
        <v>1.7677768603028103E-2</v>
      </c>
      <c r="W81" s="100">
        <f t="shared" si="11"/>
        <v>1.1785179068685401E-2</v>
      </c>
    </row>
    <row r="82" spans="2:23">
      <c r="B82" s="96">
        <f>Amnt_Deposited!B77</f>
        <v>2063</v>
      </c>
      <c r="C82" s="99">
        <f>Amnt_Deposited!H77</f>
        <v>0</v>
      </c>
      <c r="D82" s="417">
        <f>Dry_Matter_Content!H69</f>
        <v>0.73</v>
      </c>
      <c r="E82" s="283">
        <f>MCF!R81</f>
        <v>1</v>
      </c>
      <c r="F82" s="67">
        <f t="shared" si="12"/>
        <v>0</v>
      </c>
      <c r="G82" s="67">
        <f t="shared" si="1"/>
        <v>0</v>
      </c>
      <c r="H82" s="67">
        <f t="shared" si="2"/>
        <v>0</v>
      </c>
      <c r="I82" s="67">
        <f t="shared" si="3"/>
        <v>0.20743053739521294</v>
      </c>
      <c r="J82" s="67">
        <f t="shared" si="4"/>
        <v>1.5040411003111619E-2</v>
      </c>
      <c r="K82" s="100">
        <f t="shared" si="6"/>
        <v>1.0026940668741078E-2</v>
      </c>
      <c r="O82" s="96">
        <f>Amnt_Deposited!B77</f>
        <v>2063</v>
      </c>
      <c r="P82" s="99">
        <f>Amnt_Deposited!H77</f>
        <v>0</v>
      </c>
      <c r="Q82" s="283">
        <f>MCF!R81</f>
        <v>1</v>
      </c>
      <c r="R82" s="67">
        <f t="shared" si="13"/>
        <v>0</v>
      </c>
      <c r="S82" s="67">
        <f t="shared" si="7"/>
        <v>0</v>
      </c>
      <c r="T82" s="67">
        <f t="shared" si="8"/>
        <v>0</v>
      </c>
      <c r="U82" s="67">
        <f t="shared" si="9"/>
        <v>0.22732113687146621</v>
      </c>
      <c r="V82" s="67">
        <f t="shared" si="10"/>
        <v>1.6482642195190814E-2</v>
      </c>
      <c r="W82" s="100">
        <f t="shared" si="11"/>
        <v>1.0988428130127209E-2</v>
      </c>
    </row>
    <row r="83" spans="2:23">
      <c r="B83" s="96">
        <f>Amnt_Deposited!B78</f>
        <v>2064</v>
      </c>
      <c r="C83" s="99">
        <f>Amnt_Deposited!H78</f>
        <v>0</v>
      </c>
      <c r="D83" s="417">
        <f>Dry_Matter_Content!H70</f>
        <v>0.73</v>
      </c>
      <c r="E83" s="283">
        <f>MCF!R82</f>
        <v>1</v>
      </c>
      <c r="F83" s="67">
        <f t="shared" ref="F83:F99" si="14">C83*D83*$K$6*DOCF*E83</f>
        <v>0</v>
      </c>
      <c r="G83" s="67">
        <f t="shared" ref="G83:G99" si="15">F83*$K$12</f>
        <v>0</v>
      </c>
      <c r="H83" s="67">
        <f t="shared" ref="H83:H99" si="16">F83*(1-$K$12)</f>
        <v>0</v>
      </c>
      <c r="I83" s="67">
        <f t="shared" ref="I83:I99" si="17">G83+I82*$K$10</f>
        <v>0.19340695112706624</v>
      </c>
      <c r="J83" s="67">
        <f t="shared" ref="J83:J99" si="18">I82*(1-$K$10)+H83</f>
        <v>1.4023586268146697E-2</v>
      </c>
      <c r="K83" s="100">
        <f t="shared" si="6"/>
        <v>9.3490575120977974E-3</v>
      </c>
      <c r="O83" s="96">
        <f>Amnt_Deposited!B78</f>
        <v>2064</v>
      </c>
      <c r="P83" s="99">
        <f>Amnt_Deposited!H78</f>
        <v>0</v>
      </c>
      <c r="Q83" s="283">
        <f>MCF!R82</f>
        <v>1</v>
      </c>
      <c r="R83" s="67">
        <f t="shared" ref="R83:R99" si="19">P83*$W$6*DOCF*Q83</f>
        <v>0</v>
      </c>
      <c r="S83" s="67">
        <f t="shared" si="7"/>
        <v>0</v>
      </c>
      <c r="T83" s="67">
        <f t="shared" si="8"/>
        <v>0</v>
      </c>
      <c r="U83" s="67">
        <f t="shared" si="9"/>
        <v>0.21195282315294928</v>
      </c>
      <c r="V83" s="67">
        <f t="shared" si="10"/>
        <v>1.5368313718516926E-2</v>
      </c>
      <c r="W83" s="100">
        <f t="shared" si="11"/>
        <v>1.0245542479011284E-2</v>
      </c>
    </row>
    <row r="84" spans="2:23">
      <c r="B84" s="96">
        <f>Amnt_Deposited!B79</f>
        <v>2065</v>
      </c>
      <c r="C84" s="99">
        <f>Amnt_Deposited!H79</f>
        <v>0</v>
      </c>
      <c r="D84" s="417">
        <f>Dry_Matter_Content!H71</f>
        <v>0.73</v>
      </c>
      <c r="E84" s="283">
        <f>MCF!R83</f>
        <v>1</v>
      </c>
      <c r="F84" s="67">
        <f t="shared" si="14"/>
        <v>0</v>
      </c>
      <c r="G84" s="67">
        <f t="shared" si="15"/>
        <v>0</v>
      </c>
      <c r="H84" s="67">
        <f t="shared" si="16"/>
        <v>0</v>
      </c>
      <c r="I84" s="67">
        <f t="shared" si="17"/>
        <v>0.18033144595772835</v>
      </c>
      <c r="J84" s="67">
        <f t="shared" si="18"/>
        <v>1.3075505169337901E-2</v>
      </c>
      <c r="K84" s="100">
        <f t="shared" si="6"/>
        <v>8.717003446225266E-3</v>
      </c>
      <c r="O84" s="96">
        <f>Amnt_Deposited!B79</f>
        <v>2065</v>
      </c>
      <c r="P84" s="99">
        <f>Amnt_Deposited!H79</f>
        <v>0</v>
      </c>
      <c r="Q84" s="283">
        <f>MCF!R83</f>
        <v>1</v>
      </c>
      <c r="R84" s="67">
        <f t="shared" si="19"/>
        <v>0</v>
      </c>
      <c r="S84" s="67">
        <f t="shared" si="7"/>
        <v>0</v>
      </c>
      <c r="T84" s="67">
        <f t="shared" si="8"/>
        <v>0</v>
      </c>
      <c r="U84" s="67">
        <f t="shared" si="9"/>
        <v>0.1976235024194283</v>
      </c>
      <c r="V84" s="67">
        <f t="shared" si="10"/>
        <v>1.4329320733520985E-2</v>
      </c>
      <c r="W84" s="100">
        <f t="shared" si="11"/>
        <v>9.5528804890139887E-3</v>
      </c>
    </row>
    <row r="85" spans="2:23">
      <c r="B85" s="96">
        <f>Amnt_Deposited!B80</f>
        <v>2066</v>
      </c>
      <c r="C85" s="99">
        <f>Amnt_Deposited!H80</f>
        <v>0</v>
      </c>
      <c r="D85" s="417">
        <f>Dry_Matter_Content!H72</f>
        <v>0.73</v>
      </c>
      <c r="E85" s="283">
        <f>MCF!R84</f>
        <v>1</v>
      </c>
      <c r="F85" s="67">
        <f t="shared" si="14"/>
        <v>0</v>
      </c>
      <c r="G85" s="67">
        <f t="shared" si="15"/>
        <v>0</v>
      </c>
      <c r="H85" s="67">
        <f t="shared" si="16"/>
        <v>0</v>
      </c>
      <c r="I85" s="67">
        <f t="shared" si="17"/>
        <v>0.16813992574568942</v>
      </c>
      <c r="J85" s="67">
        <f t="shared" si="18"/>
        <v>1.2191520212038939E-2</v>
      </c>
      <c r="K85" s="100">
        <f t="shared" ref="K85:K99" si="20">J85*CH4_fraction*conv</f>
        <v>8.1276801413592923E-3</v>
      </c>
      <c r="O85" s="96">
        <f>Amnt_Deposited!B80</f>
        <v>2066</v>
      </c>
      <c r="P85" s="99">
        <f>Amnt_Deposited!H80</f>
        <v>0</v>
      </c>
      <c r="Q85" s="283">
        <f>MCF!R84</f>
        <v>1</v>
      </c>
      <c r="R85" s="67">
        <f t="shared" si="19"/>
        <v>0</v>
      </c>
      <c r="S85" s="67">
        <f t="shared" ref="S85:S98" si="21">R85*$W$12</f>
        <v>0</v>
      </c>
      <c r="T85" s="67">
        <f t="shared" ref="T85:T98" si="22">R85*(1-$W$12)</f>
        <v>0</v>
      </c>
      <c r="U85" s="67">
        <f t="shared" ref="U85:U98" si="23">S85+U84*$W$10</f>
        <v>0.18426293232404317</v>
      </c>
      <c r="V85" s="67">
        <f t="shared" ref="V85:V98" si="24">U84*(1-$W$10)+T85</f>
        <v>1.3360570095385138E-2</v>
      </c>
      <c r="W85" s="100">
        <f t="shared" ref="W85:W99" si="25">V85*CH4_fraction*conv</f>
        <v>8.9070467302567579E-3</v>
      </c>
    </row>
    <row r="86" spans="2:23">
      <c r="B86" s="96">
        <f>Amnt_Deposited!B81</f>
        <v>2067</v>
      </c>
      <c r="C86" s="99">
        <f>Amnt_Deposited!H81</f>
        <v>0</v>
      </c>
      <c r="D86" s="417">
        <f>Dry_Matter_Content!H73</f>
        <v>0.73</v>
      </c>
      <c r="E86" s="283">
        <f>MCF!R85</f>
        <v>1</v>
      </c>
      <c r="F86" s="67">
        <f t="shared" si="14"/>
        <v>0</v>
      </c>
      <c r="G86" s="67">
        <f t="shared" si="15"/>
        <v>0</v>
      </c>
      <c r="H86" s="67">
        <f t="shared" si="16"/>
        <v>0</v>
      </c>
      <c r="I86" s="67">
        <f t="shared" si="17"/>
        <v>0.15677262764472585</v>
      </c>
      <c r="J86" s="67">
        <f t="shared" si="18"/>
        <v>1.1367298100963564E-2</v>
      </c>
      <c r="K86" s="100">
        <f t="shared" si="20"/>
        <v>7.5781987339757087E-3</v>
      </c>
      <c r="O86" s="96">
        <f>Amnt_Deposited!B81</f>
        <v>2067</v>
      </c>
      <c r="P86" s="99">
        <f>Amnt_Deposited!H81</f>
        <v>0</v>
      </c>
      <c r="Q86" s="283">
        <f>MCF!R85</f>
        <v>1</v>
      </c>
      <c r="R86" s="67">
        <f t="shared" si="19"/>
        <v>0</v>
      </c>
      <c r="S86" s="67">
        <f t="shared" si="21"/>
        <v>0</v>
      </c>
      <c r="T86" s="67">
        <f t="shared" si="22"/>
        <v>0</v>
      </c>
      <c r="U86" s="67">
        <f t="shared" si="23"/>
        <v>0.17180561933668584</v>
      </c>
      <c r="V86" s="67">
        <f t="shared" si="24"/>
        <v>1.2457312987357328E-2</v>
      </c>
      <c r="W86" s="100">
        <f t="shared" si="25"/>
        <v>8.304875324904884E-3</v>
      </c>
    </row>
    <row r="87" spans="2:23">
      <c r="B87" s="96">
        <f>Amnt_Deposited!B82</f>
        <v>2068</v>
      </c>
      <c r="C87" s="99">
        <f>Amnt_Deposited!H82</f>
        <v>0</v>
      </c>
      <c r="D87" s="417">
        <f>Dry_Matter_Content!H74</f>
        <v>0.73</v>
      </c>
      <c r="E87" s="283">
        <f>MCF!R86</f>
        <v>1</v>
      </c>
      <c r="F87" s="67">
        <f t="shared" si="14"/>
        <v>0</v>
      </c>
      <c r="G87" s="67">
        <f t="shared" si="15"/>
        <v>0</v>
      </c>
      <c r="H87" s="67">
        <f t="shared" si="16"/>
        <v>0</v>
      </c>
      <c r="I87" s="67">
        <f t="shared" si="17"/>
        <v>0.14617382914635882</v>
      </c>
      <c r="J87" s="67">
        <f t="shared" si="18"/>
        <v>1.0598798498367049E-2</v>
      </c>
      <c r="K87" s="100">
        <f t="shared" si="20"/>
        <v>7.0658656655780321E-3</v>
      </c>
      <c r="O87" s="96">
        <f>Amnt_Deposited!B82</f>
        <v>2068</v>
      </c>
      <c r="P87" s="99">
        <f>Amnt_Deposited!H82</f>
        <v>0</v>
      </c>
      <c r="Q87" s="283">
        <f>MCF!R86</f>
        <v>1</v>
      </c>
      <c r="R87" s="67">
        <f t="shared" si="19"/>
        <v>0</v>
      </c>
      <c r="S87" s="67">
        <f t="shared" si="21"/>
        <v>0</v>
      </c>
      <c r="T87" s="67">
        <f t="shared" si="22"/>
        <v>0</v>
      </c>
      <c r="U87" s="67">
        <f t="shared" si="23"/>
        <v>0.16019049769463975</v>
      </c>
      <c r="V87" s="67">
        <f t="shared" si="24"/>
        <v>1.1615121642046079E-2</v>
      </c>
      <c r="W87" s="100">
        <f t="shared" si="25"/>
        <v>7.7434144280307191E-3</v>
      </c>
    </row>
    <row r="88" spans="2:23">
      <c r="B88" s="96">
        <f>Amnt_Deposited!B83</f>
        <v>2069</v>
      </c>
      <c r="C88" s="99">
        <f>Amnt_Deposited!H83</f>
        <v>0</v>
      </c>
      <c r="D88" s="417">
        <f>Dry_Matter_Content!H75</f>
        <v>0.73</v>
      </c>
      <c r="E88" s="283">
        <f>MCF!R87</f>
        <v>1</v>
      </c>
      <c r="F88" s="67">
        <f t="shared" si="14"/>
        <v>0</v>
      </c>
      <c r="G88" s="67">
        <f t="shared" si="15"/>
        <v>0</v>
      </c>
      <c r="H88" s="67">
        <f t="shared" si="16"/>
        <v>0</v>
      </c>
      <c r="I88" s="67">
        <f t="shared" si="17"/>
        <v>0.13629157492805294</v>
      </c>
      <c r="J88" s="67">
        <f t="shared" si="18"/>
        <v>9.8822542183058821E-3</v>
      </c>
      <c r="K88" s="100">
        <f t="shared" si="20"/>
        <v>6.5881694788705878E-3</v>
      </c>
      <c r="O88" s="96">
        <f>Amnt_Deposited!B83</f>
        <v>2069</v>
      </c>
      <c r="P88" s="99">
        <f>Amnt_Deposited!H83</f>
        <v>0</v>
      </c>
      <c r="Q88" s="283">
        <f>MCF!R87</f>
        <v>1</v>
      </c>
      <c r="R88" s="67">
        <f t="shared" si="19"/>
        <v>0</v>
      </c>
      <c r="S88" s="67">
        <f t="shared" si="21"/>
        <v>0</v>
      </c>
      <c r="T88" s="67">
        <f t="shared" si="22"/>
        <v>0</v>
      </c>
      <c r="U88" s="67">
        <f t="shared" si="23"/>
        <v>0.14936063005814015</v>
      </c>
      <c r="V88" s="67">
        <f t="shared" si="24"/>
        <v>1.0829867636499593E-2</v>
      </c>
      <c r="W88" s="100">
        <f t="shared" si="25"/>
        <v>7.2199117576663948E-3</v>
      </c>
    </row>
    <row r="89" spans="2:23">
      <c r="B89" s="96">
        <f>Amnt_Deposited!B84</f>
        <v>2070</v>
      </c>
      <c r="C89" s="99">
        <f>Amnt_Deposited!H84</f>
        <v>0</v>
      </c>
      <c r="D89" s="417">
        <f>Dry_Matter_Content!H76</f>
        <v>0.73</v>
      </c>
      <c r="E89" s="283">
        <f>MCF!R88</f>
        <v>1</v>
      </c>
      <c r="F89" s="67">
        <f t="shared" si="14"/>
        <v>0</v>
      </c>
      <c r="G89" s="67">
        <f t="shared" si="15"/>
        <v>0</v>
      </c>
      <c r="H89" s="67">
        <f t="shared" si="16"/>
        <v>0</v>
      </c>
      <c r="I89" s="67">
        <f t="shared" si="17"/>
        <v>0.12707742216816503</v>
      </c>
      <c r="J89" s="67">
        <f t="shared" si="18"/>
        <v>9.214152759887892E-3</v>
      </c>
      <c r="K89" s="100">
        <f t="shared" si="20"/>
        <v>6.142768506591928E-3</v>
      </c>
      <c r="O89" s="96">
        <f>Amnt_Deposited!B84</f>
        <v>2070</v>
      </c>
      <c r="P89" s="99">
        <f>Amnt_Deposited!H84</f>
        <v>0</v>
      </c>
      <c r="Q89" s="283">
        <f>MCF!R88</f>
        <v>1</v>
      </c>
      <c r="R89" s="67">
        <f t="shared" si="19"/>
        <v>0</v>
      </c>
      <c r="S89" s="67">
        <f t="shared" si="21"/>
        <v>0</v>
      </c>
      <c r="T89" s="67">
        <f t="shared" si="22"/>
        <v>0</v>
      </c>
      <c r="U89" s="67">
        <f t="shared" si="23"/>
        <v>0.13926292840346849</v>
      </c>
      <c r="V89" s="67">
        <f t="shared" si="24"/>
        <v>1.0097701654671659E-2</v>
      </c>
      <c r="W89" s="100">
        <f t="shared" si="25"/>
        <v>6.7318011031144397E-3</v>
      </c>
    </row>
    <row r="90" spans="2:23">
      <c r="B90" s="96">
        <f>Amnt_Deposited!B85</f>
        <v>2071</v>
      </c>
      <c r="C90" s="99">
        <f>Amnt_Deposited!H85</f>
        <v>0</v>
      </c>
      <c r="D90" s="417">
        <f>Dry_Matter_Content!H77</f>
        <v>0.73</v>
      </c>
      <c r="E90" s="283">
        <f>MCF!R89</f>
        <v>1</v>
      </c>
      <c r="F90" s="67">
        <f t="shared" si="14"/>
        <v>0</v>
      </c>
      <c r="G90" s="67">
        <f t="shared" si="15"/>
        <v>0</v>
      </c>
      <c r="H90" s="67">
        <f t="shared" si="16"/>
        <v>0</v>
      </c>
      <c r="I90" s="67">
        <f t="shared" si="17"/>
        <v>0.11848620307917623</v>
      </c>
      <c r="J90" s="67">
        <f t="shared" si="18"/>
        <v>8.5912190889888065E-3</v>
      </c>
      <c r="K90" s="100">
        <f t="shared" si="20"/>
        <v>5.7274793926592044E-3</v>
      </c>
      <c r="O90" s="96">
        <f>Amnt_Deposited!B85</f>
        <v>2071</v>
      </c>
      <c r="P90" s="99">
        <f>Amnt_Deposited!H85</f>
        <v>0</v>
      </c>
      <c r="Q90" s="283">
        <f>MCF!R89</f>
        <v>1</v>
      </c>
      <c r="R90" s="67">
        <f t="shared" si="19"/>
        <v>0</v>
      </c>
      <c r="S90" s="67">
        <f t="shared" si="21"/>
        <v>0</v>
      </c>
      <c r="T90" s="67">
        <f t="shared" si="22"/>
        <v>0</v>
      </c>
      <c r="U90" s="67">
        <f t="shared" si="23"/>
        <v>0.12984789378539857</v>
      </c>
      <c r="V90" s="67">
        <f t="shared" si="24"/>
        <v>9.4150346180699226E-3</v>
      </c>
      <c r="W90" s="100">
        <f t="shared" si="25"/>
        <v>6.2766897453799481E-3</v>
      </c>
    </row>
    <row r="91" spans="2:23">
      <c r="B91" s="96">
        <f>Amnt_Deposited!B86</f>
        <v>2072</v>
      </c>
      <c r="C91" s="99">
        <f>Amnt_Deposited!H86</f>
        <v>0</v>
      </c>
      <c r="D91" s="417">
        <f>Dry_Matter_Content!H78</f>
        <v>0.73</v>
      </c>
      <c r="E91" s="283">
        <f>MCF!R90</f>
        <v>1</v>
      </c>
      <c r="F91" s="67">
        <f t="shared" si="14"/>
        <v>0</v>
      </c>
      <c r="G91" s="67">
        <f t="shared" si="15"/>
        <v>0</v>
      </c>
      <c r="H91" s="67">
        <f t="shared" si="16"/>
        <v>0</v>
      </c>
      <c r="I91" s="67">
        <f t="shared" si="17"/>
        <v>0.11047580349514506</v>
      </c>
      <c r="J91" s="67">
        <f t="shared" si="18"/>
        <v>8.0103995840311755E-3</v>
      </c>
      <c r="K91" s="100">
        <f t="shared" si="20"/>
        <v>5.3402663893541164E-3</v>
      </c>
      <c r="O91" s="96">
        <f>Amnt_Deposited!B86</f>
        <v>2072</v>
      </c>
      <c r="P91" s="99">
        <f>Amnt_Deposited!H86</f>
        <v>0</v>
      </c>
      <c r="Q91" s="283">
        <f>MCF!R90</f>
        <v>1</v>
      </c>
      <c r="R91" s="67">
        <f t="shared" si="19"/>
        <v>0</v>
      </c>
      <c r="S91" s="67">
        <f t="shared" si="21"/>
        <v>0</v>
      </c>
      <c r="T91" s="67">
        <f t="shared" si="22"/>
        <v>0</v>
      </c>
      <c r="U91" s="67">
        <f t="shared" si="23"/>
        <v>0.12106937369330961</v>
      </c>
      <c r="V91" s="67">
        <f t="shared" si="24"/>
        <v>8.778520092088956E-3</v>
      </c>
      <c r="W91" s="100">
        <f t="shared" si="25"/>
        <v>5.8523467280593034E-3</v>
      </c>
    </row>
    <row r="92" spans="2:23">
      <c r="B92" s="96">
        <f>Amnt_Deposited!B87</f>
        <v>2073</v>
      </c>
      <c r="C92" s="99">
        <f>Amnt_Deposited!H87</f>
        <v>0</v>
      </c>
      <c r="D92" s="417">
        <f>Dry_Matter_Content!H79</f>
        <v>0.73</v>
      </c>
      <c r="E92" s="283">
        <f>MCF!R91</f>
        <v>1</v>
      </c>
      <c r="F92" s="67">
        <f t="shared" si="14"/>
        <v>0</v>
      </c>
      <c r="G92" s="67">
        <f t="shared" si="15"/>
        <v>0</v>
      </c>
      <c r="H92" s="67">
        <f t="shared" si="16"/>
        <v>0</v>
      </c>
      <c r="I92" s="67">
        <f t="shared" si="17"/>
        <v>0.10300695642801722</v>
      </c>
      <c r="J92" s="67">
        <f t="shared" si="18"/>
        <v>7.4688470671278465E-3</v>
      </c>
      <c r="K92" s="100">
        <f t="shared" si="20"/>
        <v>4.9792313780852304E-3</v>
      </c>
      <c r="O92" s="96">
        <f>Amnt_Deposited!B87</f>
        <v>2073</v>
      </c>
      <c r="P92" s="99">
        <f>Amnt_Deposited!H87</f>
        <v>0</v>
      </c>
      <c r="Q92" s="283">
        <f>MCF!R91</f>
        <v>1</v>
      </c>
      <c r="R92" s="67">
        <f t="shared" si="19"/>
        <v>0</v>
      </c>
      <c r="S92" s="67">
        <f t="shared" si="21"/>
        <v>0</v>
      </c>
      <c r="T92" s="67">
        <f t="shared" si="22"/>
        <v>0</v>
      </c>
      <c r="U92" s="67">
        <f t="shared" si="23"/>
        <v>0.11288433581152567</v>
      </c>
      <c r="V92" s="67">
        <f t="shared" si="24"/>
        <v>8.1850378817839384E-3</v>
      </c>
      <c r="W92" s="100">
        <f t="shared" si="25"/>
        <v>5.456691921189292E-3</v>
      </c>
    </row>
    <row r="93" spans="2:23">
      <c r="B93" s="96">
        <f>Amnt_Deposited!B88</f>
        <v>2074</v>
      </c>
      <c r="C93" s="99">
        <f>Amnt_Deposited!H88</f>
        <v>0</v>
      </c>
      <c r="D93" s="417">
        <f>Dry_Matter_Content!H80</f>
        <v>0.73</v>
      </c>
      <c r="E93" s="283">
        <f>MCF!R92</f>
        <v>1</v>
      </c>
      <c r="F93" s="67">
        <f t="shared" si="14"/>
        <v>0</v>
      </c>
      <c r="G93" s="67">
        <f t="shared" si="15"/>
        <v>0</v>
      </c>
      <c r="H93" s="67">
        <f t="shared" si="16"/>
        <v>0</v>
      </c>
      <c r="I93" s="67">
        <f t="shared" si="17"/>
        <v>9.6043049580804549E-2</v>
      </c>
      <c r="J93" s="67">
        <f t="shared" si="18"/>
        <v>6.9639068472126713E-3</v>
      </c>
      <c r="K93" s="100">
        <f t="shared" si="20"/>
        <v>4.6426045648084472E-3</v>
      </c>
      <c r="O93" s="96">
        <f>Amnt_Deposited!B88</f>
        <v>2074</v>
      </c>
      <c r="P93" s="99">
        <f>Amnt_Deposited!H88</f>
        <v>0</v>
      </c>
      <c r="Q93" s="283">
        <f>MCF!R92</f>
        <v>1</v>
      </c>
      <c r="R93" s="67">
        <f t="shared" si="19"/>
        <v>0</v>
      </c>
      <c r="S93" s="67">
        <f t="shared" si="21"/>
        <v>0</v>
      </c>
      <c r="T93" s="67">
        <f t="shared" si="22"/>
        <v>0</v>
      </c>
      <c r="U93" s="67">
        <f t="shared" si="23"/>
        <v>0.10525265707485425</v>
      </c>
      <c r="V93" s="67">
        <f t="shared" si="24"/>
        <v>7.6316787366714168E-3</v>
      </c>
      <c r="W93" s="100">
        <f t="shared" si="25"/>
        <v>5.0877858244476109E-3</v>
      </c>
    </row>
    <row r="94" spans="2:23">
      <c r="B94" s="96">
        <f>Amnt_Deposited!B89</f>
        <v>2075</v>
      </c>
      <c r="C94" s="99">
        <f>Amnt_Deposited!H89</f>
        <v>0</v>
      </c>
      <c r="D94" s="417">
        <f>Dry_Matter_Content!H81</f>
        <v>0.73</v>
      </c>
      <c r="E94" s="283">
        <f>MCF!R93</f>
        <v>1</v>
      </c>
      <c r="F94" s="67">
        <f t="shared" si="14"/>
        <v>0</v>
      </c>
      <c r="G94" s="67">
        <f t="shared" si="15"/>
        <v>0</v>
      </c>
      <c r="H94" s="67">
        <f t="shared" si="16"/>
        <v>0</v>
      </c>
      <c r="I94" s="67">
        <f t="shared" si="17"/>
        <v>8.9549945874062731E-2</v>
      </c>
      <c r="J94" s="67">
        <f t="shared" si="18"/>
        <v>6.4931037067418118E-3</v>
      </c>
      <c r="K94" s="100">
        <f t="shared" si="20"/>
        <v>4.3287358044945407E-3</v>
      </c>
      <c r="O94" s="96">
        <f>Amnt_Deposited!B89</f>
        <v>2075</v>
      </c>
      <c r="P94" s="99">
        <f>Amnt_Deposited!H89</f>
        <v>0</v>
      </c>
      <c r="Q94" s="283">
        <f>MCF!R93</f>
        <v>1</v>
      </c>
      <c r="R94" s="67">
        <f t="shared" si="19"/>
        <v>0</v>
      </c>
      <c r="S94" s="67">
        <f t="shared" si="21"/>
        <v>0</v>
      </c>
      <c r="T94" s="67">
        <f t="shared" si="22"/>
        <v>0</v>
      </c>
      <c r="U94" s="67">
        <f t="shared" si="23"/>
        <v>9.8136926985274181E-2</v>
      </c>
      <c r="V94" s="67">
        <f t="shared" si="24"/>
        <v>7.1157300895800637E-3</v>
      </c>
      <c r="W94" s="100">
        <f t="shared" si="25"/>
        <v>4.7438200597200424E-3</v>
      </c>
    </row>
    <row r="95" spans="2:23">
      <c r="B95" s="96">
        <f>Amnt_Deposited!B90</f>
        <v>2076</v>
      </c>
      <c r="C95" s="99">
        <f>Amnt_Deposited!H90</f>
        <v>0</v>
      </c>
      <c r="D95" s="417">
        <f>Dry_Matter_Content!H82</f>
        <v>0.73</v>
      </c>
      <c r="E95" s="283">
        <f>MCF!R94</f>
        <v>1</v>
      </c>
      <c r="F95" s="67">
        <f t="shared" si="14"/>
        <v>0</v>
      </c>
      <c r="G95" s="67">
        <f t="shared" si="15"/>
        <v>0</v>
      </c>
      <c r="H95" s="67">
        <f t="shared" si="16"/>
        <v>0</v>
      </c>
      <c r="I95" s="67">
        <f t="shared" si="17"/>
        <v>8.3495816105888257E-2</v>
      </c>
      <c r="J95" s="67">
        <f t="shared" si="18"/>
        <v>6.0541297681744695E-3</v>
      </c>
      <c r="K95" s="100">
        <f t="shared" si="20"/>
        <v>4.0360865121163124E-3</v>
      </c>
      <c r="O95" s="96">
        <f>Amnt_Deposited!B90</f>
        <v>2076</v>
      </c>
      <c r="P95" s="99">
        <f>Amnt_Deposited!H90</f>
        <v>0</v>
      </c>
      <c r="Q95" s="283">
        <f>MCF!R94</f>
        <v>1</v>
      </c>
      <c r="R95" s="67">
        <f t="shared" si="19"/>
        <v>0</v>
      </c>
      <c r="S95" s="67">
        <f t="shared" si="21"/>
        <v>0</v>
      </c>
      <c r="T95" s="67">
        <f t="shared" si="22"/>
        <v>0</v>
      </c>
      <c r="U95" s="67">
        <f t="shared" si="23"/>
        <v>9.150226422563093E-2</v>
      </c>
      <c r="V95" s="67">
        <f t="shared" si="24"/>
        <v>6.6346627596432515E-3</v>
      </c>
      <c r="W95" s="100">
        <f t="shared" si="25"/>
        <v>4.423108506428834E-3</v>
      </c>
    </row>
    <row r="96" spans="2:23">
      <c r="B96" s="96">
        <f>Amnt_Deposited!B91</f>
        <v>2077</v>
      </c>
      <c r="C96" s="99">
        <f>Amnt_Deposited!H91</f>
        <v>0</v>
      </c>
      <c r="D96" s="417">
        <f>Dry_Matter_Content!H83</f>
        <v>0.73</v>
      </c>
      <c r="E96" s="283">
        <f>MCF!R95</f>
        <v>1</v>
      </c>
      <c r="F96" s="67">
        <f t="shared" si="14"/>
        <v>0</v>
      </c>
      <c r="G96" s="67">
        <f t="shared" si="15"/>
        <v>0</v>
      </c>
      <c r="H96" s="67">
        <f t="shared" si="16"/>
        <v>0</v>
      </c>
      <c r="I96" s="67">
        <f t="shared" si="17"/>
        <v>7.7850982925133747E-2</v>
      </c>
      <c r="J96" s="67">
        <f t="shared" si="18"/>
        <v>5.6448331807545061E-3</v>
      </c>
      <c r="K96" s="100">
        <f t="shared" si="20"/>
        <v>3.7632221205030039E-3</v>
      </c>
      <c r="O96" s="96">
        <f>Amnt_Deposited!B91</f>
        <v>2077</v>
      </c>
      <c r="P96" s="99">
        <f>Amnt_Deposited!H91</f>
        <v>0</v>
      </c>
      <c r="Q96" s="283">
        <f>MCF!R95</f>
        <v>1</v>
      </c>
      <c r="R96" s="67">
        <f t="shared" si="19"/>
        <v>0</v>
      </c>
      <c r="S96" s="67">
        <f t="shared" si="21"/>
        <v>0</v>
      </c>
      <c r="T96" s="67">
        <f t="shared" si="22"/>
        <v>0</v>
      </c>
      <c r="U96" s="67">
        <f t="shared" si="23"/>
        <v>8.531614567137942E-2</v>
      </c>
      <c r="V96" s="67">
        <f t="shared" si="24"/>
        <v>6.186118554251511E-3</v>
      </c>
      <c r="W96" s="100">
        <f t="shared" si="25"/>
        <v>4.124079036167674E-3</v>
      </c>
    </row>
    <row r="97" spans="2:23">
      <c r="B97" s="96">
        <f>Amnt_Deposited!B92</f>
        <v>2078</v>
      </c>
      <c r="C97" s="99">
        <f>Amnt_Deposited!H92</f>
        <v>0</v>
      </c>
      <c r="D97" s="417">
        <f>Dry_Matter_Content!H84</f>
        <v>0.73</v>
      </c>
      <c r="E97" s="283">
        <f>MCF!R96</f>
        <v>1</v>
      </c>
      <c r="F97" s="67">
        <f t="shared" si="14"/>
        <v>0</v>
      </c>
      <c r="G97" s="67">
        <f t="shared" si="15"/>
        <v>0</v>
      </c>
      <c r="H97" s="67">
        <f t="shared" si="16"/>
        <v>0</v>
      </c>
      <c r="I97" s="67">
        <f t="shared" si="17"/>
        <v>7.2587775352998207E-2</v>
      </c>
      <c r="J97" s="67">
        <f t="shared" si="18"/>
        <v>5.2632075721355384E-3</v>
      </c>
      <c r="K97" s="100">
        <f t="shared" si="20"/>
        <v>3.5088050480903588E-3</v>
      </c>
      <c r="O97" s="96">
        <f>Amnt_Deposited!B92</f>
        <v>2078</v>
      </c>
      <c r="P97" s="99">
        <f>Amnt_Deposited!H92</f>
        <v>0</v>
      </c>
      <c r="Q97" s="283">
        <f>MCF!R96</f>
        <v>1</v>
      </c>
      <c r="R97" s="67">
        <f t="shared" si="19"/>
        <v>0</v>
      </c>
      <c r="S97" s="67">
        <f t="shared" si="21"/>
        <v>0</v>
      </c>
      <c r="T97" s="67">
        <f t="shared" si="22"/>
        <v>0</v>
      </c>
      <c r="U97" s="67">
        <f t="shared" si="23"/>
        <v>7.9548246962189789E-2</v>
      </c>
      <c r="V97" s="67">
        <f t="shared" si="24"/>
        <v>5.7678987091896285E-3</v>
      </c>
      <c r="W97" s="100">
        <f t="shared" si="25"/>
        <v>3.8452658061264187E-3</v>
      </c>
    </row>
    <row r="98" spans="2:23">
      <c r="B98" s="96">
        <f>Amnt_Deposited!B93</f>
        <v>2079</v>
      </c>
      <c r="C98" s="99">
        <f>Amnt_Deposited!H93</f>
        <v>0</v>
      </c>
      <c r="D98" s="417">
        <f>Dry_Matter_Content!H85</f>
        <v>0.73</v>
      </c>
      <c r="E98" s="283">
        <f>MCF!R97</f>
        <v>1</v>
      </c>
      <c r="F98" s="67">
        <f t="shared" si="14"/>
        <v>0</v>
      </c>
      <c r="G98" s="67">
        <f t="shared" si="15"/>
        <v>0</v>
      </c>
      <c r="H98" s="67">
        <f t="shared" si="16"/>
        <v>0</v>
      </c>
      <c r="I98" s="67">
        <f t="shared" si="17"/>
        <v>6.768039313985684E-2</v>
      </c>
      <c r="J98" s="67">
        <f t="shared" si="18"/>
        <v>4.9073822131413657E-3</v>
      </c>
      <c r="K98" s="100">
        <f t="shared" si="20"/>
        <v>3.2715881420942437E-3</v>
      </c>
      <c r="O98" s="96">
        <f>Amnt_Deposited!B93</f>
        <v>2079</v>
      </c>
      <c r="P98" s="99">
        <f>Amnt_Deposited!H93</f>
        <v>0</v>
      </c>
      <c r="Q98" s="283">
        <f>MCF!R97</f>
        <v>1</v>
      </c>
      <c r="R98" s="67">
        <f t="shared" si="19"/>
        <v>0</v>
      </c>
      <c r="S98" s="67">
        <f t="shared" si="21"/>
        <v>0</v>
      </c>
      <c r="T98" s="67">
        <f t="shared" si="22"/>
        <v>0</v>
      </c>
      <c r="U98" s="67">
        <f t="shared" si="23"/>
        <v>7.4170293851897884E-2</v>
      </c>
      <c r="V98" s="67">
        <f t="shared" si="24"/>
        <v>5.3779531102919062E-3</v>
      </c>
      <c r="W98" s="100">
        <f t="shared" si="25"/>
        <v>3.5853020735279375E-3</v>
      </c>
    </row>
    <row r="99" spans="2:23" ht="13.5" thickBot="1">
      <c r="B99" s="97">
        <f>Amnt_Deposited!B94</f>
        <v>2080</v>
      </c>
      <c r="C99" s="101">
        <f>Amnt_Deposited!H94</f>
        <v>0</v>
      </c>
      <c r="D99" s="418">
        <f>Dry_Matter_Content!H86</f>
        <v>0.73</v>
      </c>
      <c r="E99" s="284">
        <f>MCF!R98</f>
        <v>1</v>
      </c>
      <c r="F99" s="68">
        <f t="shared" si="14"/>
        <v>0</v>
      </c>
      <c r="G99" s="68">
        <f t="shared" si="15"/>
        <v>0</v>
      </c>
      <c r="H99" s="68">
        <f t="shared" si="16"/>
        <v>0</v>
      </c>
      <c r="I99" s="68">
        <f t="shared" si="17"/>
        <v>6.3104780292407459E-2</v>
      </c>
      <c r="J99" s="68">
        <f t="shared" si="18"/>
        <v>4.5756128474493847E-3</v>
      </c>
      <c r="K99" s="102">
        <f t="shared" si="20"/>
        <v>3.0504085649662562E-3</v>
      </c>
      <c r="O99" s="97">
        <f>Amnt_Deposited!B94</f>
        <v>2080</v>
      </c>
      <c r="P99" s="101">
        <f>Amnt_Deposited!H94</f>
        <v>0</v>
      </c>
      <c r="Q99" s="284">
        <f>MCF!R98</f>
        <v>1</v>
      </c>
      <c r="R99" s="68">
        <f t="shared" si="19"/>
        <v>0</v>
      </c>
      <c r="S99" s="68">
        <f>R99*$W$12</f>
        <v>0</v>
      </c>
      <c r="T99" s="68">
        <f>R99*(1-$W$12)</f>
        <v>0</v>
      </c>
      <c r="U99" s="68">
        <f>S99+U98*$W$10</f>
        <v>6.9155923608117745E-2</v>
      </c>
      <c r="V99" s="68">
        <f>U98*(1-$W$10)+T99</f>
        <v>5.014370243780146E-3</v>
      </c>
      <c r="W99" s="102">
        <f t="shared" si="25"/>
        <v>3.3429134958534307E-3</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10" workbookViewId="0">
      <selection activeCell="C19" sqref="C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310</v>
      </c>
      <c r="C2" s="223"/>
      <c r="D2" s="223"/>
      <c r="E2" s="224"/>
      <c r="F2" s="225"/>
      <c r="G2" s="225"/>
      <c r="H2" s="225"/>
      <c r="I2" s="225"/>
      <c r="J2" s="225"/>
      <c r="K2" s="225"/>
    </row>
    <row r="3" spans="1:23" ht="15">
      <c r="B3" s="242"/>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260">
        <f>Parameters!O27</f>
        <v>0</v>
      </c>
      <c r="O6" s="229"/>
      <c r="P6" s="230"/>
      <c r="Q6" s="222"/>
      <c r="R6" s="108" t="s">
        <v>9</v>
      </c>
      <c r="S6" s="109"/>
      <c r="T6" s="109"/>
      <c r="U6" s="113"/>
      <c r="V6" s="120" t="s">
        <v>9</v>
      </c>
      <c r="W6" s="260">
        <f>Parameters!R27</f>
        <v>0.05</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Parameters!O46</f>
        <v>0.4</v>
      </c>
      <c r="O8" s="47"/>
      <c r="P8" s="47"/>
      <c r="Q8" s="222"/>
      <c r="R8" s="108" t="s">
        <v>192</v>
      </c>
      <c r="S8" s="109"/>
      <c r="T8" s="109"/>
      <c r="U8" s="113"/>
      <c r="V8" s="120" t="s">
        <v>188</v>
      </c>
      <c r="W8" s="114">
        <f>Parameters!O46</f>
        <v>0.4</v>
      </c>
    </row>
    <row r="9" spans="1:23" ht="15.75">
      <c r="F9" s="246" t="s">
        <v>190</v>
      </c>
      <c r="G9" s="247"/>
      <c r="H9" s="247"/>
      <c r="I9" s="248"/>
      <c r="J9" s="249" t="s">
        <v>189</v>
      </c>
      <c r="K9" s="255">
        <f>LN(2)/$K$8</f>
        <v>1.732867951399863</v>
      </c>
      <c r="O9" s="47"/>
      <c r="P9" s="47"/>
      <c r="Q9" s="222"/>
      <c r="R9" s="246" t="s">
        <v>190</v>
      </c>
      <c r="S9" s="247"/>
      <c r="T9" s="247"/>
      <c r="U9" s="248"/>
      <c r="V9" s="249" t="s">
        <v>189</v>
      </c>
      <c r="W9" s="255">
        <f>LN(2)/$W$8</f>
        <v>1.732867951399863</v>
      </c>
    </row>
    <row r="10" spans="1:23">
      <c r="F10" s="110" t="s">
        <v>84</v>
      </c>
      <c r="G10" s="111"/>
      <c r="H10" s="111"/>
      <c r="I10" s="112"/>
      <c r="J10" s="121" t="s">
        <v>148</v>
      </c>
      <c r="K10" s="49">
        <f>EXP(-$K$8)</f>
        <v>0.67032004603563933</v>
      </c>
      <c r="O10" s="47"/>
      <c r="P10" s="47"/>
      <c r="Q10" s="222"/>
      <c r="R10" s="110" t="s">
        <v>84</v>
      </c>
      <c r="S10" s="111"/>
      <c r="T10" s="111"/>
      <c r="U10" s="112"/>
      <c r="V10" s="121" t="s">
        <v>148</v>
      </c>
      <c r="W10" s="49">
        <f>EXP(-$W$8)</f>
        <v>0.67032004603563933</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Amnt_Deposited!N14</f>
        <v>0</v>
      </c>
      <c r="D19" s="415">
        <f>Dry_Matter_Content!N6</f>
        <v>0</v>
      </c>
      <c r="E19" s="282">
        <f>MCF!R18</f>
        <v>1</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Amnt_Deposited!N14</f>
        <v>0</v>
      </c>
      <c r="Q19" s="282">
        <f>MCF!R18</f>
        <v>1</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Amnt_Deposited!N15</f>
        <v>0</v>
      </c>
      <c r="D20" s="417">
        <f>Dry_Matter_Content!N7</f>
        <v>0</v>
      </c>
      <c r="E20" s="283">
        <f>MCF!R19</f>
        <v>1</v>
      </c>
      <c r="F20" s="67">
        <f t="shared" si="0"/>
        <v>0</v>
      </c>
      <c r="G20" s="67">
        <f t="shared" si="1"/>
        <v>0</v>
      </c>
      <c r="H20" s="67">
        <f t="shared" si="2"/>
        <v>0</v>
      </c>
      <c r="I20" s="67">
        <f t="shared" si="3"/>
        <v>0</v>
      </c>
      <c r="J20" s="67">
        <f t="shared" si="4"/>
        <v>0</v>
      </c>
      <c r="K20" s="100">
        <f>J20*CH4_fraction*conv</f>
        <v>0</v>
      </c>
      <c r="M20" s="392"/>
      <c r="O20" s="96">
        <f>Amnt_Deposited!B15</f>
        <v>2001</v>
      </c>
      <c r="P20" s="99">
        <f>Amnt_Deposited!N15</f>
        <v>0</v>
      </c>
      <c r="Q20" s="283">
        <f>MCF!R19</f>
        <v>1</v>
      </c>
      <c r="R20" s="67">
        <f t="shared" si="5"/>
        <v>0</v>
      </c>
      <c r="S20" s="67">
        <f>R20*$W$12</f>
        <v>0</v>
      </c>
      <c r="T20" s="67">
        <f>R20*(1-$W$12)</f>
        <v>0</v>
      </c>
      <c r="U20" s="67">
        <f>S20+U19*$W$10</f>
        <v>0</v>
      </c>
      <c r="V20" s="67">
        <f>U19*(1-$W$10)+T20</f>
        <v>0</v>
      </c>
      <c r="W20" s="100">
        <f>V20*CH4_fraction*conv</f>
        <v>0</v>
      </c>
    </row>
    <row r="21" spans="2:23">
      <c r="B21" s="96">
        <f>Amnt_Deposited!B16</f>
        <v>2002</v>
      </c>
      <c r="C21" s="99">
        <f>Amnt_Deposited!N16</f>
        <v>0</v>
      </c>
      <c r="D21" s="417">
        <f>Dry_Matter_Content!N8</f>
        <v>0</v>
      </c>
      <c r="E21" s="283">
        <f>MCF!R20</f>
        <v>1</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Amnt_Deposited!N16</f>
        <v>0</v>
      </c>
      <c r="Q21" s="283">
        <f>MCF!R20</f>
        <v>1</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Amnt_Deposited!N17</f>
        <v>0</v>
      </c>
      <c r="D22" s="417">
        <f>Dry_Matter_Content!N9</f>
        <v>0</v>
      </c>
      <c r="E22" s="283">
        <f>MCF!R21</f>
        <v>1</v>
      </c>
      <c r="F22" s="67">
        <f t="shared" si="0"/>
        <v>0</v>
      </c>
      <c r="G22" s="67">
        <f t="shared" si="1"/>
        <v>0</v>
      </c>
      <c r="H22" s="67">
        <f t="shared" si="2"/>
        <v>0</v>
      </c>
      <c r="I22" s="67">
        <f t="shared" si="3"/>
        <v>0</v>
      </c>
      <c r="J22" s="67">
        <f t="shared" si="4"/>
        <v>0</v>
      </c>
      <c r="K22" s="100">
        <f t="shared" si="6"/>
        <v>0</v>
      </c>
      <c r="N22" s="257"/>
      <c r="O22" s="96">
        <f>Amnt_Deposited!B17</f>
        <v>2003</v>
      </c>
      <c r="P22" s="99">
        <f>Amnt_Deposited!N17</f>
        <v>0</v>
      </c>
      <c r="Q22" s="283">
        <f>MCF!R21</f>
        <v>1</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Amnt_Deposited!N18</f>
        <v>0</v>
      </c>
      <c r="D23" s="417">
        <f>Dry_Matter_Content!N10</f>
        <v>0</v>
      </c>
      <c r="E23" s="283">
        <f>MCF!R22</f>
        <v>1</v>
      </c>
      <c r="F23" s="67">
        <f t="shared" si="0"/>
        <v>0</v>
      </c>
      <c r="G23" s="67">
        <f t="shared" si="1"/>
        <v>0</v>
      </c>
      <c r="H23" s="67">
        <f t="shared" si="2"/>
        <v>0</v>
      </c>
      <c r="I23" s="67">
        <f t="shared" si="3"/>
        <v>0</v>
      </c>
      <c r="J23" s="67">
        <f t="shared" si="4"/>
        <v>0</v>
      </c>
      <c r="K23" s="100">
        <f t="shared" si="6"/>
        <v>0</v>
      </c>
      <c r="N23" s="257"/>
      <c r="O23" s="96">
        <f>Amnt_Deposited!B18</f>
        <v>2004</v>
      </c>
      <c r="P23" s="99">
        <f>Amnt_Deposited!N18</f>
        <v>0</v>
      </c>
      <c r="Q23" s="283">
        <f>MCF!R22</f>
        <v>1</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Amnt_Deposited!N19</f>
        <v>0</v>
      </c>
      <c r="D24" s="417">
        <f>Dry_Matter_Content!N11</f>
        <v>0</v>
      </c>
      <c r="E24" s="283">
        <f>MCF!R23</f>
        <v>1</v>
      </c>
      <c r="F24" s="67">
        <f t="shared" si="0"/>
        <v>0</v>
      </c>
      <c r="G24" s="67">
        <f t="shared" si="1"/>
        <v>0</v>
      </c>
      <c r="H24" s="67">
        <f t="shared" si="2"/>
        <v>0</v>
      </c>
      <c r="I24" s="67">
        <f t="shared" si="3"/>
        <v>0</v>
      </c>
      <c r="J24" s="67">
        <f t="shared" si="4"/>
        <v>0</v>
      </c>
      <c r="K24" s="100">
        <f t="shared" si="6"/>
        <v>0</v>
      </c>
      <c r="N24" s="257"/>
      <c r="O24" s="96">
        <f>Amnt_Deposited!B19</f>
        <v>2005</v>
      </c>
      <c r="P24" s="99">
        <f>Amnt_Deposited!N19</f>
        <v>0</v>
      </c>
      <c r="Q24" s="283">
        <f>MCF!R23</f>
        <v>1</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Amnt_Deposited!N20</f>
        <v>0</v>
      </c>
      <c r="D25" s="417">
        <f>Dry_Matter_Content!N12</f>
        <v>0</v>
      </c>
      <c r="E25" s="283">
        <f>MCF!R24</f>
        <v>1</v>
      </c>
      <c r="F25" s="67">
        <f t="shared" si="0"/>
        <v>0</v>
      </c>
      <c r="G25" s="67">
        <f t="shared" si="1"/>
        <v>0</v>
      </c>
      <c r="H25" s="67">
        <f t="shared" si="2"/>
        <v>0</v>
      </c>
      <c r="I25" s="67">
        <f t="shared" si="3"/>
        <v>0</v>
      </c>
      <c r="J25" s="67">
        <f t="shared" si="4"/>
        <v>0</v>
      </c>
      <c r="K25" s="100">
        <f t="shared" si="6"/>
        <v>0</v>
      </c>
      <c r="N25" s="257"/>
      <c r="O25" s="96">
        <f>Amnt_Deposited!B20</f>
        <v>2006</v>
      </c>
      <c r="P25" s="99">
        <f>Amnt_Deposited!N20</f>
        <v>0</v>
      </c>
      <c r="Q25" s="283">
        <f>MCF!R24</f>
        <v>1</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Amnt_Deposited!N21</f>
        <v>0</v>
      </c>
      <c r="D26" s="417">
        <f>Dry_Matter_Content!N13</f>
        <v>0</v>
      </c>
      <c r="E26" s="283">
        <f>MCF!R25</f>
        <v>1</v>
      </c>
      <c r="F26" s="67">
        <f t="shared" si="0"/>
        <v>0</v>
      </c>
      <c r="G26" s="67">
        <f t="shared" si="1"/>
        <v>0</v>
      </c>
      <c r="H26" s="67">
        <f t="shared" si="2"/>
        <v>0</v>
      </c>
      <c r="I26" s="67">
        <f t="shared" si="3"/>
        <v>0</v>
      </c>
      <c r="J26" s="67">
        <f t="shared" si="4"/>
        <v>0</v>
      </c>
      <c r="K26" s="100">
        <f t="shared" si="6"/>
        <v>0</v>
      </c>
      <c r="N26" s="257"/>
      <c r="O26" s="96">
        <f>Amnt_Deposited!B21</f>
        <v>2007</v>
      </c>
      <c r="P26" s="99">
        <f>Amnt_Deposited!N21</f>
        <v>0</v>
      </c>
      <c r="Q26" s="283">
        <f>MCF!R25</f>
        <v>1</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Amnt_Deposited!N22</f>
        <v>0</v>
      </c>
      <c r="D27" s="417">
        <f>Dry_Matter_Content!N14</f>
        <v>0</v>
      </c>
      <c r="E27" s="283">
        <f>MCF!R26</f>
        <v>1</v>
      </c>
      <c r="F27" s="67">
        <f t="shared" si="0"/>
        <v>0</v>
      </c>
      <c r="G27" s="67">
        <f t="shared" si="1"/>
        <v>0</v>
      </c>
      <c r="H27" s="67">
        <f t="shared" si="2"/>
        <v>0</v>
      </c>
      <c r="I27" s="67">
        <f t="shared" si="3"/>
        <v>0</v>
      </c>
      <c r="J27" s="67">
        <f t="shared" si="4"/>
        <v>0</v>
      </c>
      <c r="K27" s="100">
        <f t="shared" si="6"/>
        <v>0</v>
      </c>
      <c r="N27" s="257"/>
      <c r="O27" s="96">
        <f>Amnt_Deposited!B22</f>
        <v>2008</v>
      </c>
      <c r="P27" s="99">
        <f>Amnt_Deposited!N22</f>
        <v>0</v>
      </c>
      <c r="Q27" s="283">
        <f>MCF!R26</f>
        <v>1</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Amnt_Deposited!N23</f>
        <v>0</v>
      </c>
      <c r="D28" s="417">
        <f>Dry_Matter_Content!N15</f>
        <v>0</v>
      </c>
      <c r="E28" s="283">
        <f>MCF!R27</f>
        <v>1</v>
      </c>
      <c r="F28" s="67">
        <f t="shared" si="0"/>
        <v>0</v>
      </c>
      <c r="G28" s="67">
        <f t="shared" si="1"/>
        <v>0</v>
      </c>
      <c r="H28" s="67">
        <f t="shared" si="2"/>
        <v>0</v>
      </c>
      <c r="I28" s="67">
        <f t="shared" si="3"/>
        <v>0</v>
      </c>
      <c r="J28" s="67">
        <f t="shared" si="4"/>
        <v>0</v>
      </c>
      <c r="K28" s="100">
        <f t="shared" si="6"/>
        <v>0</v>
      </c>
      <c r="N28" s="257"/>
      <c r="O28" s="96">
        <f>Amnt_Deposited!B23</f>
        <v>2009</v>
      </c>
      <c r="P28" s="99">
        <f>Amnt_Deposited!N23</f>
        <v>0</v>
      </c>
      <c r="Q28" s="283">
        <f>MCF!R27</f>
        <v>1</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Amnt_Deposited!N24</f>
        <v>0</v>
      </c>
      <c r="D29" s="417">
        <f>Dry_Matter_Content!N16</f>
        <v>0</v>
      </c>
      <c r="E29" s="283">
        <f>MCF!R28</f>
        <v>1</v>
      </c>
      <c r="F29" s="67">
        <f t="shared" si="0"/>
        <v>0</v>
      </c>
      <c r="G29" s="67">
        <f t="shared" si="1"/>
        <v>0</v>
      </c>
      <c r="H29" s="67">
        <f t="shared" si="2"/>
        <v>0</v>
      </c>
      <c r="I29" s="67">
        <f t="shared" si="3"/>
        <v>0</v>
      </c>
      <c r="J29" s="67">
        <f t="shared" si="4"/>
        <v>0</v>
      </c>
      <c r="K29" s="100">
        <f t="shared" si="6"/>
        <v>0</v>
      </c>
      <c r="O29" s="96">
        <f>Amnt_Deposited!B24</f>
        <v>2010</v>
      </c>
      <c r="P29" s="99">
        <f>Amnt_Deposited!N24</f>
        <v>0</v>
      </c>
      <c r="Q29" s="283">
        <f>MCF!R28</f>
        <v>1</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Amnt_Deposited!N25</f>
        <v>0</v>
      </c>
      <c r="D30" s="417">
        <f>Dry_Matter_Content!N17</f>
        <v>0</v>
      </c>
      <c r="E30" s="283">
        <f>MCF!R29</f>
        <v>1</v>
      </c>
      <c r="F30" s="67">
        <f t="shared" si="0"/>
        <v>0</v>
      </c>
      <c r="G30" s="67">
        <f t="shared" si="1"/>
        <v>0</v>
      </c>
      <c r="H30" s="67">
        <f t="shared" si="2"/>
        <v>0</v>
      </c>
      <c r="I30" s="67">
        <f t="shared" si="3"/>
        <v>0</v>
      </c>
      <c r="J30" s="67">
        <f t="shared" si="4"/>
        <v>0</v>
      </c>
      <c r="K30" s="100">
        <f t="shared" si="6"/>
        <v>0</v>
      </c>
      <c r="O30" s="96">
        <f>Amnt_Deposited!B25</f>
        <v>2011</v>
      </c>
      <c r="P30" s="99">
        <f>Amnt_Deposited!N25</f>
        <v>0</v>
      </c>
      <c r="Q30" s="283">
        <f>MCF!R29</f>
        <v>1</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Amnt_Deposited!N26</f>
        <v>0</v>
      </c>
      <c r="D31" s="417">
        <f>Dry_Matter_Content!N18</f>
        <v>0</v>
      </c>
      <c r="E31" s="283">
        <f>MCF!R30</f>
        <v>1</v>
      </c>
      <c r="F31" s="67">
        <f t="shared" si="0"/>
        <v>0</v>
      </c>
      <c r="G31" s="67">
        <f t="shared" si="1"/>
        <v>0</v>
      </c>
      <c r="H31" s="67">
        <f t="shared" si="2"/>
        <v>0</v>
      </c>
      <c r="I31" s="67">
        <f t="shared" si="3"/>
        <v>0</v>
      </c>
      <c r="J31" s="67">
        <f t="shared" si="4"/>
        <v>0</v>
      </c>
      <c r="K31" s="100">
        <f t="shared" si="6"/>
        <v>0</v>
      </c>
      <c r="O31" s="96">
        <f>Amnt_Deposited!B26</f>
        <v>2012</v>
      </c>
      <c r="P31" s="99">
        <f>Amnt_Deposited!N26</f>
        <v>0</v>
      </c>
      <c r="Q31" s="283">
        <f>MCF!R30</f>
        <v>1</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Amnt_Deposited!N27</f>
        <v>0</v>
      </c>
      <c r="D32" s="417">
        <f>Dry_Matter_Content!N19</f>
        <v>0</v>
      </c>
      <c r="E32" s="283">
        <f>MCF!R31</f>
        <v>1</v>
      </c>
      <c r="F32" s="67">
        <f t="shared" si="0"/>
        <v>0</v>
      </c>
      <c r="G32" s="67">
        <f t="shared" si="1"/>
        <v>0</v>
      </c>
      <c r="H32" s="67">
        <f t="shared" si="2"/>
        <v>0</v>
      </c>
      <c r="I32" s="67">
        <f t="shared" si="3"/>
        <v>0</v>
      </c>
      <c r="J32" s="67">
        <f t="shared" si="4"/>
        <v>0</v>
      </c>
      <c r="K32" s="100">
        <f t="shared" si="6"/>
        <v>0</v>
      </c>
      <c r="O32" s="96">
        <f>Amnt_Deposited!B27</f>
        <v>2013</v>
      </c>
      <c r="P32" s="99">
        <f>Amnt_Deposited!N27</f>
        <v>0</v>
      </c>
      <c r="Q32" s="283">
        <f>MCF!R31</f>
        <v>1</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Amnt_Deposited!N28</f>
        <v>0</v>
      </c>
      <c r="D33" s="417">
        <f>Dry_Matter_Content!N20</f>
        <v>0</v>
      </c>
      <c r="E33" s="283">
        <f>MCF!R32</f>
        <v>1</v>
      </c>
      <c r="F33" s="67">
        <f t="shared" si="0"/>
        <v>0</v>
      </c>
      <c r="G33" s="67">
        <f t="shared" si="1"/>
        <v>0</v>
      </c>
      <c r="H33" s="67">
        <f t="shared" si="2"/>
        <v>0</v>
      </c>
      <c r="I33" s="67">
        <f t="shared" si="3"/>
        <v>0</v>
      </c>
      <c r="J33" s="67">
        <f t="shared" si="4"/>
        <v>0</v>
      </c>
      <c r="K33" s="100">
        <f t="shared" si="6"/>
        <v>0</v>
      </c>
      <c r="O33" s="96">
        <f>Amnt_Deposited!B28</f>
        <v>2014</v>
      </c>
      <c r="P33" s="99">
        <f>Amnt_Deposited!N28</f>
        <v>0</v>
      </c>
      <c r="Q33" s="283">
        <f>MCF!R32</f>
        <v>1</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Amnt_Deposited!N29</f>
        <v>0</v>
      </c>
      <c r="D34" s="417">
        <f>Dry_Matter_Content!N21</f>
        <v>0</v>
      </c>
      <c r="E34" s="283">
        <f>MCF!R33</f>
        <v>1</v>
      </c>
      <c r="F34" s="67">
        <f t="shared" si="0"/>
        <v>0</v>
      </c>
      <c r="G34" s="67">
        <f t="shared" si="1"/>
        <v>0</v>
      </c>
      <c r="H34" s="67">
        <f t="shared" si="2"/>
        <v>0</v>
      </c>
      <c r="I34" s="67">
        <f t="shared" si="3"/>
        <v>0</v>
      </c>
      <c r="J34" s="67">
        <f t="shared" si="4"/>
        <v>0</v>
      </c>
      <c r="K34" s="100">
        <f t="shared" si="6"/>
        <v>0</v>
      </c>
      <c r="O34" s="96">
        <f>Amnt_Deposited!B29</f>
        <v>2015</v>
      </c>
      <c r="P34" s="99">
        <f>Amnt_Deposited!N29</f>
        <v>0</v>
      </c>
      <c r="Q34" s="283">
        <f>MCF!R33</f>
        <v>1</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Amnt_Deposited!N30</f>
        <v>0</v>
      </c>
      <c r="D35" s="417">
        <f>Dry_Matter_Content!N22</f>
        <v>0</v>
      </c>
      <c r="E35" s="283">
        <f>MCF!R34</f>
        <v>1</v>
      </c>
      <c r="F35" s="67">
        <f t="shared" si="0"/>
        <v>0</v>
      </c>
      <c r="G35" s="67">
        <f t="shared" si="1"/>
        <v>0</v>
      </c>
      <c r="H35" s="67">
        <f t="shared" si="2"/>
        <v>0</v>
      </c>
      <c r="I35" s="67">
        <f t="shared" si="3"/>
        <v>0</v>
      </c>
      <c r="J35" s="67">
        <f t="shared" si="4"/>
        <v>0</v>
      </c>
      <c r="K35" s="100">
        <f t="shared" si="6"/>
        <v>0</v>
      </c>
      <c r="O35" s="96">
        <f>Amnt_Deposited!B30</f>
        <v>2016</v>
      </c>
      <c r="P35" s="99">
        <f>Amnt_Deposited!N30</f>
        <v>0</v>
      </c>
      <c r="Q35" s="283">
        <f>MCF!R34</f>
        <v>1</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Amnt_Deposited!N31</f>
        <v>0</v>
      </c>
      <c r="D36" s="417">
        <f>Dry_Matter_Content!N23</f>
        <v>0</v>
      </c>
      <c r="E36" s="283">
        <f>MCF!R35</f>
        <v>1</v>
      </c>
      <c r="F36" s="67">
        <f t="shared" si="0"/>
        <v>0</v>
      </c>
      <c r="G36" s="67">
        <f t="shared" si="1"/>
        <v>0</v>
      </c>
      <c r="H36" s="67">
        <f t="shared" si="2"/>
        <v>0</v>
      </c>
      <c r="I36" s="67">
        <f t="shared" si="3"/>
        <v>0</v>
      </c>
      <c r="J36" s="67">
        <f t="shared" si="4"/>
        <v>0</v>
      </c>
      <c r="K36" s="100">
        <f t="shared" si="6"/>
        <v>0</v>
      </c>
      <c r="O36" s="96">
        <f>Amnt_Deposited!B31</f>
        <v>2017</v>
      </c>
      <c r="P36" s="99">
        <f>Amnt_Deposited!N31</f>
        <v>0</v>
      </c>
      <c r="Q36" s="283">
        <f>MCF!R35</f>
        <v>1</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Amnt_Deposited!N32</f>
        <v>0</v>
      </c>
      <c r="D37" s="417">
        <f>Dry_Matter_Content!N24</f>
        <v>0</v>
      </c>
      <c r="E37" s="283">
        <f>MCF!R36</f>
        <v>1</v>
      </c>
      <c r="F37" s="67">
        <f t="shared" si="0"/>
        <v>0</v>
      </c>
      <c r="G37" s="67">
        <f t="shared" si="1"/>
        <v>0</v>
      </c>
      <c r="H37" s="67">
        <f t="shared" si="2"/>
        <v>0</v>
      </c>
      <c r="I37" s="67">
        <f t="shared" si="3"/>
        <v>0</v>
      </c>
      <c r="J37" s="67">
        <f t="shared" si="4"/>
        <v>0</v>
      </c>
      <c r="K37" s="100">
        <f t="shared" si="6"/>
        <v>0</v>
      </c>
      <c r="O37" s="96">
        <f>Amnt_Deposited!B32</f>
        <v>2018</v>
      </c>
      <c r="P37" s="99">
        <f>Amnt_Deposited!N32</f>
        <v>0</v>
      </c>
      <c r="Q37" s="283">
        <f>MCF!R36</f>
        <v>1</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Amnt_Deposited!N33</f>
        <v>0</v>
      </c>
      <c r="D38" s="417">
        <f>Dry_Matter_Content!N25</f>
        <v>0</v>
      </c>
      <c r="E38" s="283">
        <f>MCF!R37</f>
        <v>1</v>
      </c>
      <c r="F38" s="67">
        <f t="shared" si="0"/>
        <v>0</v>
      </c>
      <c r="G38" s="67">
        <f t="shared" si="1"/>
        <v>0</v>
      </c>
      <c r="H38" s="67">
        <f t="shared" si="2"/>
        <v>0</v>
      </c>
      <c r="I38" s="67">
        <f t="shared" si="3"/>
        <v>0</v>
      </c>
      <c r="J38" s="67">
        <f t="shared" si="4"/>
        <v>0</v>
      </c>
      <c r="K38" s="100">
        <f t="shared" si="6"/>
        <v>0</v>
      </c>
      <c r="O38" s="96">
        <f>Amnt_Deposited!B33</f>
        <v>2019</v>
      </c>
      <c r="P38" s="99">
        <f>Amnt_Deposited!N33</f>
        <v>0</v>
      </c>
      <c r="Q38" s="283">
        <f>MCF!R37</f>
        <v>1</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Amnt_Deposited!N34</f>
        <v>0</v>
      </c>
      <c r="D39" s="417">
        <f>Dry_Matter_Content!N26</f>
        <v>0</v>
      </c>
      <c r="E39" s="283">
        <f>MCF!R38</f>
        <v>1</v>
      </c>
      <c r="F39" s="67">
        <f t="shared" si="0"/>
        <v>0</v>
      </c>
      <c r="G39" s="67">
        <f t="shared" si="1"/>
        <v>0</v>
      </c>
      <c r="H39" s="67">
        <f t="shared" si="2"/>
        <v>0</v>
      </c>
      <c r="I39" s="67">
        <f t="shared" si="3"/>
        <v>0</v>
      </c>
      <c r="J39" s="67">
        <f t="shared" si="4"/>
        <v>0</v>
      </c>
      <c r="K39" s="100">
        <f t="shared" si="6"/>
        <v>0</v>
      </c>
      <c r="O39" s="96">
        <f>Amnt_Deposited!B34</f>
        <v>2020</v>
      </c>
      <c r="P39" s="99">
        <f>Amnt_Deposited!N34</f>
        <v>0</v>
      </c>
      <c r="Q39" s="283">
        <f>MCF!R38</f>
        <v>1</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Amnt_Deposited!N35</f>
        <v>0</v>
      </c>
      <c r="D40" s="417">
        <f>Dry_Matter_Content!N27</f>
        <v>0</v>
      </c>
      <c r="E40" s="283">
        <f>MCF!R39</f>
        <v>1</v>
      </c>
      <c r="F40" s="67">
        <f t="shared" si="0"/>
        <v>0</v>
      </c>
      <c r="G40" s="67">
        <f t="shared" si="1"/>
        <v>0</v>
      </c>
      <c r="H40" s="67">
        <f t="shared" si="2"/>
        <v>0</v>
      </c>
      <c r="I40" s="67">
        <f t="shared" si="3"/>
        <v>0</v>
      </c>
      <c r="J40" s="67">
        <f t="shared" si="4"/>
        <v>0</v>
      </c>
      <c r="K40" s="100">
        <f t="shared" si="6"/>
        <v>0</v>
      </c>
      <c r="O40" s="96">
        <f>Amnt_Deposited!B35</f>
        <v>2021</v>
      </c>
      <c r="P40" s="99">
        <f>Amnt_Deposited!N35</f>
        <v>0</v>
      </c>
      <c r="Q40" s="283">
        <f>MCF!R39</f>
        <v>1</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Amnt_Deposited!N36</f>
        <v>0</v>
      </c>
      <c r="D41" s="417">
        <f>Dry_Matter_Content!N28</f>
        <v>0</v>
      </c>
      <c r="E41" s="283">
        <f>MCF!R40</f>
        <v>1</v>
      </c>
      <c r="F41" s="67">
        <f t="shared" si="0"/>
        <v>0</v>
      </c>
      <c r="G41" s="67">
        <f t="shared" si="1"/>
        <v>0</v>
      </c>
      <c r="H41" s="67">
        <f t="shared" si="2"/>
        <v>0</v>
      </c>
      <c r="I41" s="67">
        <f t="shared" si="3"/>
        <v>0</v>
      </c>
      <c r="J41" s="67">
        <f t="shared" si="4"/>
        <v>0</v>
      </c>
      <c r="K41" s="100">
        <f t="shared" si="6"/>
        <v>0</v>
      </c>
      <c r="O41" s="96">
        <f>Amnt_Deposited!B36</f>
        <v>2022</v>
      </c>
      <c r="P41" s="99">
        <f>Amnt_Deposited!N36</f>
        <v>0</v>
      </c>
      <c r="Q41" s="283">
        <f>MCF!R40</f>
        <v>1</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Amnt_Deposited!N37</f>
        <v>0</v>
      </c>
      <c r="D42" s="417">
        <f>Dry_Matter_Content!N29</f>
        <v>0</v>
      </c>
      <c r="E42" s="283">
        <f>MCF!R41</f>
        <v>1</v>
      </c>
      <c r="F42" s="67">
        <f t="shared" si="0"/>
        <v>0</v>
      </c>
      <c r="G42" s="67">
        <f t="shared" si="1"/>
        <v>0</v>
      </c>
      <c r="H42" s="67">
        <f t="shared" si="2"/>
        <v>0</v>
      </c>
      <c r="I42" s="67">
        <f t="shared" si="3"/>
        <v>0</v>
      </c>
      <c r="J42" s="67">
        <f t="shared" si="4"/>
        <v>0</v>
      </c>
      <c r="K42" s="100">
        <f t="shared" si="6"/>
        <v>0</v>
      </c>
      <c r="O42" s="96">
        <f>Amnt_Deposited!B37</f>
        <v>2023</v>
      </c>
      <c r="P42" s="99">
        <f>Amnt_Deposited!N37</f>
        <v>0</v>
      </c>
      <c r="Q42" s="283">
        <f>MCF!R41</f>
        <v>1</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Amnt_Deposited!N38</f>
        <v>0</v>
      </c>
      <c r="D43" s="417">
        <f>Dry_Matter_Content!N30</f>
        <v>0</v>
      </c>
      <c r="E43" s="283">
        <f>MCF!R42</f>
        <v>1</v>
      </c>
      <c r="F43" s="67">
        <f t="shared" si="0"/>
        <v>0</v>
      </c>
      <c r="G43" s="67">
        <f t="shared" si="1"/>
        <v>0</v>
      </c>
      <c r="H43" s="67">
        <f t="shared" si="2"/>
        <v>0</v>
      </c>
      <c r="I43" s="67">
        <f t="shared" si="3"/>
        <v>0</v>
      </c>
      <c r="J43" s="67">
        <f t="shared" si="4"/>
        <v>0</v>
      </c>
      <c r="K43" s="100">
        <f t="shared" si="6"/>
        <v>0</v>
      </c>
      <c r="O43" s="96">
        <f>Amnt_Deposited!B38</f>
        <v>2024</v>
      </c>
      <c r="P43" s="99">
        <f>Amnt_Deposited!N38</f>
        <v>0</v>
      </c>
      <c r="Q43" s="283">
        <f>MCF!R42</f>
        <v>1</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Amnt_Deposited!N39</f>
        <v>0</v>
      </c>
      <c r="D44" s="417">
        <f>Dry_Matter_Content!N31</f>
        <v>0</v>
      </c>
      <c r="E44" s="283">
        <f>MCF!R43</f>
        <v>1</v>
      </c>
      <c r="F44" s="67">
        <f t="shared" si="0"/>
        <v>0</v>
      </c>
      <c r="G44" s="67">
        <f t="shared" si="1"/>
        <v>0</v>
      </c>
      <c r="H44" s="67">
        <f t="shared" si="2"/>
        <v>0</v>
      </c>
      <c r="I44" s="67">
        <f t="shared" si="3"/>
        <v>0</v>
      </c>
      <c r="J44" s="67">
        <f t="shared" si="4"/>
        <v>0</v>
      </c>
      <c r="K44" s="100">
        <f t="shared" si="6"/>
        <v>0</v>
      </c>
      <c r="O44" s="96">
        <f>Amnt_Deposited!B39</f>
        <v>2025</v>
      </c>
      <c r="P44" s="99">
        <f>Amnt_Deposited!N39</f>
        <v>0</v>
      </c>
      <c r="Q44" s="283">
        <f>MCF!R43</f>
        <v>1</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Amnt_Deposited!N40</f>
        <v>0</v>
      </c>
      <c r="D45" s="417">
        <f>Dry_Matter_Content!N32</f>
        <v>0</v>
      </c>
      <c r="E45" s="283">
        <f>MCF!R44</f>
        <v>1</v>
      </c>
      <c r="F45" s="67">
        <f t="shared" si="0"/>
        <v>0</v>
      </c>
      <c r="G45" s="67">
        <f t="shared" si="1"/>
        <v>0</v>
      </c>
      <c r="H45" s="67">
        <f t="shared" si="2"/>
        <v>0</v>
      </c>
      <c r="I45" s="67">
        <f t="shared" si="3"/>
        <v>0</v>
      </c>
      <c r="J45" s="67">
        <f t="shared" si="4"/>
        <v>0</v>
      </c>
      <c r="K45" s="100">
        <f t="shared" si="6"/>
        <v>0</v>
      </c>
      <c r="O45" s="96">
        <f>Amnt_Deposited!B40</f>
        <v>2026</v>
      </c>
      <c r="P45" s="99">
        <f>Amnt_Deposited!N40</f>
        <v>0</v>
      </c>
      <c r="Q45" s="283">
        <f>MCF!R44</f>
        <v>1</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Amnt_Deposited!N41</f>
        <v>0</v>
      </c>
      <c r="D46" s="417">
        <f>Dry_Matter_Content!N33</f>
        <v>0</v>
      </c>
      <c r="E46" s="283">
        <f>MCF!R45</f>
        <v>1</v>
      </c>
      <c r="F46" s="67">
        <f t="shared" si="0"/>
        <v>0</v>
      </c>
      <c r="G46" s="67">
        <f t="shared" si="1"/>
        <v>0</v>
      </c>
      <c r="H46" s="67">
        <f t="shared" si="2"/>
        <v>0</v>
      </c>
      <c r="I46" s="67">
        <f t="shared" si="3"/>
        <v>0</v>
      </c>
      <c r="J46" s="67">
        <f t="shared" si="4"/>
        <v>0</v>
      </c>
      <c r="K46" s="100">
        <f t="shared" si="6"/>
        <v>0</v>
      </c>
      <c r="O46" s="96">
        <f>Amnt_Deposited!B41</f>
        <v>2027</v>
      </c>
      <c r="P46" s="99">
        <f>Amnt_Deposited!N41</f>
        <v>0</v>
      </c>
      <c r="Q46" s="283">
        <f>MCF!R45</f>
        <v>1</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Amnt_Deposited!N42</f>
        <v>0</v>
      </c>
      <c r="D47" s="417">
        <f>Dry_Matter_Content!N34</f>
        <v>0</v>
      </c>
      <c r="E47" s="283">
        <f>MCF!R46</f>
        <v>1</v>
      </c>
      <c r="F47" s="67">
        <f t="shared" si="0"/>
        <v>0</v>
      </c>
      <c r="G47" s="67">
        <f t="shared" si="1"/>
        <v>0</v>
      </c>
      <c r="H47" s="67">
        <f t="shared" si="2"/>
        <v>0</v>
      </c>
      <c r="I47" s="67">
        <f t="shared" si="3"/>
        <v>0</v>
      </c>
      <c r="J47" s="67">
        <f t="shared" si="4"/>
        <v>0</v>
      </c>
      <c r="K47" s="100">
        <f t="shared" si="6"/>
        <v>0</v>
      </c>
      <c r="O47" s="96">
        <f>Amnt_Deposited!B42</f>
        <v>2028</v>
      </c>
      <c r="P47" s="99">
        <f>Amnt_Deposited!N42</f>
        <v>0</v>
      </c>
      <c r="Q47" s="283">
        <f>MCF!R46</f>
        <v>1</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Amnt_Deposited!N43</f>
        <v>0</v>
      </c>
      <c r="D48" s="417">
        <f>Dry_Matter_Content!N35</f>
        <v>0</v>
      </c>
      <c r="E48" s="283">
        <f>MCF!R47</f>
        <v>1</v>
      </c>
      <c r="F48" s="67">
        <f t="shared" si="0"/>
        <v>0</v>
      </c>
      <c r="G48" s="67">
        <f t="shared" si="1"/>
        <v>0</v>
      </c>
      <c r="H48" s="67">
        <f t="shared" si="2"/>
        <v>0</v>
      </c>
      <c r="I48" s="67">
        <f t="shared" si="3"/>
        <v>0</v>
      </c>
      <c r="J48" s="67">
        <f t="shared" si="4"/>
        <v>0</v>
      </c>
      <c r="K48" s="100">
        <f t="shared" si="6"/>
        <v>0</v>
      </c>
      <c r="O48" s="96">
        <f>Amnt_Deposited!B43</f>
        <v>2029</v>
      </c>
      <c r="P48" s="99">
        <f>Amnt_Deposited!N43</f>
        <v>0</v>
      </c>
      <c r="Q48" s="283">
        <f>MCF!R47</f>
        <v>1</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Amnt_Deposited!N44</f>
        <v>0</v>
      </c>
      <c r="D49" s="417">
        <f>Dry_Matter_Content!N36</f>
        <v>0</v>
      </c>
      <c r="E49" s="283">
        <f>MCF!R48</f>
        <v>1</v>
      </c>
      <c r="F49" s="67">
        <f t="shared" si="0"/>
        <v>0</v>
      </c>
      <c r="G49" s="67">
        <f t="shared" si="1"/>
        <v>0</v>
      </c>
      <c r="H49" s="67">
        <f t="shared" si="2"/>
        <v>0</v>
      </c>
      <c r="I49" s="67">
        <f t="shared" si="3"/>
        <v>0</v>
      </c>
      <c r="J49" s="67">
        <f t="shared" si="4"/>
        <v>0</v>
      </c>
      <c r="K49" s="100">
        <f t="shared" si="6"/>
        <v>0</v>
      </c>
      <c r="O49" s="96">
        <f>Amnt_Deposited!B44</f>
        <v>2030</v>
      </c>
      <c r="P49" s="99">
        <f>Amnt_Deposited!N44</f>
        <v>0</v>
      </c>
      <c r="Q49" s="283">
        <f>MCF!R48</f>
        <v>1</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Amnt_Deposited!N45</f>
        <v>0</v>
      </c>
      <c r="D50" s="417">
        <f>Dry_Matter_Content!N37</f>
        <v>0</v>
      </c>
      <c r="E50" s="283">
        <f>MCF!R49</f>
        <v>1</v>
      </c>
      <c r="F50" s="67">
        <f t="shared" si="0"/>
        <v>0</v>
      </c>
      <c r="G50" s="67">
        <f t="shared" si="1"/>
        <v>0</v>
      </c>
      <c r="H50" s="67">
        <f t="shared" si="2"/>
        <v>0</v>
      </c>
      <c r="I50" s="67">
        <f t="shared" si="3"/>
        <v>0</v>
      </c>
      <c r="J50" s="67">
        <f t="shared" si="4"/>
        <v>0</v>
      </c>
      <c r="K50" s="100">
        <f t="shared" si="6"/>
        <v>0</v>
      </c>
      <c r="O50" s="96">
        <f>Amnt_Deposited!B45</f>
        <v>2031</v>
      </c>
      <c r="P50" s="99">
        <f>Amnt_Deposited!N45</f>
        <v>0</v>
      </c>
      <c r="Q50" s="283">
        <f>MCF!R49</f>
        <v>1</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Amnt_Deposited!N46</f>
        <v>0</v>
      </c>
      <c r="D51" s="417">
        <f>Dry_Matter_Content!N38</f>
        <v>0</v>
      </c>
      <c r="E51" s="283">
        <f>MCF!R50</f>
        <v>1</v>
      </c>
      <c r="F51" s="67">
        <f t="shared" si="0"/>
        <v>0</v>
      </c>
      <c r="G51" s="67">
        <f t="shared" si="1"/>
        <v>0</v>
      </c>
      <c r="H51" s="67">
        <f t="shared" si="2"/>
        <v>0</v>
      </c>
      <c r="I51" s="67">
        <f t="shared" si="3"/>
        <v>0</v>
      </c>
      <c r="J51" s="67">
        <f t="shared" si="4"/>
        <v>0</v>
      </c>
      <c r="K51" s="100">
        <f t="shared" si="6"/>
        <v>0</v>
      </c>
      <c r="O51" s="96">
        <f>Amnt_Deposited!B46</f>
        <v>2032</v>
      </c>
      <c r="P51" s="99">
        <f>Amnt_Deposited!N46</f>
        <v>0</v>
      </c>
      <c r="Q51" s="283">
        <f>MCF!R50</f>
        <v>1</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Amnt_Deposited!N47</f>
        <v>0</v>
      </c>
      <c r="D52" s="417">
        <f>Dry_Matter_Content!N39</f>
        <v>0</v>
      </c>
      <c r="E52" s="283">
        <f>MCF!R51</f>
        <v>1</v>
      </c>
      <c r="F52" s="67">
        <f t="shared" si="0"/>
        <v>0</v>
      </c>
      <c r="G52" s="67">
        <f t="shared" si="1"/>
        <v>0</v>
      </c>
      <c r="H52" s="67">
        <f t="shared" si="2"/>
        <v>0</v>
      </c>
      <c r="I52" s="67">
        <f t="shared" si="3"/>
        <v>0</v>
      </c>
      <c r="J52" s="67">
        <f t="shared" si="4"/>
        <v>0</v>
      </c>
      <c r="K52" s="100">
        <f t="shared" si="6"/>
        <v>0</v>
      </c>
      <c r="O52" s="96">
        <f>Amnt_Deposited!B47</f>
        <v>2033</v>
      </c>
      <c r="P52" s="99">
        <f>Amnt_Deposited!N47</f>
        <v>0</v>
      </c>
      <c r="Q52" s="283">
        <f>MCF!R51</f>
        <v>1</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Amnt_Deposited!N48</f>
        <v>0</v>
      </c>
      <c r="D53" s="417">
        <f>Dry_Matter_Content!N40</f>
        <v>0</v>
      </c>
      <c r="E53" s="283">
        <f>MCF!R52</f>
        <v>1</v>
      </c>
      <c r="F53" s="67">
        <f t="shared" si="0"/>
        <v>0</v>
      </c>
      <c r="G53" s="67">
        <f t="shared" si="1"/>
        <v>0</v>
      </c>
      <c r="H53" s="67">
        <f t="shared" si="2"/>
        <v>0</v>
      </c>
      <c r="I53" s="67">
        <f t="shared" si="3"/>
        <v>0</v>
      </c>
      <c r="J53" s="67">
        <f t="shared" si="4"/>
        <v>0</v>
      </c>
      <c r="K53" s="100">
        <f t="shared" si="6"/>
        <v>0</v>
      </c>
      <c r="O53" s="96">
        <f>Amnt_Deposited!B48</f>
        <v>2034</v>
      </c>
      <c r="P53" s="99">
        <f>Amnt_Deposited!N48</f>
        <v>0</v>
      </c>
      <c r="Q53" s="283">
        <f>MCF!R52</f>
        <v>1</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Amnt_Deposited!N49</f>
        <v>0</v>
      </c>
      <c r="D54" s="417">
        <f>Dry_Matter_Content!N41</f>
        <v>0</v>
      </c>
      <c r="E54" s="283">
        <f>MCF!R53</f>
        <v>1</v>
      </c>
      <c r="F54" s="67">
        <f t="shared" si="0"/>
        <v>0</v>
      </c>
      <c r="G54" s="67">
        <f t="shared" si="1"/>
        <v>0</v>
      </c>
      <c r="H54" s="67">
        <f t="shared" si="2"/>
        <v>0</v>
      </c>
      <c r="I54" s="67">
        <f t="shared" si="3"/>
        <v>0</v>
      </c>
      <c r="J54" s="67">
        <f t="shared" si="4"/>
        <v>0</v>
      </c>
      <c r="K54" s="100">
        <f t="shared" si="6"/>
        <v>0</v>
      </c>
      <c r="O54" s="96">
        <f>Amnt_Deposited!B49</f>
        <v>2035</v>
      </c>
      <c r="P54" s="99">
        <f>Amnt_Deposited!N49</f>
        <v>0</v>
      </c>
      <c r="Q54" s="283">
        <f>MCF!R53</f>
        <v>1</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Amnt_Deposited!N50</f>
        <v>0</v>
      </c>
      <c r="D55" s="417">
        <f>Dry_Matter_Content!N42</f>
        <v>0</v>
      </c>
      <c r="E55" s="283">
        <f>MCF!R54</f>
        <v>1</v>
      </c>
      <c r="F55" s="67">
        <f t="shared" si="0"/>
        <v>0</v>
      </c>
      <c r="G55" s="67">
        <f t="shared" si="1"/>
        <v>0</v>
      </c>
      <c r="H55" s="67">
        <f t="shared" si="2"/>
        <v>0</v>
      </c>
      <c r="I55" s="67">
        <f t="shared" si="3"/>
        <v>0</v>
      </c>
      <c r="J55" s="67">
        <f t="shared" si="4"/>
        <v>0</v>
      </c>
      <c r="K55" s="100">
        <f t="shared" si="6"/>
        <v>0</v>
      </c>
      <c r="O55" s="96">
        <f>Amnt_Deposited!B50</f>
        <v>2036</v>
      </c>
      <c r="P55" s="99">
        <f>Amnt_Deposited!N50</f>
        <v>0</v>
      </c>
      <c r="Q55" s="283">
        <f>MCF!R54</f>
        <v>1</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Amnt_Deposited!N51</f>
        <v>0</v>
      </c>
      <c r="D56" s="417">
        <f>Dry_Matter_Content!N43</f>
        <v>0</v>
      </c>
      <c r="E56" s="283">
        <f>MCF!R55</f>
        <v>1</v>
      </c>
      <c r="F56" s="67">
        <f t="shared" si="0"/>
        <v>0</v>
      </c>
      <c r="G56" s="67">
        <f t="shared" si="1"/>
        <v>0</v>
      </c>
      <c r="H56" s="67">
        <f t="shared" si="2"/>
        <v>0</v>
      </c>
      <c r="I56" s="67">
        <f t="shared" si="3"/>
        <v>0</v>
      </c>
      <c r="J56" s="67">
        <f t="shared" si="4"/>
        <v>0</v>
      </c>
      <c r="K56" s="100">
        <f t="shared" si="6"/>
        <v>0</v>
      </c>
      <c r="O56" s="96">
        <f>Amnt_Deposited!B51</f>
        <v>2037</v>
      </c>
      <c r="P56" s="99">
        <f>Amnt_Deposited!N51</f>
        <v>0</v>
      </c>
      <c r="Q56" s="283">
        <f>MCF!R55</f>
        <v>1</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Amnt_Deposited!N52</f>
        <v>0</v>
      </c>
      <c r="D57" s="417">
        <f>Dry_Matter_Content!N44</f>
        <v>0</v>
      </c>
      <c r="E57" s="283">
        <f>MCF!R56</f>
        <v>1</v>
      </c>
      <c r="F57" s="67">
        <f t="shared" si="0"/>
        <v>0</v>
      </c>
      <c r="G57" s="67">
        <f t="shared" si="1"/>
        <v>0</v>
      </c>
      <c r="H57" s="67">
        <f t="shared" si="2"/>
        <v>0</v>
      </c>
      <c r="I57" s="67">
        <f t="shared" si="3"/>
        <v>0</v>
      </c>
      <c r="J57" s="67">
        <f t="shared" si="4"/>
        <v>0</v>
      </c>
      <c r="K57" s="100">
        <f t="shared" si="6"/>
        <v>0</v>
      </c>
      <c r="O57" s="96">
        <f>Amnt_Deposited!B52</f>
        <v>2038</v>
      </c>
      <c r="P57" s="99">
        <f>Amnt_Deposited!N52</f>
        <v>0</v>
      </c>
      <c r="Q57" s="283">
        <f>MCF!R56</f>
        <v>1</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Amnt_Deposited!N53</f>
        <v>0</v>
      </c>
      <c r="D58" s="417">
        <f>Dry_Matter_Content!N45</f>
        <v>0</v>
      </c>
      <c r="E58" s="283">
        <f>MCF!R57</f>
        <v>1</v>
      </c>
      <c r="F58" s="67">
        <f t="shared" si="0"/>
        <v>0</v>
      </c>
      <c r="G58" s="67">
        <f t="shared" si="1"/>
        <v>0</v>
      </c>
      <c r="H58" s="67">
        <f t="shared" si="2"/>
        <v>0</v>
      </c>
      <c r="I58" s="67">
        <f t="shared" si="3"/>
        <v>0</v>
      </c>
      <c r="J58" s="67">
        <f t="shared" si="4"/>
        <v>0</v>
      </c>
      <c r="K58" s="100">
        <f t="shared" si="6"/>
        <v>0</v>
      </c>
      <c r="O58" s="96">
        <f>Amnt_Deposited!B53</f>
        <v>2039</v>
      </c>
      <c r="P58" s="99">
        <f>Amnt_Deposited!N53</f>
        <v>0</v>
      </c>
      <c r="Q58" s="283">
        <f>MCF!R57</f>
        <v>1</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Amnt_Deposited!N54</f>
        <v>0</v>
      </c>
      <c r="D59" s="417">
        <f>Dry_Matter_Content!N46</f>
        <v>0</v>
      </c>
      <c r="E59" s="283">
        <f>MCF!R58</f>
        <v>1</v>
      </c>
      <c r="F59" s="67">
        <f t="shared" si="0"/>
        <v>0</v>
      </c>
      <c r="G59" s="67">
        <f t="shared" si="1"/>
        <v>0</v>
      </c>
      <c r="H59" s="67">
        <f t="shared" si="2"/>
        <v>0</v>
      </c>
      <c r="I59" s="67">
        <f t="shared" si="3"/>
        <v>0</v>
      </c>
      <c r="J59" s="67">
        <f t="shared" si="4"/>
        <v>0</v>
      </c>
      <c r="K59" s="100">
        <f t="shared" si="6"/>
        <v>0</v>
      </c>
      <c r="O59" s="96">
        <f>Amnt_Deposited!B54</f>
        <v>2040</v>
      </c>
      <c r="P59" s="99">
        <f>Amnt_Deposited!N54</f>
        <v>0</v>
      </c>
      <c r="Q59" s="283">
        <f>MCF!R58</f>
        <v>1</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Amnt_Deposited!N55</f>
        <v>0</v>
      </c>
      <c r="D60" s="417">
        <f>Dry_Matter_Content!N47</f>
        <v>0</v>
      </c>
      <c r="E60" s="283">
        <f>MCF!R59</f>
        <v>1</v>
      </c>
      <c r="F60" s="67">
        <f t="shared" si="0"/>
        <v>0</v>
      </c>
      <c r="G60" s="67">
        <f t="shared" si="1"/>
        <v>0</v>
      </c>
      <c r="H60" s="67">
        <f t="shared" si="2"/>
        <v>0</v>
      </c>
      <c r="I60" s="67">
        <f t="shared" si="3"/>
        <v>0</v>
      </c>
      <c r="J60" s="67">
        <f t="shared" si="4"/>
        <v>0</v>
      </c>
      <c r="K60" s="100">
        <f t="shared" si="6"/>
        <v>0</v>
      </c>
      <c r="O60" s="96">
        <f>Amnt_Deposited!B55</f>
        <v>2041</v>
      </c>
      <c r="P60" s="99">
        <f>Amnt_Deposited!N55</f>
        <v>0</v>
      </c>
      <c r="Q60" s="283">
        <f>MCF!R59</f>
        <v>1</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Amnt_Deposited!N56</f>
        <v>0</v>
      </c>
      <c r="D61" s="417">
        <f>Dry_Matter_Content!N48</f>
        <v>0</v>
      </c>
      <c r="E61" s="283">
        <f>MCF!R60</f>
        <v>1</v>
      </c>
      <c r="F61" s="67">
        <f t="shared" si="0"/>
        <v>0</v>
      </c>
      <c r="G61" s="67">
        <f t="shared" si="1"/>
        <v>0</v>
      </c>
      <c r="H61" s="67">
        <f t="shared" si="2"/>
        <v>0</v>
      </c>
      <c r="I61" s="67">
        <f t="shared" si="3"/>
        <v>0</v>
      </c>
      <c r="J61" s="67">
        <f t="shared" si="4"/>
        <v>0</v>
      </c>
      <c r="K61" s="100">
        <f t="shared" si="6"/>
        <v>0</v>
      </c>
      <c r="O61" s="96">
        <f>Amnt_Deposited!B56</f>
        <v>2042</v>
      </c>
      <c r="P61" s="99">
        <f>Amnt_Deposited!N56</f>
        <v>0</v>
      </c>
      <c r="Q61" s="283">
        <f>MCF!R60</f>
        <v>1</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Amnt_Deposited!N57</f>
        <v>0</v>
      </c>
      <c r="D62" s="417">
        <f>Dry_Matter_Content!N49</f>
        <v>0</v>
      </c>
      <c r="E62" s="283">
        <f>MCF!R61</f>
        <v>1</v>
      </c>
      <c r="F62" s="67">
        <f t="shared" si="0"/>
        <v>0</v>
      </c>
      <c r="G62" s="67">
        <f t="shared" si="1"/>
        <v>0</v>
      </c>
      <c r="H62" s="67">
        <f t="shared" si="2"/>
        <v>0</v>
      </c>
      <c r="I62" s="67">
        <f t="shared" si="3"/>
        <v>0</v>
      </c>
      <c r="J62" s="67">
        <f t="shared" si="4"/>
        <v>0</v>
      </c>
      <c r="K62" s="100">
        <f t="shared" si="6"/>
        <v>0</v>
      </c>
      <c r="O62" s="96">
        <f>Amnt_Deposited!B57</f>
        <v>2043</v>
      </c>
      <c r="P62" s="99">
        <f>Amnt_Deposited!N57</f>
        <v>0</v>
      </c>
      <c r="Q62" s="283">
        <f>MCF!R61</f>
        <v>1</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Amnt_Deposited!N58</f>
        <v>0</v>
      </c>
      <c r="D63" s="417">
        <f>Dry_Matter_Content!N50</f>
        <v>0</v>
      </c>
      <c r="E63" s="283">
        <f>MCF!R62</f>
        <v>1</v>
      </c>
      <c r="F63" s="67">
        <f t="shared" si="0"/>
        <v>0</v>
      </c>
      <c r="G63" s="67">
        <f t="shared" si="1"/>
        <v>0</v>
      </c>
      <c r="H63" s="67">
        <f t="shared" si="2"/>
        <v>0</v>
      </c>
      <c r="I63" s="67">
        <f t="shared" si="3"/>
        <v>0</v>
      </c>
      <c r="J63" s="67">
        <f t="shared" si="4"/>
        <v>0</v>
      </c>
      <c r="K63" s="100">
        <f t="shared" si="6"/>
        <v>0</v>
      </c>
      <c r="O63" s="96">
        <f>Amnt_Deposited!B58</f>
        <v>2044</v>
      </c>
      <c r="P63" s="99">
        <f>Amnt_Deposited!N58</f>
        <v>0</v>
      </c>
      <c r="Q63" s="283">
        <f>MCF!R62</f>
        <v>1</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Amnt_Deposited!N59</f>
        <v>0</v>
      </c>
      <c r="D64" s="417">
        <f>Dry_Matter_Content!N51</f>
        <v>0</v>
      </c>
      <c r="E64" s="283">
        <f>MCF!R63</f>
        <v>1</v>
      </c>
      <c r="F64" s="67">
        <f t="shared" si="0"/>
        <v>0</v>
      </c>
      <c r="G64" s="67">
        <f t="shared" si="1"/>
        <v>0</v>
      </c>
      <c r="H64" s="67">
        <f t="shared" si="2"/>
        <v>0</v>
      </c>
      <c r="I64" s="67">
        <f t="shared" si="3"/>
        <v>0</v>
      </c>
      <c r="J64" s="67">
        <f t="shared" si="4"/>
        <v>0</v>
      </c>
      <c r="K64" s="100">
        <f t="shared" si="6"/>
        <v>0</v>
      </c>
      <c r="O64" s="96">
        <f>Amnt_Deposited!B59</f>
        <v>2045</v>
      </c>
      <c r="P64" s="99">
        <f>Amnt_Deposited!N59</f>
        <v>0</v>
      </c>
      <c r="Q64" s="283">
        <f>MCF!R63</f>
        <v>1</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Amnt_Deposited!N60</f>
        <v>0</v>
      </c>
      <c r="D65" s="417">
        <f>Dry_Matter_Content!N52</f>
        <v>0</v>
      </c>
      <c r="E65" s="283">
        <f>MCF!R64</f>
        <v>1</v>
      </c>
      <c r="F65" s="67">
        <f t="shared" si="0"/>
        <v>0</v>
      </c>
      <c r="G65" s="67">
        <f t="shared" si="1"/>
        <v>0</v>
      </c>
      <c r="H65" s="67">
        <f t="shared" si="2"/>
        <v>0</v>
      </c>
      <c r="I65" s="67">
        <f t="shared" si="3"/>
        <v>0</v>
      </c>
      <c r="J65" s="67">
        <f t="shared" si="4"/>
        <v>0</v>
      </c>
      <c r="K65" s="100">
        <f t="shared" si="6"/>
        <v>0</v>
      </c>
      <c r="O65" s="96">
        <f>Amnt_Deposited!B60</f>
        <v>2046</v>
      </c>
      <c r="P65" s="99">
        <f>Amnt_Deposited!N60</f>
        <v>0</v>
      </c>
      <c r="Q65" s="283">
        <f>MCF!R64</f>
        <v>1</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Amnt_Deposited!N61</f>
        <v>0</v>
      </c>
      <c r="D66" s="417">
        <f>Dry_Matter_Content!N53</f>
        <v>0</v>
      </c>
      <c r="E66" s="283">
        <f>MCF!R65</f>
        <v>1</v>
      </c>
      <c r="F66" s="67">
        <f t="shared" si="0"/>
        <v>0</v>
      </c>
      <c r="G66" s="67">
        <f t="shared" si="1"/>
        <v>0</v>
      </c>
      <c r="H66" s="67">
        <f t="shared" si="2"/>
        <v>0</v>
      </c>
      <c r="I66" s="67">
        <f t="shared" si="3"/>
        <v>0</v>
      </c>
      <c r="J66" s="67">
        <f t="shared" si="4"/>
        <v>0</v>
      </c>
      <c r="K66" s="100">
        <f t="shared" si="6"/>
        <v>0</v>
      </c>
      <c r="O66" s="96">
        <f>Amnt_Deposited!B61</f>
        <v>2047</v>
      </c>
      <c r="P66" s="99">
        <f>Amnt_Deposited!N61</f>
        <v>0</v>
      </c>
      <c r="Q66" s="283">
        <f>MCF!R65</f>
        <v>1</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Amnt_Deposited!N62</f>
        <v>0</v>
      </c>
      <c r="D67" s="417">
        <f>Dry_Matter_Content!N54</f>
        <v>0</v>
      </c>
      <c r="E67" s="283">
        <f>MCF!R66</f>
        <v>1</v>
      </c>
      <c r="F67" s="67">
        <f t="shared" si="0"/>
        <v>0</v>
      </c>
      <c r="G67" s="67">
        <f t="shared" si="1"/>
        <v>0</v>
      </c>
      <c r="H67" s="67">
        <f t="shared" si="2"/>
        <v>0</v>
      </c>
      <c r="I67" s="67">
        <f t="shared" si="3"/>
        <v>0</v>
      </c>
      <c r="J67" s="67">
        <f t="shared" si="4"/>
        <v>0</v>
      </c>
      <c r="K67" s="100">
        <f t="shared" si="6"/>
        <v>0</v>
      </c>
      <c r="O67" s="96">
        <f>Amnt_Deposited!B62</f>
        <v>2048</v>
      </c>
      <c r="P67" s="99">
        <f>Amnt_Deposited!N62</f>
        <v>0</v>
      </c>
      <c r="Q67" s="283">
        <f>MCF!R66</f>
        <v>1</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Amnt_Deposited!N63</f>
        <v>0</v>
      </c>
      <c r="D68" s="417">
        <f>Dry_Matter_Content!N55</f>
        <v>0</v>
      </c>
      <c r="E68" s="283">
        <f>MCF!R67</f>
        <v>1</v>
      </c>
      <c r="F68" s="67">
        <f t="shared" si="0"/>
        <v>0</v>
      </c>
      <c r="G68" s="67">
        <f t="shared" si="1"/>
        <v>0</v>
      </c>
      <c r="H68" s="67">
        <f t="shared" si="2"/>
        <v>0</v>
      </c>
      <c r="I68" s="67">
        <f t="shared" si="3"/>
        <v>0</v>
      </c>
      <c r="J68" s="67">
        <f t="shared" si="4"/>
        <v>0</v>
      </c>
      <c r="K68" s="100">
        <f t="shared" si="6"/>
        <v>0</v>
      </c>
      <c r="O68" s="96">
        <f>Amnt_Deposited!B63</f>
        <v>2049</v>
      </c>
      <c r="P68" s="99">
        <f>Amnt_Deposited!N63</f>
        <v>0</v>
      </c>
      <c r="Q68" s="283">
        <f>MCF!R67</f>
        <v>1</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Amnt_Deposited!N64</f>
        <v>0</v>
      </c>
      <c r="D69" s="417">
        <f>Dry_Matter_Content!N56</f>
        <v>0</v>
      </c>
      <c r="E69" s="283">
        <f>MCF!R68</f>
        <v>1</v>
      </c>
      <c r="F69" s="67">
        <f t="shared" si="0"/>
        <v>0</v>
      </c>
      <c r="G69" s="67">
        <f t="shared" si="1"/>
        <v>0</v>
      </c>
      <c r="H69" s="67">
        <f t="shared" si="2"/>
        <v>0</v>
      </c>
      <c r="I69" s="67">
        <f t="shared" si="3"/>
        <v>0</v>
      </c>
      <c r="J69" s="67">
        <f t="shared" si="4"/>
        <v>0</v>
      </c>
      <c r="K69" s="100">
        <f t="shared" si="6"/>
        <v>0</v>
      </c>
      <c r="O69" s="96">
        <f>Amnt_Deposited!B64</f>
        <v>2050</v>
      </c>
      <c r="P69" s="99">
        <f>Amnt_Deposited!N64</f>
        <v>0</v>
      </c>
      <c r="Q69" s="283">
        <f>MCF!R68</f>
        <v>1</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Amnt_Deposited!N65</f>
        <v>0</v>
      </c>
      <c r="D70" s="417">
        <f>Dry_Matter_Content!N57</f>
        <v>0</v>
      </c>
      <c r="E70" s="283">
        <f>MCF!R69</f>
        <v>1</v>
      </c>
      <c r="F70" s="67">
        <f t="shared" si="0"/>
        <v>0</v>
      </c>
      <c r="G70" s="67">
        <f t="shared" si="1"/>
        <v>0</v>
      </c>
      <c r="H70" s="67">
        <f t="shared" si="2"/>
        <v>0</v>
      </c>
      <c r="I70" s="67">
        <f t="shared" si="3"/>
        <v>0</v>
      </c>
      <c r="J70" s="67">
        <f t="shared" si="4"/>
        <v>0</v>
      </c>
      <c r="K70" s="100">
        <f t="shared" si="6"/>
        <v>0</v>
      </c>
      <c r="O70" s="96">
        <f>Amnt_Deposited!B65</f>
        <v>2051</v>
      </c>
      <c r="P70" s="99">
        <f>Amnt_Deposited!N65</f>
        <v>0</v>
      </c>
      <c r="Q70" s="283">
        <f>MCF!R69</f>
        <v>1</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Amnt_Deposited!N66</f>
        <v>0</v>
      </c>
      <c r="D71" s="417">
        <f>Dry_Matter_Content!N58</f>
        <v>0</v>
      </c>
      <c r="E71" s="283">
        <f>MCF!R70</f>
        <v>1</v>
      </c>
      <c r="F71" s="67">
        <f t="shared" si="0"/>
        <v>0</v>
      </c>
      <c r="G71" s="67">
        <f t="shared" si="1"/>
        <v>0</v>
      </c>
      <c r="H71" s="67">
        <f t="shared" si="2"/>
        <v>0</v>
      </c>
      <c r="I71" s="67">
        <f t="shared" si="3"/>
        <v>0</v>
      </c>
      <c r="J71" s="67">
        <f t="shared" si="4"/>
        <v>0</v>
      </c>
      <c r="K71" s="100">
        <f t="shared" si="6"/>
        <v>0</v>
      </c>
      <c r="O71" s="96">
        <f>Amnt_Deposited!B66</f>
        <v>2052</v>
      </c>
      <c r="P71" s="99">
        <f>Amnt_Deposited!N66</f>
        <v>0</v>
      </c>
      <c r="Q71" s="283">
        <f>MCF!R70</f>
        <v>1</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Amnt_Deposited!N67</f>
        <v>0</v>
      </c>
      <c r="D72" s="417">
        <f>Dry_Matter_Content!N59</f>
        <v>0</v>
      </c>
      <c r="E72" s="283">
        <f>MCF!R71</f>
        <v>1</v>
      </c>
      <c r="F72" s="67">
        <f t="shared" si="0"/>
        <v>0</v>
      </c>
      <c r="G72" s="67">
        <f t="shared" si="1"/>
        <v>0</v>
      </c>
      <c r="H72" s="67">
        <f t="shared" si="2"/>
        <v>0</v>
      </c>
      <c r="I72" s="67">
        <f t="shared" si="3"/>
        <v>0</v>
      </c>
      <c r="J72" s="67">
        <f t="shared" si="4"/>
        <v>0</v>
      </c>
      <c r="K72" s="100">
        <f t="shared" si="6"/>
        <v>0</v>
      </c>
      <c r="O72" s="96">
        <f>Amnt_Deposited!B67</f>
        <v>2053</v>
      </c>
      <c r="P72" s="99">
        <f>Amnt_Deposited!N67</f>
        <v>0</v>
      </c>
      <c r="Q72" s="283">
        <f>MCF!R71</f>
        <v>1</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Amnt_Deposited!N68</f>
        <v>0</v>
      </c>
      <c r="D73" s="417">
        <f>Dry_Matter_Content!N60</f>
        <v>0</v>
      </c>
      <c r="E73" s="283">
        <f>MCF!R72</f>
        <v>1</v>
      </c>
      <c r="F73" s="67">
        <f t="shared" si="0"/>
        <v>0</v>
      </c>
      <c r="G73" s="67">
        <f t="shared" si="1"/>
        <v>0</v>
      </c>
      <c r="H73" s="67">
        <f t="shared" si="2"/>
        <v>0</v>
      </c>
      <c r="I73" s="67">
        <f t="shared" si="3"/>
        <v>0</v>
      </c>
      <c r="J73" s="67">
        <f t="shared" si="4"/>
        <v>0</v>
      </c>
      <c r="K73" s="100">
        <f t="shared" si="6"/>
        <v>0</v>
      </c>
      <c r="O73" s="96">
        <f>Amnt_Deposited!B68</f>
        <v>2054</v>
      </c>
      <c r="P73" s="99">
        <f>Amnt_Deposited!N68</f>
        <v>0</v>
      </c>
      <c r="Q73" s="283">
        <f>MCF!R72</f>
        <v>1</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Amnt_Deposited!N69</f>
        <v>0</v>
      </c>
      <c r="D74" s="417">
        <f>Dry_Matter_Content!N61</f>
        <v>0</v>
      </c>
      <c r="E74" s="283">
        <f>MCF!R73</f>
        <v>1</v>
      </c>
      <c r="F74" s="67">
        <f t="shared" si="0"/>
        <v>0</v>
      </c>
      <c r="G74" s="67">
        <f t="shared" si="1"/>
        <v>0</v>
      </c>
      <c r="H74" s="67">
        <f t="shared" si="2"/>
        <v>0</v>
      </c>
      <c r="I74" s="67">
        <f t="shared" si="3"/>
        <v>0</v>
      </c>
      <c r="J74" s="67">
        <f t="shared" si="4"/>
        <v>0</v>
      </c>
      <c r="K74" s="100">
        <f t="shared" si="6"/>
        <v>0</v>
      </c>
      <c r="O74" s="96">
        <f>Amnt_Deposited!B69</f>
        <v>2055</v>
      </c>
      <c r="P74" s="99">
        <f>Amnt_Deposited!N69</f>
        <v>0</v>
      </c>
      <c r="Q74" s="283">
        <f>MCF!R73</f>
        <v>1</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Amnt_Deposited!N70</f>
        <v>0</v>
      </c>
      <c r="D75" s="417">
        <f>Dry_Matter_Content!N62</f>
        <v>0</v>
      </c>
      <c r="E75" s="283">
        <f>MCF!R74</f>
        <v>1</v>
      </c>
      <c r="F75" s="67">
        <f t="shared" si="0"/>
        <v>0</v>
      </c>
      <c r="G75" s="67">
        <f t="shared" si="1"/>
        <v>0</v>
      </c>
      <c r="H75" s="67">
        <f t="shared" si="2"/>
        <v>0</v>
      </c>
      <c r="I75" s="67">
        <f t="shared" si="3"/>
        <v>0</v>
      </c>
      <c r="J75" s="67">
        <f t="shared" si="4"/>
        <v>0</v>
      </c>
      <c r="K75" s="100">
        <f t="shared" si="6"/>
        <v>0</v>
      </c>
      <c r="O75" s="96">
        <f>Amnt_Deposited!B70</f>
        <v>2056</v>
      </c>
      <c r="P75" s="99">
        <f>Amnt_Deposited!N70</f>
        <v>0</v>
      </c>
      <c r="Q75" s="283">
        <f>MCF!R74</f>
        <v>1</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Amnt_Deposited!N71</f>
        <v>0</v>
      </c>
      <c r="D76" s="417">
        <f>Dry_Matter_Content!N63</f>
        <v>0</v>
      </c>
      <c r="E76" s="283">
        <f>MCF!R75</f>
        <v>1</v>
      </c>
      <c r="F76" s="67">
        <f t="shared" si="0"/>
        <v>0</v>
      </c>
      <c r="G76" s="67">
        <f t="shared" si="1"/>
        <v>0</v>
      </c>
      <c r="H76" s="67">
        <f t="shared" si="2"/>
        <v>0</v>
      </c>
      <c r="I76" s="67">
        <f t="shared" si="3"/>
        <v>0</v>
      </c>
      <c r="J76" s="67">
        <f t="shared" si="4"/>
        <v>0</v>
      </c>
      <c r="K76" s="100">
        <f t="shared" si="6"/>
        <v>0</v>
      </c>
      <c r="O76" s="96">
        <f>Amnt_Deposited!B71</f>
        <v>2057</v>
      </c>
      <c r="P76" s="99">
        <f>Amnt_Deposited!N71</f>
        <v>0</v>
      </c>
      <c r="Q76" s="283">
        <f>MCF!R75</f>
        <v>1</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Amnt_Deposited!N72</f>
        <v>0</v>
      </c>
      <c r="D77" s="417">
        <f>Dry_Matter_Content!N64</f>
        <v>0</v>
      </c>
      <c r="E77" s="283">
        <f>MCF!R76</f>
        <v>1</v>
      </c>
      <c r="F77" s="67">
        <f t="shared" si="0"/>
        <v>0</v>
      </c>
      <c r="G77" s="67">
        <f t="shared" si="1"/>
        <v>0</v>
      </c>
      <c r="H77" s="67">
        <f t="shared" si="2"/>
        <v>0</v>
      </c>
      <c r="I77" s="67">
        <f t="shared" si="3"/>
        <v>0</v>
      </c>
      <c r="J77" s="67">
        <f t="shared" si="4"/>
        <v>0</v>
      </c>
      <c r="K77" s="100">
        <f t="shared" si="6"/>
        <v>0</v>
      </c>
      <c r="O77" s="96">
        <f>Amnt_Deposited!B72</f>
        <v>2058</v>
      </c>
      <c r="P77" s="99">
        <f>Amnt_Deposited!N72</f>
        <v>0</v>
      </c>
      <c r="Q77" s="283">
        <f>MCF!R76</f>
        <v>1</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Amnt_Deposited!N73</f>
        <v>0</v>
      </c>
      <c r="D78" s="417">
        <f>Dry_Matter_Content!N65</f>
        <v>0</v>
      </c>
      <c r="E78" s="283">
        <f>MCF!R77</f>
        <v>1</v>
      </c>
      <c r="F78" s="67">
        <f t="shared" si="0"/>
        <v>0</v>
      </c>
      <c r="G78" s="67">
        <f t="shared" si="1"/>
        <v>0</v>
      </c>
      <c r="H78" s="67">
        <f t="shared" si="2"/>
        <v>0</v>
      </c>
      <c r="I78" s="67">
        <f t="shared" si="3"/>
        <v>0</v>
      </c>
      <c r="J78" s="67">
        <f t="shared" si="4"/>
        <v>0</v>
      </c>
      <c r="K78" s="100">
        <f t="shared" si="6"/>
        <v>0</v>
      </c>
      <c r="O78" s="96">
        <f>Amnt_Deposited!B73</f>
        <v>2059</v>
      </c>
      <c r="P78" s="99">
        <f>Amnt_Deposited!N73</f>
        <v>0</v>
      </c>
      <c r="Q78" s="283">
        <f>MCF!R77</f>
        <v>1</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Amnt_Deposited!N74</f>
        <v>0</v>
      </c>
      <c r="D79" s="417">
        <f>Dry_Matter_Content!N66</f>
        <v>0</v>
      </c>
      <c r="E79" s="283">
        <f>MCF!R78</f>
        <v>1</v>
      </c>
      <c r="F79" s="67">
        <f t="shared" si="0"/>
        <v>0</v>
      </c>
      <c r="G79" s="67">
        <f t="shared" si="1"/>
        <v>0</v>
      </c>
      <c r="H79" s="67">
        <f t="shared" si="2"/>
        <v>0</v>
      </c>
      <c r="I79" s="67">
        <f t="shared" si="3"/>
        <v>0</v>
      </c>
      <c r="J79" s="67">
        <f t="shared" si="4"/>
        <v>0</v>
      </c>
      <c r="K79" s="100">
        <f t="shared" si="6"/>
        <v>0</v>
      </c>
      <c r="O79" s="96">
        <f>Amnt_Deposited!B74</f>
        <v>2060</v>
      </c>
      <c r="P79" s="99">
        <f>Amnt_Deposited!N74</f>
        <v>0</v>
      </c>
      <c r="Q79" s="283">
        <f>MCF!R78</f>
        <v>1</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Amnt_Deposited!N75</f>
        <v>0</v>
      </c>
      <c r="D80" s="417">
        <f>Dry_Matter_Content!N67</f>
        <v>0</v>
      </c>
      <c r="E80" s="283">
        <f>MCF!R79</f>
        <v>1</v>
      </c>
      <c r="F80" s="67">
        <f t="shared" si="0"/>
        <v>0</v>
      </c>
      <c r="G80" s="67">
        <f t="shared" si="1"/>
        <v>0</v>
      </c>
      <c r="H80" s="67">
        <f t="shared" si="2"/>
        <v>0</v>
      </c>
      <c r="I80" s="67">
        <f t="shared" si="3"/>
        <v>0</v>
      </c>
      <c r="J80" s="67">
        <f t="shared" si="4"/>
        <v>0</v>
      </c>
      <c r="K80" s="100">
        <f t="shared" si="6"/>
        <v>0</v>
      </c>
      <c r="O80" s="96">
        <f>Amnt_Deposited!B75</f>
        <v>2061</v>
      </c>
      <c r="P80" s="99">
        <f>Amnt_Deposited!N75</f>
        <v>0</v>
      </c>
      <c r="Q80" s="283">
        <f>MCF!R79</f>
        <v>1</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Amnt_Deposited!N76</f>
        <v>0</v>
      </c>
      <c r="D81" s="417">
        <f>Dry_Matter_Content!N68</f>
        <v>0</v>
      </c>
      <c r="E81" s="283">
        <f>MCF!R80</f>
        <v>1</v>
      </c>
      <c r="F81" s="67">
        <f t="shared" si="0"/>
        <v>0</v>
      </c>
      <c r="G81" s="67">
        <f t="shared" si="1"/>
        <v>0</v>
      </c>
      <c r="H81" s="67">
        <f t="shared" si="2"/>
        <v>0</v>
      </c>
      <c r="I81" s="67">
        <f t="shared" si="3"/>
        <v>0</v>
      </c>
      <c r="J81" s="67">
        <f t="shared" si="4"/>
        <v>0</v>
      </c>
      <c r="K81" s="100">
        <f t="shared" si="6"/>
        <v>0</v>
      </c>
      <c r="O81" s="96">
        <f>Amnt_Deposited!B76</f>
        <v>2062</v>
      </c>
      <c r="P81" s="99">
        <f>Amnt_Deposited!N76</f>
        <v>0</v>
      </c>
      <c r="Q81" s="283">
        <f>MCF!R80</f>
        <v>1</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Amnt_Deposited!N77</f>
        <v>0</v>
      </c>
      <c r="D82" s="417">
        <f>Dry_Matter_Content!N69</f>
        <v>0</v>
      </c>
      <c r="E82" s="283">
        <f>MCF!R81</f>
        <v>1</v>
      </c>
      <c r="F82" s="67">
        <f t="shared" si="0"/>
        <v>0</v>
      </c>
      <c r="G82" s="67">
        <f t="shared" si="1"/>
        <v>0</v>
      </c>
      <c r="H82" s="67">
        <f t="shared" si="2"/>
        <v>0</v>
      </c>
      <c r="I82" s="67">
        <f t="shared" si="3"/>
        <v>0</v>
      </c>
      <c r="J82" s="67">
        <f t="shared" si="4"/>
        <v>0</v>
      </c>
      <c r="K82" s="100">
        <f t="shared" si="6"/>
        <v>0</v>
      </c>
      <c r="O82" s="96">
        <f>Amnt_Deposited!B77</f>
        <v>2063</v>
      </c>
      <c r="P82" s="99">
        <f>Amnt_Deposited!N77</f>
        <v>0</v>
      </c>
      <c r="Q82" s="283">
        <f>MCF!R81</f>
        <v>1</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Amnt_Deposited!N78</f>
        <v>0</v>
      </c>
      <c r="D83" s="417">
        <f>Dry_Matter_Content!N70</f>
        <v>0</v>
      </c>
      <c r="E83" s="283">
        <f>MCF!R82</f>
        <v>1</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Amnt_Deposited!N78</f>
        <v>0</v>
      </c>
      <c r="Q83" s="283">
        <f>MCF!R82</f>
        <v>1</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Amnt_Deposited!N79</f>
        <v>0</v>
      </c>
      <c r="D84" s="417">
        <f>Dry_Matter_Content!N71</f>
        <v>0</v>
      </c>
      <c r="E84" s="283">
        <f>MCF!R83</f>
        <v>1</v>
      </c>
      <c r="F84" s="67">
        <f t="shared" si="12"/>
        <v>0</v>
      </c>
      <c r="G84" s="67">
        <f t="shared" si="13"/>
        <v>0</v>
      </c>
      <c r="H84" s="67">
        <f t="shared" si="14"/>
        <v>0</v>
      </c>
      <c r="I84" s="67">
        <f t="shared" si="15"/>
        <v>0</v>
      </c>
      <c r="J84" s="67">
        <f t="shared" si="16"/>
        <v>0</v>
      </c>
      <c r="K84" s="100">
        <f t="shared" si="6"/>
        <v>0</v>
      </c>
      <c r="O84" s="96">
        <f>Amnt_Deposited!B79</f>
        <v>2065</v>
      </c>
      <c r="P84" s="99">
        <f>Amnt_Deposited!N79</f>
        <v>0</v>
      </c>
      <c r="Q84" s="283">
        <f>MCF!R83</f>
        <v>1</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Amnt_Deposited!N80</f>
        <v>0</v>
      </c>
      <c r="D85" s="417">
        <f>Dry_Matter_Content!N72</f>
        <v>0</v>
      </c>
      <c r="E85" s="283">
        <f>MCF!R84</f>
        <v>1</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Amnt_Deposited!N80</f>
        <v>0</v>
      </c>
      <c r="Q85" s="283">
        <f>MCF!R84</f>
        <v>1</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Amnt_Deposited!N81</f>
        <v>0</v>
      </c>
      <c r="D86" s="417">
        <f>Dry_Matter_Content!N73</f>
        <v>0</v>
      </c>
      <c r="E86" s="283">
        <f>MCF!R85</f>
        <v>1</v>
      </c>
      <c r="F86" s="67">
        <f t="shared" si="12"/>
        <v>0</v>
      </c>
      <c r="G86" s="67">
        <f t="shared" si="13"/>
        <v>0</v>
      </c>
      <c r="H86" s="67">
        <f t="shared" si="14"/>
        <v>0</v>
      </c>
      <c r="I86" s="67">
        <f t="shared" si="15"/>
        <v>0</v>
      </c>
      <c r="J86" s="67">
        <f t="shared" si="16"/>
        <v>0</v>
      </c>
      <c r="K86" s="100">
        <f t="shared" si="18"/>
        <v>0</v>
      </c>
      <c r="O86" s="96">
        <f>Amnt_Deposited!B81</f>
        <v>2067</v>
      </c>
      <c r="P86" s="99">
        <f>Amnt_Deposited!N81</f>
        <v>0</v>
      </c>
      <c r="Q86" s="283">
        <f>MCF!R85</f>
        <v>1</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Amnt_Deposited!N82</f>
        <v>0</v>
      </c>
      <c r="D87" s="417">
        <f>Dry_Matter_Content!N74</f>
        <v>0</v>
      </c>
      <c r="E87" s="283">
        <f>MCF!R86</f>
        <v>1</v>
      </c>
      <c r="F87" s="67">
        <f t="shared" si="12"/>
        <v>0</v>
      </c>
      <c r="G87" s="67">
        <f t="shared" si="13"/>
        <v>0</v>
      </c>
      <c r="H87" s="67">
        <f t="shared" si="14"/>
        <v>0</v>
      </c>
      <c r="I87" s="67">
        <f t="shared" si="15"/>
        <v>0</v>
      </c>
      <c r="J87" s="67">
        <f t="shared" si="16"/>
        <v>0</v>
      </c>
      <c r="K87" s="100">
        <f t="shared" si="18"/>
        <v>0</v>
      </c>
      <c r="O87" s="96">
        <f>Amnt_Deposited!B82</f>
        <v>2068</v>
      </c>
      <c r="P87" s="99">
        <f>Amnt_Deposited!N82</f>
        <v>0</v>
      </c>
      <c r="Q87" s="283">
        <f>MCF!R86</f>
        <v>1</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Amnt_Deposited!N83</f>
        <v>0</v>
      </c>
      <c r="D88" s="417">
        <f>Dry_Matter_Content!N75</f>
        <v>0</v>
      </c>
      <c r="E88" s="283">
        <f>MCF!R87</f>
        <v>1</v>
      </c>
      <c r="F88" s="67">
        <f t="shared" si="12"/>
        <v>0</v>
      </c>
      <c r="G88" s="67">
        <f t="shared" si="13"/>
        <v>0</v>
      </c>
      <c r="H88" s="67">
        <f t="shared" si="14"/>
        <v>0</v>
      </c>
      <c r="I88" s="67">
        <f t="shared" si="15"/>
        <v>0</v>
      </c>
      <c r="J88" s="67">
        <f t="shared" si="16"/>
        <v>0</v>
      </c>
      <c r="K88" s="100">
        <f t="shared" si="18"/>
        <v>0</v>
      </c>
      <c r="O88" s="96">
        <f>Amnt_Deposited!B83</f>
        <v>2069</v>
      </c>
      <c r="P88" s="99">
        <f>Amnt_Deposited!N83</f>
        <v>0</v>
      </c>
      <c r="Q88" s="283">
        <f>MCF!R87</f>
        <v>1</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Amnt_Deposited!N84</f>
        <v>0</v>
      </c>
      <c r="D89" s="417">
        <f>Dry_Matter_Content!N76</f>
        <v>0</v>
      </c>
      <c r="E89" s="283">
        <f>MCF!R88</f>
        <v>1</v>
      </c>
      <c r="F89" s="67">
        <f t="shared" si="12"/>
        <v>0</v>
      </c>
      <c r="G89" s="67">
        <f t="shared" si="13"/>
        <v>0</v>
      </c>
      <c r="H89" s="67">
        <f t="shared" si="14"/>
        <v>0</v>
      </c>
      <c r="I89" s="67">
        <f t="shared" si="15"/>
        <v>0</v>
      </c>
      <c r="J89" s="67">
        <f t="shared" si="16"/>
        <v>0</v>
      </c>
      <c r="K89" s="100">
        <f t="shared" si="18"/>
        <v>0</v>
      </c>
      <c r="O89" s="96">
        <f>Amnt_Deposited!B84</f>
        <v>2070</v>
      </c>
      <c r="P89" s="99">
        <f>Amnt_Deposited!N84</f>
        <v>0</v>
      </c>
      <c r="Q89" s="283">
        <f>MCF!R88</f>
        <v>1</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Amnt_Deposited!N85</f>
        <v>0</v>
      </c>
      <c r="D90" s="417">
        <f>Dry_Matter_Content!N77</f>
        <v>0</v>
      </c>
      <c r="E90" s="283">
        <f>MCF!R89</f>
        <v>1</v>
      </c>
      <c r="F90" s="67">
        <f t="shared" si="12"/>
        <v>0</v>
      </c>
      <c r="G90" s="67">
        <f t="shared" si="13"/>
        <v>0</v>
      </c>
      <c r="H90" s="67">
        <f t="shared" si="14"/>
        <v>0</v>
      </c>
      <c r="I90" s="67">
        <f t="shared" si="15"/>
        <v>0</v>
      </c>
      <c r="J90" s="67">
        <f t="shared" si="16"/>
        <v>0</v>
      </c>
      <c r="K90" s="100">
        <f t="shared" si="18"/>
        <v>0</v>
      </c>
      <c r="O90" s="96">
        <f>Amnt_Deposited!B85</f>
        <v>2071</v>
      </c>
      <c r="P90" s="99">
        <f>Amnt_Deposited!N85</f>
        <v>0</v>
      </c>
      <c r="Q90" s="283">
        <f>MCF!R89</f>
        <v>1</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Amnt_Deposited!N86</f>
        <v>0</v>
      </c>
      <c r="D91" s="417">
        <f>Dry_Matter_Content!N78</f>
        <v>0</v>
      </c>
      <c r="E91" s="283">
        <f>MCF!R90</f>
        <v>1</v>
      </c>
      <c r="F91" s="67">
        <f t="shared" si="12"/>
        <v>0</v>
      </c>
      <c r="G91" s="67">
        <f t="shared" si="13"/>
        <v>0</v>
      </c>
      <c r="H91" s="67">
        <f t="shared" si="14"/>
        <v>0</v>
      </c>
      <c r="I91" s="67">
        <f t="shared" si="15"/>
        <v>0</v>
      </c>
      <c r="J91" s="67">
        <f t="shared" si="16"/>
        <v>0</v>
      </c>
      <c r="K91" s="100">
        <f t="shared" si="18"/>
        <v>0</v>
      </c>
      <c r="O91" s="96">
        <f>Amnt_Deposited!B86</f>
        <v>2072</v>
      </c>
      <c r="P91" s="99">
        <f>Amnt_Deposited!N86</f>
        <v>0</v>
      </c>
      <c r="Q91" s="283">
        <f>MCF!R90</f>
        <v>1</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Amnt_Deposited!N87</f>
        <v>0</v>
      </c>
      <c r="D92" s="417">
        <f>Dry_Matter_Content!N79</f>
        <v>0</v>
      </c>
      <c r="E92" s="283">
        <f>MCF!R91</f>
        <v>1</v>
      </c>
      <c r="F92" s="67">
        <f t="shared" si="12"/>
        <v>0</v>
      </c>
      <c r="G92" s="67">
        <f t="shared" si="13"/>
        <v>0</v>
      </c>
      <c r="H92" s="67">
        <f t="shared" si="14"/>
        <v>0</v>
      </c>
      <c r="I92" s="67">
        <f t="shared" si="15"/>
        <v>0</v>
      </c>
      <c r="J92" s="67">
        <f t="shared" si="16"/>
        <v>0</v>
      </c>
      <c r="K92" s="100">
        <f t="shared" si="18"/>
        <v>0</v>
      </c>
      <c r="O92" s="96">
        <f>Amnt_Deposited!B87</f>
        <v>2073</v>
      </c>
      <c r="P92" s="99">
        <f>Amnt_Deposited!N87</f>
        <v>0</v>
      </c>
      <c r="Q92" s="283">
        <f>MCF!R91</f>
        <v>1</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Amnt_Deposited!N88</f>
        <v>0</v>
      </c>
      <c r="D93" s="417">
        <f>Dry_Matter_Content!N80</f>
        <v>0</v>
      </c>
      <c r="E93" s="283">
        <f>MCF!R92</f>
        <v>1</v>
      </c>
      <c r="F93" s="67">
        <f t="shared" si="12"/>
        <v>0</v>
      </c>
      <c r="G93" s="67">
        <f t="shared" si="13"/>
        <v>0</v>
      </c>
      <c r="H93" s="67">
        <f t="shared" si="14"/>
        <v>0</v>
      </c>
      <c r="I93" s="67">
        <f t="shared" si="15"/>
        <v>0</v>
      </c>
      <c r="J93" s="67">
        <f t="shared" si="16"/>
        <v>0</v>
      </c>
      <c r="K93" s="100">
        <f t="shared" si="18"/>
        <v>0</v>
      </c>
      <c r="O93" s="96">
        <f>Amnt_Deposited!B88</f>
        <v>2074</v>
      </c>
      <c r="P93" s="99">
        <f>Amnt_Deposited!N88</f>
        <v>0</v>
      </c>
      <c r="Q93" s="283">
        <f>MCF!R92</f>
        <v>1</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Amnt_Deposited!N89</f>
        <v>0</v>
      </c>
      <c r="D94" s="417">
        <f>Dry_Matter_Content!N81</f>
        <v>0</v>
      </c>
      <c r="E94" s="283">
        <f>MCF!R93</f>
        <v>1</v>
      </c>
      <c r="F94" s="67">
        <f t="shared" si="12"/>
        <v>0</v>
      </c>
      <c r="G94" s="67">
        <f t="shared" si="13"/>
        <v>0</v>
      </c>
      <c r="H94" s="67">
        <f t="shared" si="14"/>
        <v>0</v>
      </c>
      <c r="I94" s="67">
        <f t="shared" si="15"/>
        <v>0</v>
      </c>
      <c r="J94" s="67">
        <f t="shared" si="16"/>
        <v>0</v>
      </c>
      <c r="K94" s="100">
        <f t="shared" si="18"/>
        <v>0</v>
      </c>
      <c r="O94" s="96">
        <f>Amnt_Deposited!B89</f>
        <v>2075</v>
      </c>
      <c r="P94" s="99">
        <f>Amnt_Deposited!N89</f>
        <v>0</v>
      </c>
      <c r="Q94" s="283">
        <f>MCF!R93</f>
        <v>1</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Amnt_Deposited!N90</f>
        <v>0</v>
      </c>
      <c r="D95" s="417">
        <f>Dry_Matter_Content!N82</f>
        <v>0</v>
      </c>
      <c r="E95" s="283">
        <f>MCF!R94</f>
        <v>1</v>
      </c>
      <c r="F95" s="67">
        <f t="shared" si="12"/>
        <v>0</v>
      </c>
      <c r="G95" s="67">
        <f t="shared" si="13"/>
        <v>0</v>
      </c>
      <c r="H95" s="67">
        <f t="shared" si="14"/>
        <v>0</v>
      </c>
      <c r="I95" s="67">
        <f t="shared" si="15"/>
        <v>0</v>
      </c>
      <c r="J95" s="67">
        <f t="shared" si="16"/>
        <v>0</v>
      </c>
      <c r="K95" s="100">
        <f t="shared" si="18"/>
        <v>0</v>
      </c>
      <c r="O95" s="96">
        <f>Amnt_Deposited!B90</f>
        <v>2076</v>
      </c>
      <c r="P95" s="99">
        <f>Amnt_Deposited!N90</f>
        <v>0</v>
      </c>
      <c r="Q95" s="283">
        <f>MCF!R94</f>
        <v>1</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Amnt_Deposited!N91</f>
        <v>0</v>
      </c>
      <c r="D96" s="417">
        <f>Dry_Matter_Content!N83</f>
        <v>0</v>
      </c>
      <c r="E96" s="283">
        <f>MCF!R95</f>
        <v>1</v>
      </c>
      <c r="F96" s="67">
        <f t="shared" si="12"/>
        <v>0</v>
      </c>
      <c r="G96" s="67">
        <f t="shared" si="13"/>
        <v>0</v>
      </c>
      <c r="H96" s="67">
        <f t="shared" si="14"/>
        <v>0</v>
      </c>
      <c r="I96" s="67">
        <f t="shared" si="15"/>
        <v>0</v>
      </c>
      <c r="J96" s="67">
        <f t="shared" si="16"/>
        <v>0</v>
      </c>
      <c r="K96" s="100">
        <f t="shared" si="18"/>
        <v>0</v>
      </c>
      <c r="O96" s="96">
        <f>Amnt_Deposited!B91</f>
        <v>2077</v>
      </c>
      <c r="P96" s="99">
        <f>Amnt_Deposited!N91</f>
        <v>0</v>
      </c>
      <c r="Q96" s="283">
        <f>MCF!R95</f>
        <v>1</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Amnt_Deposited!N92</f>
        <v>0</v>
      </c>
      <c r="D97" s="417">
        <f>Dry_Matter_Content!N84</f>
        <v>0</v>
      </c>
      <c r="E97" s="283">
        <f>MCF!R96</f>
        <v>1</v>
      </c>
      <c r="F97" s="67">
        <f t="shared" si="12"/>
        <v>0</v>
      </c>
      <c r="G97" s="67">
        <f t="shared" si="13"/>
        <v>0</v>
      </c>
      <c r="H97" s="67">
        <f t="shared" si="14"/>
        <v>0</v>
      </c>
      <c r="I97" s="67">
        <f t="shared" si="15"/>
        <v>0</v>
      </c>
      <c r="J97" s="67">
        <f t="shared" si="16"/>
        <v>0</v>
      </c>
      <c r="K97" s="100">
        <f t="shared" si="18"/>
        <v>0</v>
      </c>
      <c r="O97" s="96">
        <f>Amnt_Deposited!B92</f>
        <v>2078</v>
      </c>
      <c r="P97" s="99">
        <f>Amnt_Deposited!N92</f>
        <v>0</v>
      </c>
      <c r="Q97" s="283">
        <f>MCF!R96</f>
        <v>1</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Amnt_Deposited!N93</f>
        <v>0</v>
      </c>
      <c r="D98" s="417">
        <f>Dry_Matter_Content!N85</f>
        <v>0</v>
      </c>
      <c r="E98" s="283">
        <f>MCF!R97</f>
        <v>1</v>
      </c>
      <c r="F98" s="67">
        <f t="shared" si="12"/>
        <v>0</v>
      </c>
      <c r="G98" s="67">
        <f t="shared" si="13"/>
        <v>0</v>
      </c>
      <c r="H98" s="67">
        <f t="shared" si="14"/>
        <v>0</v>
      </c>
      <c r="I98" s="67">
        <f t="shared" si="15"/>
        <v>0</v>
      </c>
      <c r="J98" s="67">
        <f t="shared" si="16"/>
        <v>0</v>
      </c>
      <c r="K98" s="100">
        <f t="shared" si="18"/>
        <v>0</v>
      </c>
      <c r="O98" s="96">
        <f>Amnt_Deposited!B93</f>
        <v>2079</v>
      </c>
      <c r="P98" s="99">
        <f>Amnt_Deposited!N93</f>
        <v>0</v>
      </c>
      <c r="Q98" s="283">
        <f>MCF!R97</f>
        <v>1</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Amnt_Deposited!N94</f>
        <v>0</v>
      </c>
      <c r="D99" s="418">
        <f>Dry_Matter_Content!N86</f>
        <v>0</v>
      </c>
      <c r="E99" s="284">
        <f>MCF!R98</f>
        <v>1</v>
      </c>
      <c r="F99" s="68">
        <f t="shared" si="12"/>
        <v>0</v>
      </c>
      <c r="G99" s="68">
        <f t="shared" si="13"/>
        <v>0</v>
      </c>
      <c r="H99" s="68">
        <f t="shared" si="14"/>
        <v>0</v>
      </c>
      <c r="I99" s="68">
        <f t="shared" si="15"/>
        <v>0</v>
      </c>
      <c r="J99" s="68">
        <f t="shared" si="16"/>
        <v>0</v>
      </c>
      <c r="K99" s="102">
        <f t="shared" si="18"/>
        <v>0</v>
      </c>
      <c r="O99" s="97">
        <f>Amnt_Deposited!B94</f>
        <v>2080</v>
      </c>
      <c r="P99" s="99">
        <f>Amnt_Deposited!N94</f>
        <v>0</v>
      </c>
      <c r="Q99" s="284">
        <f>MCF!R98</f>
        <v>1</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topLeftCell="A16" workbookViewId="0">
      <selection activeCell="C19" sqref="C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309</v>
      </c>
      <c r="C2" s="223"/>
      <c r="D2" s="223"/>
      <c r="E2" s="224"/>
      <c r="F2" s="225"/>
      <c r="G2" s="225"/>
      <c r="H2" s="225"/>
      <c r="I2" s="225"/>
      <c r="J2" s="225"/>
      <c r="K2" s="225"/>
    </row>
    <row r="3" spans="1:23" ht="15">
      <c r="B3" s="242" t="str">
        <f>IF(Select2=1,"This sheet applies only to the bulk waste option and can be deleted when the waste composition option has been chosen","")</f>
        <v>This sheet applies only to the bulk waste option and can be deleted when the waste composition option has been chosen</v>
      </c>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260">
        <f>Parameters!O26</f>
        <v>0</v>
      </c>
      <c r="O6" s="229"/>
      <c r="P6" s="230"/>
      <c r="Q6" s="222"/>
      <c r="R6" s="108" t="s">
        <v>9</v>
      </c>
      <c r="S6" s="109"/>
      <c r="T6" s="109"/>
      <c r="U6" s="113"/>
      <c r="V6" s="120" t="s">
        <v>9</v>
      </c>
      <c r="W6" s="260">
        <f>Parameters!R26</f>
        <v>0</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Parameters!O45</f>
        <v>0</v>
      </c>
      <c r="O8" s="47"/>
      <c r="P8" s="47"/>
      <c r="Q8" s="222"/>
      <c r="R8" s="108" t="s">
        <v>192</v>
      </c>
      <c r="S8" s="109"/>
      <c r="T8" s="109"/>
      <c r="U8" s="113"/>
      <c r="V8" s="120" t="s">
        <v>188</v>
      </c>
      <c r="W8" s="114">
        <f>Parameters!O45</f>
        <v>0</v>
      </c>
    </row>
    <row r="9" spans="1:23" ht="15.75">
      <c r="F9" s="246" t="s">
        <v>190</v>
      </c>
      <c r="G9" s="247"/>
      <c r="H9" s="247"/>
      <c r="I9" s="248"/>
      <c r="J9" s="249" t="s">
        <v>189</v>
      </c>
      <c r="K9" s="255" t="e">
        <f>LN(2)/$K$8</f>
        <v>#DIV/0!</v>
      </c>
      <c r="O9" s="47"/>
      <c r="P9" s="47"/>
      <c r="Q9" s="222"/>
      <c r="R9" s="246" t="s">
        <v>190</v>
      </c>
      <c r="S9" s="247"/>
      <c r="T9" s="247"/>
      <c r="U9" s="248"/>
      <c r="V9" s="249" t="s">
        <v>189</v>
      </c>
      <c r="W9" s="255" t="e">
        <f>LN(2)/$W$8</f>
        <v>#DIV/0!</v>
      </c>
    </row>
    <row r="10" spans="1:23">
      <c r="F10" s="110" t="s">
        <v>84</v>
      </c>
      <c r="G10" s="111"/>
      <c r="H10" s="111"/>
      <c r="I10" s="112"/>
      <c r="J10" s="121" t="s">
        <v>148</v>
      </c>
      <c r="K10" s="49">
        <f>EXP(-$K$8)</f>
        <v>1</v>
      </c>
      <c r="O10" s="47"/>
      <c r="P10" s="47"/>
      <c r="Q10" s="222"/>
      <c r="R10" s="110" t="s">
        <v>84</v>
      </c>
      <c r="S10" s="111"/>
      <c r="T10" s="111"/>
      <c r="U10" s="112"/>
      <c r="V10" s="121" t="s">
        <v>148</v>
      </c>
      <c r="W10" s="49">
        <f>EXP(-$W$8)</f>
        <v>1</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Amnt_Deposited!O14</f>
        <v>28.291980486</v>
      </c>
      <c r="D19" s="415">
        <f>Dry_Matter_Content!O6</f>
        <v>0</v>
      </c>
      <c r="E19" s="282">
        <f>MCF!R18</f>
        <v>1</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Amnt_Deposited!O14</f>
        <v>28.291980486</v>
      </c>
      <c r="Q19" s="282">
        <f>MCF!R18</f>
        <v>1</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Amnt_Deposited!O15</f>
        <v>28.654433389999994</v>
      </c>
      <c r="D20" s="417">
        <f>Dry_Matter_Content!O7</f>
        <v>0</v>
      </c>
      <c r="E20" s="283">
        <f>MCF!R19</f>
        <v>1</v>
      </c>
      <c r="F20" s="67">
        <f t="shared" si="0"/>
        <v>0</v>
      </c>
      <c r="G20" s="67">
        <f t="shared" si="1"/>
        <v>0</v>
      </c>
      <c r="H20" s="67">
        <f t="shared" si="2"/>
        <v>0</v>
      </c>
      <c r="I20" s="67">
        <f t="shared" si="3"/>
        <v>0</v>
      </c>
      <c r="J20" s="67">
        <f t="shared" si="4"/>
        <v>0</v>
      </c>
      <c r="K20" s="100">
        <f>J20*CH4_fraction*conv</f>
        <v>0</v>
      </c>
      <c r="M20" s="392"/>
      <c r="O20" s="96">
        <f>Amnt_Deposited!B15</f>
        <v>2001</v>
      </c>
      <c r="P20" s="99">
        <f>Amnt_Deposited!O15</f>
        <v>28.654433389999994</v>
      </c>
      <c r="Q20" s="283">
        <f>MCF!R19</f>
        <v>1</v>
      </c>
      <c r="R20" s="67">
        <f t="shared" si="5"/>
        <v>0</v>
      </c>
      <c r="S20" s="67">
        <f>R20*$W$12</f>
        <v>0</v>
      </c>
      <c r="T20" s="67">
        <f>R20*(1-$W$12)</f>
        <v>0</v>
      </c>
      <c r="U20" s="67">
        <f>S20+U19*$W$10</f>
        <v>0</v>
      </c>
      <c r="V20" s="67">
        <f>U19*(1-$W$10)+T20</f>
        <v>0</v>
      </c>
      <c r="W20" s="100">
        <f>V20*CH4_fraction*conv</f>
        <v>0</v>
      </c>
    </row>
    <row r="21" spans="2:23">
      <c r="B21" s="96">
        <f>Amnt_Deposited!B16</f>
        <v>2002</v>
      </c>
      <c r="C21" s="99">
        <f>Amnt_Deposited!O16</f>
        <v>29.300130859999999</v>
      </c>
      <c r="D21" s="417">
        <f>Dry_Matter_Content!O8</f>
        <v>0</v>
      </c>
      <c r="E21" s="283">
        <f>MCF!R20</f>
        <v>1</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Amnt_Deposited!O16</f>
        <v>29.300130859999999</v>
      </c>
      <c r="Q21" s="283">
        <f>MCF!R20</f>
        <v>1</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Amnt_Deposited!O17</f>
        <v>29.820930898</v>
      </c>
      <c r="D22" s="417">
        <f>Dry_Matter_Content!O9</f>
        <v>0</v>
      </c>
      <c r="E22" s="283">
        <f>MCF!R21</f>
        <v>1</v>
      </c>
      <c r="F22" s="67">
        <f t="shared" si="0"/>
        <v>0</v>
      </c>
      <c r="G22" s="67">
        <f t="shared" si="1"/>
        <v>0</v>
      </c>
      <c r="H22" s="67">
        <f t="shared" si="2"/>
        <v>0</v>
      </c>
      <c r="I22" s="67">
        <f t="shared" si="3"/>
        <v>0</v>
      </c>
      <c r="J22" s="67">
        <f t="shared" si="4"/>
        <v>0</v>
      </c>
      <c r="K22" s="100">
        <f t="shared" si="6"/>
        <v>0</v>
      </c>
      <c r="N22" s="257"/>
      <c r="O22" s="96">
        <f>Amnt_Deposited!B17</f>
        <v>2003</v>
      </c>
      <c r="P22" s="99">
        <f>Amnt_Deposited!O17</f>
        <v>29.820930898</v>
      </c>
      <c r="Q22" s="283">
        <f>MCF!R21</f>
        <v>1</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Amnt_Deposited!O18</f>
        <v>29.980460246</v>
      </c>
      <c r="D23" s="417">
        <f>Dry_Matter_Content!O10</f>
        <v>0</v>
      </c>
      <c r="E23" s="283">
        <f>MCF!R22</f>
        <v>1</v>
      </c>
      <c r="F23" s="67">
        <f t="shared" si="0"/>
        <v>0</v>
      </c>
      <c r="G23" s="67">
        <f t="shared" si="1"/>
        <v>0</v>
      </c>
      <c r="H23" s="67">
        <f t="shared" si="2"/>
        <v>0</v>
      </c>
      <c r="I23" s="67">
        <f t="shared" si="3"/>
        <v>0</v>
      </c>
      <c r="J23" s="67">
        <f t="shared" si="4"/>
        <v>0</v>
      </c>
      <c r="K23" s="100">
        <f t="shared" si="6"/>
        <v>0</v>
      </c>
      <c r="N23" s="257"/>
      <c r="O23" s="96">
        <f>Amnt_Deposited!B18</f>
        <v>2004</v>
      </c>
      <c r="P23" s="99">
        <f>Amnt_Deposited!O18</f>
        <v>29.980460246</v>
      </c>
      <c r="Q23" s="283">
        <f>MCF!R22</f>
        <v>1</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Amnt_Deposited!O19</f>
        <v>33.208391259999999</v>
      </c>
      <c r="D24" s="417">
        <f>Dry_Matter_Content!O11</f>
        <v>0</v>
      </c>
      <c r="E24" s="283">
        <f>MCF!R23</f>
        <v>1</v>
      </c>
      <c r="F24" s="67">
        <f t="shared" si="0"/>
        <v>0</v>
      </c>
      <c r="G24" s="67">
        <f t="shared" si="1"/>
        <v>0</v>
      </c>
      <c r="H24" s="67">
        <f t="shared" si="2"/>
        <v>0</v>
      </c>
      <c r="I24" s="67">
        <f t="shared" si="3"/>
        <v>0</v>
      </c>
      <c r="J24" s="67">
        <f t="shared" si="4"/>
        <v>0</v>
      </c>
      <c r="K24" s="100">
        <f t="shared" si="6"/>
        <v>0</v>
      </c>
      <c r="N24" s="257"/>
      <c r="O24" s="96">
        <f>Amnt_Deposited!B19</f>
        <v>2005</v>
      </c>
      <c r="P24" s="99">
        <f>Amnt_Deposited!O19</f>
        <v>33.208391259999999</v>
      </c>
      <c r="Q24" s="283">
        <f>MCF!R23</f>
        <v>1</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Amnt_Deposited!O20</f>
        <v>33.891502326000001</v>
      </c>
      <c r="D25" s="417">
        <f>Dry_Matter_Content!O12</f>
        <v>0</v>
      </c>
      <c r="E25" s="283">
        <f>MCF!R24</f>
        <v>1</v>
      </c>
      <c r="F25" s="67">
        <f t="shared" si="0"/>
        <v>0</v>
      </c>
      <c r="G25" s="67">
        <f t="shared" si="1"/>
        <v>0</v>
      </c>
      <c r="H25" s="67">
        <f t="shared" si="2"/>
        <v>0</v>
      </c>
      <c r="I25" s="67">
        <f t="shared" si="3"/>
        <v>0</v>
      </c>
      <c r="J25" s="67">
        <f t="shared" si="4"/>
        <v>0</v>
      </c>
      <c r="K25" s="100">
        <f t="shared" si="6"/>
        <v>0</v>
      </c>
      <c r="N25" s="257"/>
      <c r="O25" s="96">
        <f>Amnt_Deposited!B20</f>
        <v>2006</v>
      </c>
      <c r="P25" s="99">
        <f>Amnt_Deposited!O20</f>
        <v>33.891502326000001</v>
      </c>
      <c r="Q25" s="283">
        <f>MCF!R24</f>
        <v>1</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Amnt_Deposited!O21</f>
        <v>34.574057056000001</v>
      </c>
      <c r="D26" s="417">
        <f>Dry_Matter_Content!O13</f>
        <v>0</v>
      </c>
      <c r="E26" s="283">
        <f>MCF!R25</f>
        <v>1</v>
      </c>
      <c r="F26" s="67">
        <f t="shared" si="0"/>
        <v>0</v>
      </c>
      <c r="G26" s="67">
        <f t="shared" si="1"/>
        <v>0</v>
      </c>
      <c r="H26" s="67">
        <f t="shared" si="2"/>
        <v>0</v>
      </c>
      <c r="I26" s="67">
        <f t="shared" si="3"/>
        <v>0</v>
      </c>
      <c r="J26" s="67">
        <f t="shared" si="4"/>
        <v>0</v>
      </c>
      <c r="K26" s="100">
        <f t="shared" si="6"/>
        <v>0</v>
      </c>
      <c r="N26" s="257"/>
      <c r="O26" s="96">
        <f>Amnt_Deposited!B21</f>
        <v>2007</v>
      </c>
      <c r="P26" s="99">
        <f>Amnt_Deposited!O21</f>
        <v>34.574057056000001</v>
      </c>
      <c r="Q26" s="283">
        <f>MCF!R25</f>
        <v>1</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Amnt_Deposited!O22</f>
        <v>35.251882930000001</v>
      </c>
      <c r="D27" s="417">
        <f>Dry_Matter_Content!O14</f>
        <v>0</v>
      </c>
      <c r="E27" s="283">
        <f>MCF!R26</f>
        <v>1</v>
      </c>
      <c r="F27" s="67">
        <f t="shared" si="0"/>
        <v>0</v>
      </c>
      <c r="G27" s="67">
        <f t="shared" si="1"/>
        <v>0</v>
      </c>
      <c r="H27" s="67">
        <f t="shared" si="2"/>
        <v>0</v>
      </c>
      <c r="I27" s="67">
        <f t="shared" si="3"/>
        <v>0</v>
      </c>
      <c r="J27" s="67">
        <f t="shared" si="4"/>
        <v>0</v>
      </c>
      <c r="K27" s="100">
        <f t="shared" si="6"/>
        <v>0</v>
      </c>
      <c r="N27" s="257"/>
      <c r="O27" s="96">
        <f>Amnt_Deposited!B22</f>
        <v>2008</v>
      </c>
      <c r="P27" s="99">
        <f>Amnt_Deposited!O22</f>
        <v>35.251882930000001</v>
      </c>
      <c r="Q27" s="283">
        <f>MCF!R26</f>
        <v>1</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Amnt_Deposited!O23</f>
        <v>35.919972924</v>
      </c>
      <c r="D28" s="417">
        <f>Dry_Matter_Content!O15</f>
        <v>0</v>
      </c>
      <c r="E28" s="283">
        <f>MCF!R27</f>
        <v>1</v>
      </c>
      <c r="F28" s="67">
        <f t="shared" si="0"/>
        <v>0</v>
      </c>
      <c r="G28" s="67">
        <f t="shared" si="1"/>
        <v>0</v>
      </c>
      <c r="H28" s="67">
        <f t="shared" si="2"/>
        <v>0</v>
      </c>
      <c r="I28" s="67">
        <f t="shared" si="3"/>
        <v>0</v>
      </c>
      <c r="J28" s="67">
        <f t="shared" si="4"/>
        <v>0</v>
      </c>
      <c r="K28" s="100">
        <f t="shared" si="6"/>
        <v>0</v>
      </c>
      <c r="N28" s="257"/>
      <c r="O28" s="96">
        <f>Amnt_Deposited!B23</f>
        <v>2009</v>
      </c>
      <c r="P28" s="99">
        <f>Amnt_Deposited!O23</f>
        <v>35.919972924</v>
      </c>
      <c r="Q28" s="283">
        <f>MCF!R27</f>
        <v>1</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Amnt_Deposited!O24</f>
        <v>38.775158818000001</v>
      </c>
      <c r="D29" s="417">
        <f>Dry_Matter_Content!O16</f>
        <v>0</v>
      </c>
      <c r="E29" s="283">
        <f>MCF!R28</f>
        <v>1</v>
      </c>
      <c r="F29" s="67">
        <f t="shared" si="0"/>
        <v>0</v>
      </c>
      <c r="G29" s="67">
        <f t="shared" si="1"/>
        <v>0</v>
      </c>
      <c r="H29" s="67">
        <f t="shared" si="2"/>
        <v>0</v>
      </c>
      <c r="I29" s="67">
        <f t="shared" si="3"/>
        <v>0</v>
      </c>
      <c r="J29" s="67">
        <f t="shared" si="4"/>
        <v>0</v>
      </c>
      <c r="K29" s="100">
        <f t="shared" si="6"/>
        <v>0</v>
      </c>
      <c r="O29" s="96">
        <f>Amnt_Deposited!B24</f>
        <v>2010</v>
      </c>
      <c r="P29" s="99">
        <f>Amnt_Deposited!O24</f>
        <v>38.775158818000001</v>
      </c>
      <c r="Q29" s="283">
        <f>MCF!R28</f>
        <v>1</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Amnt_Deposited!O25</f>
        <v>39.790819727999995</v>
      </c>
      <c r="D30" s="417">
        <f>Dry_Matter_Content!O17</f>
        <v>0</v>
      </c>
      <c r="E30" s="283">
        <f>MCF!R29</f>
        <v>1</v>
      </c>
      <c r="F30" s="67">
        <f t="shared" si="0"/>
        <v>0</v>
      </c>
      <c r="G30" s="67">
        <f t="shared" si="1"/>
        <v>0</v>
      </c>
      <c r="H30" s="67">
        <f t="shared" si="2"/>
        <v>0</v>
      </c>
      <c r="I30" s="67">
        <f t="shared" si="3"/>
        <v>0</v>
      </c>
      <c r="J30" s="67">
        <f t="shared" si="4"/>
        <v>0</v>
      </c>
      <c r="K30" s="100">
        <f t="shared" si="6"/>
        <v>0</v>
      </c>
      <c r="O30" s="96">
        <f>Amnt_Deposited!B25</f>
        <v>2011</v>
      </c>
      <c r="P30" s="99">
        <f>Amnt_Deposited!O25</f>
        <v>39.790819727999995</v>
      </c>
      <c r="Q30" s="283">
        <f>MCF!R29</f>
        <v>1</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Amnt_Deposited!O26</f>
        <v>40.561901423999998</v>
      </c>
      <c r="D31" s="417">
        <f>Dry_Matter_Content!O18</f>
        <v>0</v>
      </c>
      <c r="E31" s="283">
        <f>MCF!R30</f>
        <v>1</v>
      </c>
      <c r="F31" s="67">
        <f t="shared" si="0"/>
        <v>0</v>
      </c>
      <c r="G31" s="67">
        <f t="shared" si="1"/>
        <v>0</v>
      </c>
      <c r="H31" s="67">
        <f t="shared" si="2"/>
        <v>0</v>
      </c>
      <c r="I31" s="67">
        <f t="shared" si="3"/>
        <v>0</v>
      </c>
      <c r="J31" s="67">
        <f t="shared" si="4"/>
        <v>0</v>
      </c>
      <c r="K31" s="100">
        <f t="shared" si="6"/>
        <v>0</v>
      </c>
      <c r="O31" s="96">
        <f>Amnt_Deposited!B26</f>
        <v>2012</v>
      </c>
      <c r="P31" s="99">
        <f>Amnt_Deposited!O26</f>
        <v>40.561901423999998</v>
      </c>
      <c r="Q31" s="283">
        <f>MCF!R30</f>
        <v>1</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Amnt_Deposited!O27</f>
        <v>41.330340523999993</v>
      </c>
      <c r="D32" s="417">
        <f>Dry_Matter_Content!O19</f>
        <v>0</v>
      </c>
      <c r="E32" s="283">
        <f>MCF!R31</f>
        <v>1</v>
      </c>
      <c r="F32" s="67">
        <f t="shared" si="0"/>
        <v>0</v>
      </c>
      <c r="G32" s="67">
        <f t="shared" si="1"/>
        <v>0</v>
      </c>
      <c r="H32" s="67">
        <f t="shared" si="2"/>
        <v>0</v>
      </c>
      <c r="I32" s="67">
        <f t="shared" si="3"/>
        <v>0</v>
      </c>
      <c r="J32" s="67">
        <f t="shared" si="4"/>
        <v>0</v>
      </c>
      <c r="K32" s="100">
        <f t="shared" si="6"/>
        <v>0</v>
      </c>
      <c r="O32" s="96">
        <f>Amnt_Deposited!B27</f>
        <v>2013</v>
      </c>
      <c r="P32" s="99">
        <f>Amnt_Deposited!O27</f>
        <v>41.330340523999993</v>
      </c>
      <c r="Q32" s="283">
        <f>MCF!R31</f>
        <v>1</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Amnt_Deposited!O28</f>
        <v>42.079586031999995</v>
      </c>
      <c r="D33" s="417">
        <f>Dry_Matter_Content!O20</f>
        <v>0</v>
      </c>
      <c r="E33" s="283">
        <f>MCF!R32</f>
        <v>1</v>
      </c>
      <c r="F33" s="67">
        <f t="shared" si="0"/>
        <v>0</v>
      </c>
      <c r="G33" s="67">
        <f t="shared" si="1"/>
        <v>0</v>
      </c>
      <c r="H33" s="67">
        <f t="shared" si="2"/>
        <v>0</v>
      </c>
      <c r="I33" s="67">
        <f t="shared" si="3"/>
        <v>0</v>
      </c>
      <c r="J33" s="67">
        <f t="shared" si="4"/>
        <v>0</v>
      </c>
      <c r="K33" s="100">
        <f t="shared" si="6"/>
        <v>0</v>
      </c>
      <c r="O33" s="96">
        <f>Amnt_Deposited!B28</f>
        <v>2014</v>
      </c>
      <c r="P33" s="99">
        <f>Amnt_Deposited!O28</f>
        <v>42.079586031999995</v>
      </c>
      <c r="Q33" s="283">
        <f>MCF!R32</f>
        <v>1</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Amnt_Deposited!O29</f>
        <v>42.808247107999996</v>
      </c>
      <c r="D34" s="417">
        <f>Dry_Matter_Content!O21</f>
        <v>0</v>
      </c>
      <c r="E34" s="283">
        <f>MCF!R33</f>
        <v>1</v>
      </c>
      <c r="F34" s="67">
        <f t="shared" si="0"/>
        <v>0</v>
      </c>
      <c r="G34" s="67">
        <f t="shared" si="1"/>
        <v>0</v>
      </c>
      <c r="H34" s="67">
        <f t="shared" si="2"/>
        <v>0</v>
      </c>
      <c r="I34" s="67">
        <f t="shared" si="3"/>
        <v>0</v>
      </c>
      <c r="J34" s="67">
        <f t="shared" si="4"/>
        <v>0</v>
      </c>
      <c r="K34" s="100">
        <f t="shared" si="6"/>
        <v>0</v>
      </c>
      <c r="O34" s="96">
        <f>Amnt_Deposited!B29</f>
        <v>2015</v>
      </c>
      <c r="P34" s="99">
        <f>Amnt_Deposited!O29</f>
        <v>42.808247107999996</v>
      </c>
      <c r="Q34" s="283">
        <f>MCF!R33</f>
        <v>1</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Amnt_Deposited!O30</f>
        <v>43.531066655999993</v>
      </c>
      <c r="D35" s="417">
        <f>Dry_Matter_Content!O22</f>
        <v>0</v>
      </c>
      <c r="E35" s="283">
        <f>MCF!R34</f>
        <v>1</v>
      </c>
      <c r="F35" s="67">
        <f t="shared" si="0"/>
        <v>0</v>
      </c>
      <c r="G35" s="67">
        <f t="shared" si="1"/>
        <v>0</v>
      </c>
      <c r="H35" s="67">
        <f t="shared" si="2"/>
        <v>0</v>
      </c>
      <c r="I35" s="67">
        <f t="shared" si="3"/>
        <v>0</v>
      </c>
      <c r="J35" s="67">
        <f t="shared" si="4"/>
        <v>0</v>
      </c>
      <c r="K35" s="100">
        <f t="shared" si="6"/>
        <v>0</v>
      </c>
      <c r="O35" s="96">
        <f>Amnt_Deposited!B30</f>
        <v>2016</v>
      </c>
      <c r="P35" s="99">
        <f>Amnt_Deposited!O30</f>
        <v>43.531066655999993</v>
      </c>
      <c r="Q35" s="283">
        <f>MCF!R34</f>
        <v>1</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Amnt_Deposited!O31</f>
        <v>43.494222581468996</v>
      </c>
      <c r="D36" s="417">
        <f>Dry_Matter_Content!O23</f>
        <v>0</v>
      </c>
      <c r="E36" s="283">
        <f>MCF!R35</f>
        <v>1</v>
      </c>
      <c r="F36" s="67">
        <f t="shared" si="0"/>
        <v>0</v>
      </c>
      <c r="G36" s="67">
        <f t="shared" si="1"/>
        <v>0</v>
      </c>
      <c r="H36" s="67">
        <f t="shared" si="2"/>
        <v>0</v>
      </c>
      <c r="I36" s="67">
        <f t="shared" si="3"/>
        <v>0</v>
      </c>
      <c r="J36" s="67">
        <f t="shared" si="4"/>
        <v>0</v>
      </c>
      <c r="K36" s="100">
        <f t="shared" si="6"/>
        <v>0</v>
      </c>
      <c r="O36" s="96">
        <f>Amnt_Deposited!B31</f>
        <v>2017</v>
      </c>
      <c r="P36" s="99">
        <f>Amnt_Deposited!O31</f>
        <v>43.494222581468996</v>
      </c>
      <c r="Q36" s="283">
        <f>MCF!R35</f>
        <v>1</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Amnt_Deposited!O32</f>
        <v>45.500440335085827</v>
      </c>
      <c r="D37" s="417">
        <f>Dry_Matter_Content!O24</f>
        <v>0</v>
      </c>
      <c r="E37" s="283">
        <f>MCF!R36</f>
        <v>1</v>
      </c>
      <c r="F37" s="67">
        <f t="shared" si="0"/>
        <v>0</v>
      </c>
      <c r="G37" s="67">
        <f t="shared" si="1"/>
        <v>0</v>
      </c>
      <c r="H37" s="67">
        <f t="shared" si="2"/>
        <v>0</v>
      </c>
      <c r="I37" s="67">
        <f t="shared" si="3"/>
        <v>0</v>
      </c>
      <c r="J37" s="67">
        <f t="shared" si="4"/>
        <v>0</v>
      </c>
      <c r="K37" s="100">
        <f t="shared" si="6"/>
        <v>0</v>
      </c>
      <c r="O37" s="96">
        <f>Amnt_Deposited!B32</f>
        <v>2018</v>
      </c>
      <c r="P37" s="99">
        <f>Amnt_Deposited!O32</f>
        <v>45.500440335085827</v>
      </c>
      <c r="Q37" s="283">
        <f>MCF!R36</f>
        <v>1</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Amnt_Deposited!O33</f>
        <v>47.567468197220009</v>
      </c>
      <c r="D38" s="417">
        <f>Dry_Matter_Content!O25</f>
        <v>0</v>
      </c>
      <c r="E38" s="283">
        <f>MCF!R37</f>
        <v>1</v>
      </c>
      <c r="F38" s="67">
        <f t="shared" si="0"/>
        <v>0</v>
      </c>
      <c r="G38" s="67">
        <f t="shared" si="1"/>
        <v>0</v>
      </c>
      <c r="H38" s="67">
        <f t="shared" si="2"/>
        <v>0</v>
      </c>
      <c r="I38" s="67">
        <f t="shared" si="3"/>
        <v>0</v>
      </c>
      <c r="J38" s="67">
        <f t="shared" si="4"/>
        <v>0</v>
      </c>
      <c r="K38" s="100">
        <f t="shared" si="6"/>
        <v>0</v>
      </c>
      <c r="O38" s="96">
        <f>Amnt_Deposited!B33</f>
        <v>2019</v>
      </c>
      <c r="P38" s="99">
        <f>Amnt_Deposited!O33</f>
        <v>47.567468197220009</v>
      </c>
      <c r="Q38" s="283">
        <f>MCF!R37</f>
        <v>1</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Amnt_Deposited!O34</f>
        <v>49.695976686486723</v>
      </c>
      <c r="D39" s="417">
        <f>Dry_Matter_Content!O26</f>
        <v>0</v>
      </c>
      <c r="E39" s="283">
        <f>MCF!R38</f>
        <v>1</v>
      </c>
      <c r="F39" s="67">
        <f t="shared" si="0"/>
        <v>0</v>
      </c>
      <c r="G39" s="67">
        <f t="shared" si="1"/>
        <v>0</v>
      </c>
      <c r="H39" s="67">
        <f t="shared" si="2"/>
        <v>0</v>
      </c>
      <c r="I39" s="67">
        <f t="shared" si="3"/>
        <v>0</v>
      </c>
      <c r="J39" s="67">
        <f t="shared" si="4"/>
        <v>0</v>
      </c>
      <c r="K39" s="100">
        <f t="shared" si="6"/>
        <v>0</v>
      </c>
      <c r="O39" s="96">
        <f>Amnt_Deposited!B34</f>
        <v>2020</v>
      </c>
      <c r="P39" s="99">
        <f>Amnt_Deposited!O34</f>
        <v>49.695976686486723</v>
      </c>
      <c r="Q39" s="283">
        <f>MCF!R38</f>
        <v>1</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Amnt_Deposited!O35</f>
        <v>51.886537018497478</v>
      </c>
      <c r="D40" s="417">
        <f>Dry_Matter_Content!O27</f>
        <v>0</v>
      </c>
      <c r="E40" s="283">
        <f>MCF!R39</f>
        <v>1</v>
      </c>
      <c r="F40" s="67">
        <f t="shared" si="0"/>
        <v>0</v>
      </c>
      <c r="G40" s="67">
        <f t="shared" si="1"/>
        <v>0</v>
      </c>
      <c r="H40" s="67">
        <f t="shared" si="2"/>
        <v>0</v>
      </c>
      <c r="I40" s="67">
        <f t="shared" si="3"/>
        <v>0</v>
      </c>
      <c r="J40" s="67">
        <f t="shared" si="4"/>
        <v>0</v>
      </c>
      <c r="K40" s="100">
        <f t="shared" si="6"/>
        <v>0</v>
      </c>
      <c r="O40" s="96">
        <f>Amnt_Deposited!B35</f>
        <v>2021</v>
      </c>
      <c r="P40" s="99">
        <f>Amnt_Deposited!O35</f>
        <v>51.886537018497478</v>
      </c>
      <c r="Q40" s="283">
        <f>MCF!R39</f>
        <v>1</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Amnt_Deposited!O36</f>
        <v>54.139607889387619</v>
      </c>
      <c r="D41" s="417">
        <f>Dry_Matter_Content!O28</f>
        <v>0</v>
      </c>
      <c r="E41" s="283">
        <f>MCF!R40</f>
        <v>1</v>
      </c>
      <c r="F41" s="67">
        <f t="shared" si="0"/>
        <v>0</v>
      </c>
      <c r="G41" s="67">
        <f t="shared" si="1"/>
        <v>0</v>
      </c>
      <c r="H41" s="67">
        <f t="shared" si="2"/>
        <v>0</v>
      </c>
      <c r="I41" s="67">
        <f t="shared" si="3"/>
        <v>0</v>
      </c>
      <c r="J41" s="67">
        <f t="shared" si="4"/>
        <v>0</v>
      </c>
      <c r="K41" s="100">
        <f t="shared" si="6"/>
        <v>0</v>
      </c>
      <c r="O41" s="96">
        <f>Amnt_Deposited!B36</f>
        <v>2022</v>
      </c>
      <c r="P41" s="99">
        <f>Amnt_Deposited!O36</f>
        <v>54.139607889387619</v>
      </c>
      <c r="Q41" s="283">
        <f>MCF!R40</f>
        <v>1</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Amnt_Deposited!O37</f>
        <v>56.4555210240378</v>
      </c>
      <c r="D42" s="417">
        <f>Dry_Matter_Content!O29</f>
        <v>0</v>
      </c>
      <c r="E42" s="283">
        <f>MCF!R41</f>
        <v>1</v>
      </c>
      <c r="F42" s="67">
        <f t="shared" si="0"/>
        <v>0</v>
      </c>
      <c r="G42" s="67">
        <f t="shared" si="1"/>
        <v>0</v>
      </c>
      <c r="H42" s="67">
        <f t="shared" si="2"/>
        <v>0</v>
      </c>
      <c r="I42" s="67">
        <f t="shared" si="3"/>
        <v>0</v>
      </c>
      <c r="J42" s="67">
        <f t="shared" si="4"/>
        <v>0</v>
      </c>
      <c r="K42" s="100">
        <f t="shared" si="6"/>
        <v>0</v>
      </c>
      <c r="O42" s="96">
        <f>Amnt_Deposited!B37</f>
        <v>2023</v>
      </c>
      <c r="P42" s="99">
        <f>Amnt_Deposited!O37</f>
        <v>56.4555210240378</v>
      </c>
      <c r="Q42" s="283">
        <f>MCF!R41</f>
        <v>1</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Amnt_Deposited!O38</f>
        <v>58.834465384329178</v>
      </c>
      <c r="D43" s="417">
        <f>Dry_Matter_Content!O30</f>
        <v>0</v>
      </c>
      <c r="E43" s="283">
        <f>MCF!R42</f>
        <v>1</v>
      </c>
      <c r="F43" s="67">
        <f t="shared" si="0"/>
        <v>0</v>
      </c>
      <c r="G43" s="67">
        <f t="shared" si="1"/>
        <v>0</v>
      </c>
      <c r="H43" s="67">
        <f t="shared" si="2"/>
        <v>0</v>
      </c>
      <c r="I43" s="67">
        <f t="shared" si="3"/>
        <v>0</v>
      </c>
      <c r="J43" s="67">
        <f t="shared" si="4"/>
        <v>0</v>
      </c>
      <c r="K43" s="100">
        <f t="shared" si="6"/>
        <v>0</v>
      </c>
      <c r="O43" s="96">
        <f>Amnt_Deposited!B38</f>
        <v>2024</v>
      </c>
      <c r="P43" s="99">
        <f>Amnt_Deposited!O38</f>
        <v>58.834465384329178</v>
      </c>
      <c r="Q43" s="283">
        <f>MCF!R42</f>
        <v>1</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Amnt_Deposited!O39</f>
        <v>61.276469924235805</v>
      </c>
      <c r="D44" s="417">
        <f>Dry_Matter_Content!O31</f>
        <v>0</v>
      </c>
      <c r="E44" s="283">
        <f>MCF!R43</f>
        <v>1</v>
      </c>
      <c r="F44" s="67">
        <f t="shared" si="0"/>
        <v>0</v>
      </c>
      <c r="G44" s="67">
        <f t="shared" si="1"/>
        <v>0</v>
      </c>
      <c r="H44" s="67">
        <f t="shared" si="2"/>
        <v>0</v>
      </c>
      <c r="I44" s="67">
        <f t="shared" si="3"/>
        <v>0</v>
      </c>
      <c r="J44" s="67">
        <f t="shared" si="4"/>
        <v>0</v>
      </c>
      <c r="K44" s="100">
        <f t="shared" si="6"/>
        <v>0</v>
      </c>
      <c r="O44" s="96">
        <f>Amnt_Deposited!B39</f>
        <v>2025</v>
      </c>
      <c r="P44" s="99">
        <f>Amnt_Deposited!O39</f>
        <v>61.276469924235805</v>
      </c>
      <c r="Q44" s="283">
        <f>MCF!R43</f>
        <v>1</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Amnt_Deposited!O40</f>
        <v>63.78138476933745</v>
      </c>
      <c r="D45" s="417">
        <f>Dry_Matter_Content!O32</f>
        <v>0</v>
      </c>
      <c r="E45" s="283">
        <f>MCF!R44</f>
        <v>1</v>
      </c>
      <c r="F45" s="67">
        <f t="shared" si="0"/>
        <v>0</v>
      </c>
      <c r="G45" s="67">
        <f t="shared" si="1"/>
        <v>0</v>
      </c>
      <c r="H45" s="67">
        <f t="shared" si="2"/>
        <v>0</v>
      </c>
      <c r="I45" s="67">
        <f t="shared" si="3"/>
        <v>0</v>
      </c>
      <c r="J45" s="67">
        <f t="shared" si="4"/>
        <v>0</v>
      </c>
      <c r="K45" s="100">
        <f t="shared" si="6"/>
        <v>0</v>
      </c>
      <c r="O45" s="96">
        <f>Amnt_Deposited!B40</f>
        <v>2026</v>
      </c>
      <c r="P45" s="99">
        <f>Amnt_Deposited!O40</f>
        <v>63.78138476933745</v>
      </c>
      <c r="Q45" s="283">
        <f>MCF!R44</f>
        <v>1</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Amnt_Deposited!O41</f>
        <v>66.348860688377925</v>
      </c>
      <c r="D46" s="417">
        <f>Dry_Matter_Content!O33</f>
        <v>0</v>
      </c>
      <c r="E46" s="283">
        <f>MCF!R45</f>
        <v>1</v>
      </c>
      <c r="F46" s="67">
        <f t="shared" si="0"/>
        <v>0</v>
      </c>
      <c r="G46" s="67">
        <f t="shared" si="1"/>
        <v>0</v>
      </c>
      <c r="H46" s="67">
        <f t="shared" si="2"/>
        <v>0</v>
      </c>
      <c r="I46" s="67">
        <f t="shared" si="3"/>
        <v>0</v>
      </c>
      <c r="J46" s="67">
        <f t="shared" si="4"/>
        <v>0</v>
      </c>
      <c r="K46" s="100">
        <f t="shared" si="6"/>
        <v>0</v>
      </c>
      <c r="O46" s="96">
        <f>Amnt_Deposited!B41</f>
        <v>2027</v>
      </c>
      <c r="P46" s="99">
        <f>Amnt_Deposited!O41</f>
        <v>66.348860688377925</v>
      </c>
      <c r="Q46" s="283">
        <f>MCF!R45</f>
        <v>1</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Amnt_Deposited!O42</f>
        <v>68.978326713739406</v>
      </c>
      <c r="D47" s="417">
        <f>Dry_Matter_Content!O34</f>
        <v>0</v>
      </c>
      <c r="E47" s="283">
        <f>MCF!R46</f>
        <v>1</v>
      </c>
      <c r="F47" s="67">
        <f t="shared" si="0"/>
        <v>0</v>
      </c>
      <c r="G47" s="67">
        <f t="shared" si="1"/>
        <v>0</v>
      </c>
      <c r="H47" s="67">
        <f t="shared" si="2"/>
        <v>0</v>
      </c>
      <c r="I47" s="67">
        <f t="shared" si="3"/>
        <v>0</v>
      </c>
      <c r="J47" s="67">
        <f t="shared" si="4"/>
        <v>0</v>
      </c>
      <c r="K47" s="100">
        <f t="shared" si="6"/>
        <v>0</v>
      </c>
      <c r="O47" s="96">
        <f>Amnt_Deposited!B42</f>
        <v>2028</v>
      </c>
      <c r="P47" s="99">
        <f>Amnt_Deposited!O42</f>
        <v>68.978326713739406</v>
      </c>
      <c r="Q47" s="283">
        <f>MCF!R46</f>
        <v>1</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Amnt_Deposited!O43</f>
        <v>71.668965756089449</v>
      </c>
      <c r="D48" s="417">
        <f>Dry_Matter_Content!O35</f>
        <v>0</v>
      </c>
      <c r="E48" s="283">
        <f>MCF!R47</f>
        <v>1</v>
      </c>
      <c r="F48" s="67">
        <f t="shared" si="0"/>
        <v>0</v>
      </c>
      <c r="G48" s="67">
        <f t="shared" si="1"/>
        <v>0</v>
      </c>
      <c r="H48" s="67">
        <f t="shared" si="2"/>
        <v>0</v>
      </c>
      <c r="I48" s="67">
        <f t="shared" si="3"/>
        <v>0</v>
      </c>
      <c r="J48" s="67">
        <f t="shared" si="4"/>
        <v>0</v>
      </c>
      <c r="K48" s="100">
        <f t="shared" si="6"/>
        <v>0</v>
      </c>
      <c r="O48" s="96">
        <f>Amnt_Deposited!B43</f>
        <v>2029</v>
      </c>
      <c r="P48" s="99">
        <f>Amnt_Deposited!O43</f>
        <v>71.668965756089449</v>
      </c>
      <c r="Q48" s="283">
        <f>MCF!R47</f>
        <v>1</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Amnt_Deposited!O44</f>
        <v>74.472288000000006</v>
      </c>
      <c r="D49" s="417">
        <f>Dry_Matter_Content!O36</f>
        <v>0</v>
      </c>
      <c r="E49" s="283">
        <f>MCF!R48</f>
        <v>1</v>
      </c>
      <c r="F49" s="67">
        <f t="shared" si="0"/>
        <v>0</v>
      </c>
      <c r="G49" s="67">
        <f t="shared" si="1"/>
        <v>0</v>
      </c>
      <c r="H49" s="67">
        <f t="shared" si="2"/>
        <v>0</v>
      </c>
      <c r="I49" s="67">
        <f t="shared" si="3"/>
        <v>0</v>
      </c>
      <c r="J49" s="67">
        <f t="shared" si="4"/>
        <v>0</v>
      </c>
      <c r="K49" s="100">
        <f t="shared" si="6"/>
        <v>0</v>
      </c>
      <c r="O49" s="96">
        <f>Amnt_Deposited!B44</f>
        <v>2030</v>
      </c>
      <c r="P49" s="99">
        <f>Amnt_Deposited!O44</f>
        <v>74.472288000000006</v>
      </c>
      <c r="Q49" s="283">
        <f>MCF!R48</f>
        <v>1</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Amnt_Deposited!O45</f>
        <v>0</v>
      </c>
      <c r="D50" s="417">
        <f>Dry_Matter_Content!O37</f>
        <v>0</v>
      </c>
      <c r="E50" s="283">
        <f>MCF!R49</f>
        <v>1</v>
      </c>
      <c r="F50" s="67">
        <f t="shared" si="0"/>
        <v>0</v>
      </c>
      <c r="G50" s="67">
        <f t="shared" si="1"/>
        <v>0</v>
      </c>
      <c r="H50" s="67">
        <f t="shared" si="2"/>
        <v>0</v>
      </c>
      <c r="I50" s="67">
        <f t="shared" si="3"/>
        <v>0</v>
      </c>
      <c r="J50" s="67">
        <f t="shared" si="4"/>
        <v>0</v>
      </c>
      <c r="K50" s="100">
        <f t="shared" si="6"/>
        <v>0</v>
      </c>
      <c r="O50" s="96">
        <f>Amnt_Deposited!B45</f>
        <v>2031</v>
      </c>
      <c r="P50" s="99">
        <f>Amnt_Deposited!O45</f>
        <v>0</v>
      </c>
      <c r="Q50" s="283">
        <f>MCF!R49</f>
        <v>1</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Amnt_Deposited!O46</f>
        <v>0</v>
      </c>
      <c r="D51" s="417">
        <f>Dry_Matter_Content!O38</f>
        <v>0</v>
      </c>
      <c r="E51" s="283">
        <f>MCF!R50</f>
        <v>1</v>
      </c>
      <c r="F51" s="67">
        <f t="shared" si="0"/>
        <v>0</v>
      </c>
      <c r="G51" s="67">
        <f t="shared" si="1"/>
        <v>0</v>
      </c>
      <c r="H51" s="67">
        <f t="shared" si="2"/>
        <v>0</v>
      </c>
      <c r="I51" s="67">
        <f t="shared" si="3"/>
        <v>0</v>
      </c>
      <c r="J51" s="67">
        <f t="shared" si="4"/>
        <v>0</v>
      </c>
      <c r="K51" s="100">
        <f t="shared" si="6"/>
        <v>0</v>
      </c>
      <c r="O51" s="96">
        <f>Amnt_Deposited!B46</f>
        <v>2032</v>
      </c>
      <c r="P51" s="99">
        <f>Amnt_Deposited!O46</f>
        <v>0</v>
      </c>
      <c r="Q51" s="283">
        <f>MCF!R50</f>
        <v>1</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Amnt_Deposited!O47</f>
        <v>0</v>
      </c>
      <c r="D52" s="417">
        <f>Dry_Matter_Content!O39</f>
        <v>0</v>
      </c>
      <c r="E52" s="283">
        <f>MCF!R51</f>
        <v>1</v>
      </c>
      <c r="F52" s="67">
        <f t="shared" si="0"/>
        <v>0</v>
      </c>
      <c r="G52" s="67">
        <f t="shared" si="1"/>
        <v>0</v>
      </c>
      <c r="H52" s="67">
        <f t="shared" si="2"/>
        <v>0</v>
      </c>
      <c r="I52" s="67">
        <f t="shared" si="3"/>
        <v>0</v>
      </c>
      <c r="J52" s="67">
        <f t="shared" si="4"/>
        <v>0</v>
      </c>
      <c r="K52" s="100">
        <f t="shared" si="6"/>
        <v>0</v>
      </c>
      <c r="O52" s="96">
        <f>Amnt_Deposited!B47</f>
        <v>2033</v>
      </c>
      <c r="P52" s="99">
        <f>Amnt_Deposited!O47</f>
        <v>0</v>
      </c>
      <c r="Q52" s="283">
        <f>MCF!R51</f>
        <v>1</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Amnt_Deposited!O48</f>
        <v>0</v>
      </c>
      <c r="D53" s="417">
        <f>Dry_Matter_Content!O40</f>
        <v>0</v>
      </c>
      <c r="E53" s="283">
        <f>MCF!R52</f>
        <v>1</v>
      </c>
      <c r="F53" s="67">
        <f t="shared" si="0"/>
        <v>0</v>
      </c>
      <c r="G53" s="67">
        <f t="shared" si="1"/>
        <v>0</v>
      </c>
      <c r="H53" s="67">
        <f t="shared" si="2"/>
        <v>0</v>
      </c>
      <c r="I53" s="67">
        <f t="shared" si="3"/>
        <v>0</v>
      </c>
      <c r="J53" s="67">
        <f t="shared" si="4"/>
        <v>0</v>
      </c>
      <c r="K53" s="100">
        <f t="shared" si="6"/>
        <v>0</v>
      </c>
      <c r="O53" s="96">
        <f>Amnt_Deposited!B48</f>
        <v>2034</v>
      </c>
      <c r="P53" s="99">
        <f>Amnt_Deposited!O48</f>
        <v>0</v>
      </c>
      <c r="Q53" s="283">
        <f>MCF!R52</f>
        <v>1</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Amnt_Deposited!O49</f>
        <v>0</v>
      </c>
      <c r="D54" s="417">
        <f>Dry_Matter_Content!O41</f>
        <v>0</v>
      </c>
      <c r="E54" s="283">
        <f>MCF!R53</f>
        <v>1</v>
      </c>
      <c r="F54" s="67">
        <f t="shared" si="0"/>
        <v>0</v>
      </c>
      <c r="G54" s="67">
        <f t="shared" si="1"/>
        <v>0</v>
      </c>
      <c r="H54" s="67">
        <f t="shared" si="2"/>
        <v>0</v>
      </c>
      <c r="I54" s="67">
        <f t="shared" si="3"/>
        <v>0</v>
      </c>
      <c r="J54" s="67">
        <f t="shared" si="4"/>
        <v>0</v>
      </c>
      <c r="K54" s="100">
        <f t="shared" si="6"/>
        <v>0</v>
      </c>
      <c r="O54" s="96">
        <f>Amnt_Deposited!B49</f>
        <v>2035</v>
      </c>
      <c r="P54" s="99">
        <f>Amnt_Deposited!O49</f>
        <v>0</v>
      </c>
      <c r="Q54" s="283">
        <f>MCF!R53</f>
        <v>1</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Amnt_Deposited!O50</f>
        <v>0</v>
      </c>
      <c r="D55" s="417">
        <f>Dry_Matter_Content!O42</f>
        <v>0</v>
      </c>
      <c r="E55" s="283">
        <f>MCF!R54</f>
        <v>1</v>
      </c>
      <c r="F55" s="67">
        <f t="shared" si="0"/>
        <v>0</v>
      </c>
      <c r="G55" s="67">
        <f t="shared" si="1"/>
        <v>0</v>
      </c>
      <c r="H55" s="67">
        <f t="shared" si="2"/>
        <v>0</v>
      </c>
      <c r="I55" s="67">
        <f t="shared" si="3"/>
        <v>0</v>
      </c>
      <c r="J55" s="67">
        <f t="shared" si="4"/>
        <v>0</v>
      </c>
      <c r="K55" s="100">
        <f t="shared" si="6"/>
        <v>0</v>
      </c>
      <c r="O55" s="96">
        <f>Amnt_Deposited!B50</f>
        <v>2036</v>
      </c>
      <c r="P55" s="99">
        <f>Amnt_Deposited!O50</f>
        <v>0</v>
      </c>
      <c r="Q55" s="283">
        <f>MCF!R54</f>
        <v>1</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Amnt_Deposited!O51</f>
        <v>0</v>
      </c>
      <c r="D56" s="417">
        <f>Dry_Matter_Content!O43</f>
        <v>0</v>
      </c>
      <c r="E56" s="283">
        <f>MCF!R55</f>
        <v>1</v>
      </c>
      <c r="F56" s="67">
        <f t="shared" si="0"/>
        <v>0</v>
      </c>
      <c r="G56" s="67">
        <f t="shared" si="1"/>
        <v>0</v>
      </c>
      <c r="H56" s="67">
        <f t="shared" si="2"/>
        <v>0</v>
      </c>
      <c r="I56" s="67">
        <f t="shared" si="3"/>
        <v>0</v>
      </c>
      <c r="J56" s="67">
        <f t="shared" si="4"/>
        <v>0</v>
      </c>
      <c r="K56" s="100">
        <f t="shared" si="6"/>
        <v>0</v>
      </c>
      <c r="O56" s="96">
        <f>Amnt_Deposited!B51</f>
        <v>2037</v>
      </c>
      <c r="P56" s="99">
        <f>Amnt_Deposited!O51</f>
        <v>0</v>
      </c>
      <c r="Q56" s="283">
        <f>MCF!R55</f>
        <v>1</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Amnt_Deposited!O52</f>
        <v>0</v>
      </c>
      <c r="D57" s="417">
        <f>Dry_Matter_Content!O44</f>
        <v>0</v>
      </c>
      <c r="E57" s="283">
        <f>MCF!R56</f>
        <v>1</v>
      </c>
      <c r="F57" s="67">
        <f t="shared" si="0"/>
        <v>0</v>
      </c>
      <c r="G57" s="67">
        <f t="shared" si="1"/>
        <v>0</v>
      </c>
      <c r="H57" s="67">
        <f t="shared" si="2"/>
        <v>0</v>
      </c>
      <c r="I57" s="67">
        <f t="shared" si="3"/>
        <v>0</v>
      </c>
      <c r="J57" s="67">
        <f t="shared" si="4"/>
        <v>0</v>
      </c>
      <c r="K57" s="100">
        <f t="shared" si="6"/>
        <v>0</v>
      </c>
      <c r="O57" s="96">
        <f>Amnt_Deposited!B52</f>
        <v>2038</v>
      </c>
      <c r="P57" s="99">
        <f>Amnt_Deposited!O52</f>
        <v>0</v>
      </c>
      <c r="Q57" s="283">
        <f>MCF!R56</f>
        <v>1</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Amnt_Deposited!O53</f>
        <v>0</v>
      </c>
      <c r="D58" s="417">
        <f>Dry_Matter_Content!O45</f>
        <v>0</v>
      </c>
      <c r="E58" s="283">
        <f>MCF!R57</f>
        <v>1</v>
      </c>
      <c r="F58" s="67">
        <f t="shared" si="0"/>
        <v>0</v>
      </c>
      <c r="G58" s="67">
        <f t="shared" si="1"/>
        <v>0</v>
      </c>
      <c r="H58" s="67">
        <f t="shared" si="2"/>
        <v>0</v>
      </c>
      <c r="I58" s="67">
        <f t="shared" si="3"/>
        <v>0</v>
      </c>
      <c r="J58" s="67">
        <f t="shared" si="4"/>
        <v>0</v>
      </c>
      <c r="K58" s="100">
        <f t="shared" si="6"/>
        <v>0</v>
      </c>
      <c r="O58" s="96">
        <f>Amnt_Deposited!B53</f>
        <v>2039</v>
      </c>
      <c r="P58" s="99">
        <f>Amnt_Deposited!O53</f>
        <v>0</v>
      </c>
      <c r="Q58" s="283">
        <f>MCF!R57</f>
        <v>1</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Amnt_Deposited!O54</f>
        <v>0</v>
      </c>
      <c r="D59" s="417">
        <f>Dry_Matter_Content!O46</f>
        <v>0</v>
      </c>
      <c r="E59" s="283">
        <f>MCF!R58</f>
        <v>1</v>
      </c>
      <c r="F59" s="67">
        <f t="shared" si="0"/>
        <v>0</v>
      </c>
      <c r="G59" s="67">
        <f t="shared" si="1"/>
        <v>0</v>
      </c>
      <c r="H59" s="67">
        <f t="shared" si="2"/>
        <v>0</v>
      </c>
      <c r="I59" s="67">
        <f t="shared" si="3"/>
        <v>0</v>
      </c>
      <c r="J59" s="67">
        <f t="shared" si="4"/>
        <v>0</v>
      </c>
      <c r="K59" s="100">
        <f t="shared" si="6"/>
        <v>0</v>
      </c>
      <c r="O59" s="96">
        <f>Amnt_Deposited!B54</f>
        <v>2040</v>
      </c>
      <c r="P59" s="99">
        <f>Amnt_Deposited!O54</f>
        <v>0</v>
      </c>
      <c r="Q59" s="283">
        <f>MCF!R58</f>
        <v>1</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Amnt_Deposited!O55</f>
        <v>0</v>
      </c>
      <c r="D60" s="417">
        <f>Dry_Matter_Content!O47</f>
        <v>0</v>
      </c>
      <c r="E60" s="283">
        <f>MCF!R59</f>
        <v>1</v>
      </c>
      <c r="F60" s="67">
        <f t="shared" si="0"/>
        <v>0</v>
      </c>
      <c r="G60" s="67">
        <f t="shared" si="1"/>
        <v>0</v>
      </c>
      <c r="H60" s="67">
        <f t="shared" si="2"/>
        <v>0</v>
      </c>
      <c r="I60" s="67">
        <f t="shared" si="3"/>
        <v>0</v>
      </c>
      <c r="J60" s="67">
        <f t="shared" si="4"/>
        <v>0</v>
      </c>
      <c r="K60" s="100">
        <f t="shared" si="6"/>
        <v>0</v>
      </c>
      <c r="O60" s="96">
        <f>Amnt_Deposited!B55</f>
        <v>2041</v>
      </c>
      <c r="P60" s="99">
        <f>Amnt_Deposited!O55</f>
        <v>0</v>
      </c>
      <c r="Q60" s="283">
        <f>MCF!R59</f>
        <v>1</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Amnt_Deposited!O56</f>
        <v>0</v>
      </c>
      <c r="D61" s="417">
        <f>Dry_Matter_Content!O48</f>
        <v>0</v>
      </c>
      <c r="E61" s="283">
        <f>MCF!R60</f>
        <v>1</v>
      </c>
      <c r="F61" s="67">
        <f t="shared" si="0"/>
        <v>0</v>
      </c>
      <c r="G61" s="67">
        <f t="shared" si="1"/>
        <v>0</v>
      </c>
      <c r="H61" s="67">
        <f t="shared" si="2"/>
        <v>0</v>
      </c>
      <c r="I61" s="67">
        <f t="shared" si="3"/>
        <v>0</v>
      </c>
      <c r="J61" s="67">
        <f t="shared" si="4"/>
        <v>0</v>
      </c>
      <c r="K61" s="100">
        <f t="shared" si="6"/>
        <v>0</v>
      </c>
      <c r="O61" s="96">
        <f>Amnt_Deposited!B56</f>
        <v>2042</v>
      </c>
      <c r="P61" s="99">
        <f>Amnt_Deposited!O56</f>
        <v>0</v>
      </c>
      <c r="Q61" s="283">
        <f>MCF!R60</f>
        <v>1</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Amnt_Deposited!O57</f>
        <v>0</v>
      </c>
      <c r="D62" s="417">
        <f>Dry_Matter_Content!O49</f>
        <v>0</v>
      </c>
      <c r="E62" s="283">
        <f>MCF!R61</f>
        <v>1</v>
      </c>
      <c r="F62" s="67">
        <f t="shared" si="0"/>
        <v>0</v>
      </c>
      <c r="G62" s="67">
        <f t="shared" si="1"/>
        <v>0</v>
      </c>
      <c r="H62" s="67">
        <f t="shared" si="2"/>
        <v>0</v>
      </c>
      <c r="I62" s="67">
        <f t="shared" si="3"/>
        <v>0</v>
      </c>
      <c r="J62" s="67">
        <f t="shared" si="4"/>
        <v>0</v>
      </c>
      <c r="K62" s="100">
        <f t="shared" si="6"/>
        <v>0</v>
      </c>
      <c r="O62" s="96">
        <f>Amnt_Deposited!B57</f>
        <v>2043</v>
      </c>
      <c r="P62" s="99">
        <f>Amnt_Deposited!O57</f>
        <v>0</v>
      </c>
      <c r="Q62" s="283">
        <f>MCF!R61</f>
        <v>1</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Amnt_Deposited!O58</f>
        <v>0</v>
      </c>
      <c r="D63" s="417">
        <f>Dry_Matter_Content!O50</f>
        <v>0</v>
      </c>
      <c r="E63" s="283">
        <f>MCF!R62</f>
        <v>1</v>
      </c>
      <c r="F63" s="67">
        <f t="shared" si="0"/>
        <v>0</v>
      </c>
      <c r="G63" s="67">
        <f t="shared" si="1"/>
        <v>0</v>
      </c>
      <c r="H63" s="67">
        <f t="shared" si="2"/>
        <v>0</v>
      </c>
      <c r="I63" s="67">
        <f t="shared" si="3"/>
        <v>0</v>
      </c>
      <c r="J63" s="67">
        <f t="shared" si="4"/>
        <v>0</v>
      </c>
      <c r="K63" s="100">
        <f t="shared" si="6"/>
        <v>0</v>
      </c>
      <c r="O63" s="96">
        <f>Amnt_Deposited!B58</f>
        <v>2044</v>
      </c>
      <c r="P63" s="99">
        <f>Amnt_Deposited!O58</f>
        <v>0</v>
      </c>
      <c r="Q63" s="283">
        <f>MCF!R62</f>
        <v>1</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Amnt_Deposited!O59</f>
        <v>0</v>
      </c>
      <c r="D64" s="417">
        <f>Dry_Matter_Content!O51</f>
        <v>0</v>
      </c>
      <c r="E64" s="283">
        <f>MCF!R63</f>
        <v>1</v>
      </c>
      <c r="F64" s="67">
        <f t="shared" si="0"/>
        <v>0</v>
      </c>
      <c r="G64" s="67">
        <f t="shared" si="1"/>
        <v>0</v>
      </c>
      <c r="H64" s="67">
        <f t="shared" si="2"/>
        <v>0</v>
      </c>
      <c r="I64" s="67">
        <f t="shared" si="3"/>
        <v>0</v>
      </c>
      <c r="J64" s="67">
        <f t="shared" si="4"/>
        <v>0</v>
      </c>
      <c r="K64" s="100">
        <f t="shared" si="6"/>
        <v>0</v>
      </c>
      <c r="O64" s="96">
        <f>Amnt_Deposited!B59</f>
        <v>2045</v>
      </c>
      <c r="P64" s="99">
        <f>Amnt_Deposited!O59</f>
        <v>0</v>
      </c>
      <c r="Q64" s="283">
        <f>MCF!R63</f>
        <v>1</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Amnt_Deposited!O60</f>
        <v>0</v>
      </c>
      <c r="D65" s="417">
        <f>Dry_Matter_Content!O52</f>
        <v>0</v>
      </c>
      <c r="E65" s="283">
        <f>MCF!R64</f>
        <v>1</v>
      </c>
      <c r="F65" s="67">
        <f t="shared" si="0"/>
        <v>0</v>
      </c>
      <c r="G65" s="67">
        <f t="shared" si="1"/>
        <v>0</v>
      </c>
      <c r="H65" s="67">
        <f t="shared" si="2"/>
        <v>0</v>
      </c>
      <c r="I65" s="67">
        <f t="shared" si="3"/>
        <v>0</v>
      </c>
      <c r="J65" s="67">
        <f t="shared" si="4"/>
        <v>0</v>
      </c>
      <c r="K65" s="100">
        <f t="shared" si="6"/>
        <v>0</v>
      </c>
      <c r="O65" s="96">
        <f>Amnt_Deposited!B60</f>
        <v>2046</v>
      </c>
      <c r="P65" s="99">
        <f>Amnt_Deposited!O60</f>
        <v>0</v>
      </c>
      <c r="Q65" s="283">
        <f>MCF!R64</f>
        <v>1</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Amnt_Deposited!O61</f>
        <v>0</v>
      </c>
      <c r="D66" s="417">
        <f>Dry_Matter_Content!O53</f>
        <v>0</v>
      </c>
      <c r="E66" s="283">
        <f>MCF!R65</f>
        <v>1</v>
      </c>
      <c r="F66" s="67">
        <f t="shared" si="0"/>
        <v>0</v>
      </c>
      <c r="G66" s="67">
        <f t="shared" si="1"/>
        <v>0</v>
      </c>
      <c r="H66" s="67">
        <f t="shared" si="2"/>
        <v>0</v>
      </c>
      <c r="I66" s="67">
        <f t="shared" si="3"/>
        <v>0</v>
      </c>
      <c r="J66" s="67">
        <f t="shared" si="4"/>
        <v>0</v>
      </c>
      <c r="K66" s="100">
        <f t="shared" si="6"/>
        <v>0</v>
      </c>
      <c r="O66" s="96">
        <f>Amnt_Deposited!B61</f>
        <v>2047</v>
      </c>
      <c r="P66" s="99">
        <f>Amnt_Deposited!O61</f>
        <v>0</v>
      </c>
      <c r="Q66" s="283">
        <f>MCF!R65</f>
        <v>1</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Amnt_Deposited!O62</f>
        <v>0</v>
      </c>
      <c r="D67" s="417">
        <f>Dry_Matter_Content!O54</f>
        <v>0</v>
      </c>
      <c r="E67" s="283">
        <f>MCF!R66</f>
        <v>1</v>
      </c>
      <c r="F67" s="67">
        <f t="shared" si="0"/>
        <v>0</v>
      </c>
      <c r="G67" s="67">
        <f t="shared" si="1"/>
        <v>0</v>
      </c>
      <c r="H67" s="67">
        <f t="shared" si="2"/>
        <v>0</v>
      </c>
      <c r="I67" s="67">
        <f t="shared" si="3"/>
        <v>0</v>
      </c>
      <c r="J67" s="67">
        <f t="shared" si="4"/>
        <v>0</v>
      </c>
      <c r="K67" s="100">
        <f t="shared" si="6"/>
        <v>0</v>
      </c>
      <c r="O67" s="96">
        <f>Amnt_Deposited!B62</f>
        <v>2048</v>
      </c>
      <c r="P67" s="99">
        <f>Amnt_Deposited!O62</f>
        <v>0</v>
      </c>
      <c r="Q67" s="283">
        <f>MCF!R66</f>
        <v>1</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Amnt_Deposited!O63</f>
        <v>0</v>
      </c>
      <c r="D68" s="417">
        <f>Dry_Matter_Content!O55</f>
        <v>0</v>
      </c>
      <c r="E68" s="283">
        <f>MCF!R67</f>
        <v>1</v>
      </c>
      <c r="F68" s="67">
        <f t="shared" si="0"/>
        <v>0</v>
      </c>
      <c r="G68" s="67">
        <f t="shared" si="1"/>
        <v>0</v>
      </c>
      <c r="H68" s="67">
        <f t="shared" si="2"/>
        <v>0</v>
      </c>
      <c r="I68" s="67">
        <f t="shared" si="3"/>
        <v>0</v>
      </c>
      <c r="J68" s="67">
        <f t="shared" si="4"/>
        <v>0</v>
      </c>
      <c r="K68" s="100">
        <f t="shared" si="6"/>
        <v>0</v>
      </c>
      <c r="O68" s="96">
        <f>Amnt_Deposited!B63</f>
        <v>2049</v>
      </c>
      <c r="P68" s="99">
        <f>Amnt_Deposited!O63</f>
        <v>0</v>
      </c>
      <c r="Q68" s="283">
        <f>MCF!R67</f>
        <v>1</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Amnt_Deposited!O64</f>
        <v>0</v>
      </c>
      <c r="D69" s="417">
        <f>Dry_Matter_Content!O56</f>
        <v>0</v>
      </c>
      <c r="E69" s="283">
        <f>MCF!R68</f>
        <v>1</v>
      </c>
      <c r="F69" s="67">
        <f t="shared" si="0"/>
        <v>0</v>
      </c>
      <c r="G69" s="67">
        <f t="shared" si="1"/>
        <v>0</v>
      </c>
      <c r="H69" s="67">
        <f t="shared" si="2"/>
        <v>0</v>
      </c>
      <c r="I69" s="67">
        <f t="shared" si="3"/>
        <v>0</v>
      </c>
      <c r="J69" s="67">
        <f t="shared" si="4"/>
        <v>0</v>
      </c>
      <c r="K69" s="100">
        <f t="shared" si="6"/>
        <v>0</v>
      </c>
      <c r="O69" s="96">
        <f>Amnt_Deposited!B64</f>
        <v>2050</v>
      </c>
      <c r="P69" s="99">
        <f>Amnt_Deposited!O64</f>
        <v>0</v>
      </c>
      <c r="Q69" s="283">
        <f>MCF!R68</f>
        <v>1</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Amnt_Deposited!O65</f>
        <v>0</v>
      </c>
      <c r="D70" s="417">
        <f>Dry_Matter_Content!O57</f>
        <v>0</v>
      </c>
      <c r="E70" s="283">
        <f>MCF!R69</f>
        <v>1</v>
      </c>
      <c r="F70" s="67">
        <f t="shared" si="0"/>
        <v>0</v>
      </c>
      <c r="G70" s="67">
        <f t="shared" si="1"/>
        <v>0</v>
      </c>
      <c r="H70" s="67">
        <f t="shared" si="2"/>
        <v>0</v>
      </c>
      <c r="I70" s="67">
        <f t="shared" si="3"/>
        <v>0</v>
      </c>
      <c r="J70" s="67">
        <f t="shared" si="4"/>
        <v>0</v>
      </c>
      <c r="K70" s="100">
        <f t="shared" si="6"/>
        <v>0</v>
      </c>
      <c r="O70" s="96">
        <f>Amnt_Deposited!B65</f>
        <v>2051</v>
      </c>
      <c r="P70" s="99">
        <f>Amnt_Deposited!O65</f>
        <v>0</v>
      </c>
      <c r="Q70" s="283">
        <f>MCF!R69</f>
        <v>1</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Amnt_Deposited!O66</f>
        <v>0</v>
      </c>
      <c r="D71" s="417">
        <f>Dry_Matter_Content!O58</f>
        <v>0</v>
      </c>
      <c r="E71" s="283">
        <f>MCF!R70</f>
        <v>1</v>
      </c>
      <c r="F71" s="67">
        <f t="shared" si="0"/>
        <v>0</v>
      </c>
      <c r="G71" s="67">
        <f t="shared" si="1"/>
        <v>0</v>
      </c>
      <c r="H71" s="67">
        <f t="shared" si="2"/>
        <v>0</v>
      </c>
      <c r="I71" s="67">
        <f t="shared" si="3"/>
        <v>0</v>
      </c>
      <c r="J71" s="67">
        <f t="shared" si="4"/>
        <v>0</v>
      </c>
      <c r="K71" s="100">
        <f t="shared" si="6"/>
        <v>0</v>
      </c>
      <c r="O71" s="96">
        <f>Amnt_Deposited!B66</f>
        <v>2052</v>
      </c>
      <c r="P71" s="99">
        <f>Amnt_Deposited!O66</f>
        <v>0</v>
      </c>
      <c r="Q71" s="283">
        <f>MCF!R70</f>
        <v>1</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Amnt_Deposited!O67</f>
        <v>0</v>
      </c>
      <c r="D72" s="417">
        <f>Dry_Matter_Content!O59</f>
        <v>0</v>
      </c>
      <c r="E72" s="283">
        <f>MCF!R71</f>
        <v>1</v>
      </c>
      <c r="F72" s="67">
        <f t="shared" si="0"/>
        <v>0</v>
      </c>
      <c r="G72" s="67">
        <f t="shared" si="1"/>
        <v>0</v>
      </c>
      <c r="H72" s="67">
        <f t="shared" si="2"/>
        <v>0</v>
      </c>
      <c r="I72" s="67">
        <f t="shared" si="3"/>
        <v>0</v>
      </c>
      <c r="J72" s="67">
        <f t="shared" si="4"/>
        <v>0</v>
      </c>
      <c r="K72" s="100">
        <f t="shared" si="6"/>
        <v>0</v>
      </c>
      <c r="O72" s="96">
        <f>Amnt_Deposited!B67</f>
        <v>2053</v>
      </c>
      <c r="P72" s="99">
        <f>Amnt_Deposited!O67</f>
        <v>0</v>
      </c>
      <c r="Q72" s="283">
        <f>MCF!R71</f>
        <v>1</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Amnt_Deposited!O68</f>
        <v>0</v>
      </c>
      <c r="D73" s="417">
        <f>Dry_Matter_Content!O60</f>
        <v>0</v>
      </c>
      <c r="E73" s="283">
        <f>MCF!R72</f>
        <v>1</v>
      </c>
      <c r="F73" s="67">
        <f t="shared" si="0"/>
        <v>0</v>
      </c>
      <c r="G73" s="67">
        <f t="shared" si="1"/>
        <v>0</v>
      </c>
      <c r="H73" s="67">
        <f t="shared" si="2"/>
        <v>0</v>
      </c>
      <c r="I73" s="67">
        <f t="shared" si="3"/>
        <v>0</v>
      </c>
      <c r="J73" s="67">
        <f t="shared" si="4"/>
        <v>0</v>
      </c>
      <c r="K73" s="100">
        <f t="shared" si="6"/>
        <v>0</v>
      </c>
      <c r="O73" s="96">
        <f>Amnt_Deposited!B68</f>
        <v>2054</v>
      </c>
      <c r="P73" s="99">
        <f>Amnt_Deposited!O68</f>
        <v>0</v>
      </c>
      <c r="Q73" s="283">
        <f>MCF!R72</f>
        <v>1</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Amnt_Deposited!O69</f>
        <v>0</v>
      </c>
      <c r="D74" s="417">
        <f>Dry_Matter_Content!O61</f>
        <v>0</v>
      </c>
      <c r="E74" s="283">
        <f>MCF!R73</f>
        <v>1</v>
      </c>
      <c r="F74" s="67">
        <f t="shared" si="0"/>
        <v>0</v>
      </c>
      <c r="G74" s="67">
        <f t="shared" si="1"/>
        <v>0</v>
      </c>
      <c r="H74" s="67">
        <f t="shared" si="2"/>
        <v>0</v>
      </c>
      <c r="I74" s="67">
        <f t="shared" si="3"/>
        <v>0</v>
      </c>
      <c r="J74" s="67">
        <f t="shared" si="4"/>
        <v>0</v>
      </c>
      <c r="K74" s="100">
        <f t="shared" si="6"/>
        <v>0</v>
      </c>
      <c r="O74" s="96">
        <f>Amnt_Deposited!B69</f>
        <v>2055</v>
      </c>
      <c r="P74" s="99">
        <f>Amnt_Deposited!O69</f>
        <v>0</v>
      </c>
      <c r="Q74" s="283">
        <f>MCF!R73</f>
        <v>1</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Amnt_Deposited!O70</f>
        <v>0</v>
      </c>
      <c r="D75" s="417">
        <f>Dry_Matter_Content!O62</f>
        <v>0</v>
      </c>
      <c r="E75" s="283">
        <f>MCF!R74</f>
        <v>1</v>
      </c>
      <c r="F75" s="67">
        <f t="shared" si="0"/>
        <v>0</v>
      </c>
      <c r="G75" s="67">
        <f t="shared" si="1"/>
        <v>0</v>
      </c>
      <c r="H75" s="67">
        <f t="shared" si="2"/>
        <v>0</v>
      </c>
      <c r="I75" s="67">
        <f t="shared" si="3"/>
        <v>0</v>
      </c>
      <c r="J75" s="67">
        <f t="shared" si="4"/>
        <v>0</v>
      </c>
      <c r="K75" s="100">
        <f t="shared" si="6"/>
        <v>0</v>
      </c>
      <c r="O75" s="96">
        <f>Amnt_Deposited!B70</f>
        <v>2056</v>
      </c>
      <c r="P75" s="99">
        <f>Amnt_Deposited!O70</f>
        <v>0</v>
      </c>
      <c r="Q75" s="283">
        <f>MCF!R74</f>
        <v>1</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Amnt_Deposited!O71</f>
        <v>0</v>
      </c>
      <c r="D76" s="417">
        <f>Dry_Matter_Content!O63</f>
        <v>0</v>
      </c>
      <c r="E76" s="283">
        <f>MCF!R75</f>
        <v>1</v>
      </c>
      <c r="F76" s="67">
        <f t="shared" si="0"/>
        <v>0</v>
      </c>
      <c r="G76" s="67">
        <f t="shared" si="1"/>
        <v>0</v>
      </c>
      <c r="H76" s="67">
        <f t="shared" si="2"/>
        <v>0</v>
      </c>
      <c r="I76" s="67">
        <f t="shared" si="3"/>
        <v>0</v>
      </c>
      <c r="J76" s="67">
        <f t="shared" si="4"/>
        <v>0</v>
      </c>
      <c r="K76" s="100">
        <f t="shared" si="6"/>
        <v>0</v>
      </c>
      <c r="O76" s="96">
        <f>Amnt_Deposited!B71</f>
        <v>2057</v>
      </c>
      <c r="P76" s="99">
        <f>Amnt_Deposited!O71</f>
        <v>0</v>
      </c>
      <c r="Q76" s="283">
        <f>MCF!R75</f>
        <v>1</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Amnt_Deposited!O72</f>
        <v>0</v>
      </c>
      <c r="D77" s="417">
        <f>Dry_Matter_Content!O64</f>
        <v>0</v>
      </c>
      <c r="E77" s="283">
        <f>MCF!R76</f>
        <v>1</v>
      </c>
      <c r="F77" s="67">
        <f t="shared" si="0"/>
        <v>0</v>
      </c>
      <c r="G77" s="67">
        <f t="shared" si="1"/>
        <v>0</v>
      </c>
      <c r="H77" s="67">
        <f t="shared" si="2"/>
        <v>0</v>
      </c>
      <c r="I77" s="67">
        <f t="shared" si="3"/>
        <v>0</v>
      </c>
      <c r="J77" s="67">
        <f t="shared" si="4"/>
        <v>0</v>
      </c>
      <c r="K77" s="100">
        <f t="shared" si="6"/>
        <v>0</v>
      </c>
      <c r="O77" s="96">
        <f>Amnt_Deposited!B72</f>
        <v>2058</v>
      </c>
      <c r="P77" s="99">
        <f>Amnt_Deposited!O72</f>
        <v>0</v>
      </c>
      <c r="Q77" s="283">
        <f>MCF!R76</f>
        <v>1</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Amnt_Deposited!O73</f>
        <v>0</v>
      </c>
      <c r="D78" s="417">
        <f>Dry_Matter_Content!O65</f>
        <v>0</v>
      </c>
      <c r="E78" s="283">
        <f>MCF!R77</f>
        <v>1</v>
      </c>
      <c r="F78" s="67">
        <f t="shared" si="0"/>
        <v>0</v>
      </c>
      <c r="G78" s="67">
        <f t="shared" si="1"/>
        <v>0</v>
      </c>
      <c r="H78" s="67">
        <f t="shared" si="2"/>
        <v>0</v>
      </c>
      <c r="I78" s="67">
        <f t="shared" si="3"/>
        <v>0</v>
      </c>
      <c r="J78" s="67">
        <f t="shared" si="4"/>
        <v>0</v>
      </c>
      <c r="K78" s="100">
        <f t="shared" si="6"/>
        <v>0</v>
      </c>
      <c r="O78" s="96">
        <f>Amnt_Deposited!B73</f>
        <v>2059</v>
      </c>
      <c r="P78" s="99">
        <f>Amnt_Deposited!O73</f>
        <v>0</v>
      </c>
      <c r="Q78" s="283">
        <f>MCF!R77</f>
        <v>1</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Amnt_Deposited!O74</f>
        <v>0</v>
      </c>
      <c r="D79" s="417">
        <f>Dry_Matter_Content!O66</f>
        <v>0</v>
      </c>
      <c r="E79" s="283">
        <f>MCF!R78</f>
        <v>1</v>
      </c>
      <c r="F79" s="67">
        <f t="shared" si="0"/>
        <v>0</v>
      </c>
      <c r="G79" s="67">
        <f t="shared" si="1"/>
        <v>0</v>
      </c>
      <c r="H79" s="67">
        <f t="shared" si="2"/>
        <v>0</v>
      </c>
      <c r="I79" s="67">
        <f t="shared" si="3"/>
        <v>0</v>
      </c>
      <c r="J79" s="67">
        <f t="shared" si="4"/>
        <v>0</v>
      </c>
      <c r="K79" s="100">
        <f t="shared" si="6"/>
        <v>0</v>
      </c>
      <c r="O79" s="96">
        <f>Amnt_Deposited!B74</f>
        <v>2060</v>
      </c>
      <c r="P79" s="99">
        <f>Amnt_Deposited!O74</f>
        <v>0</v>
      </c>
      <c r="Q79" s="283">
        <f>MCF!R78</f>
        <v>1</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Amnt_Deposited!O75</f>
        <v>0</v>
      </c>
      <c r="D80" s="417">
        <f>Dry_Matter_Content!O67</f>
        <v>0</v>
      </c>
      <c r="E80" s="283">
        <f>MCF!R79</f>
        <v>1</v>
      </c>
      <c r="F80" s="67">
        <f t="shared" si="0"/>
        <v>0</v>
      </c>
      <c r="G80" s="67">
        <f t="shared" si="1"/>
        <v>0</v>
      </c>
      <c r="H80" s="67">
        <f t="shared" si="2"/>
        <v>0</v>
      </c>
      <c r="I80" s="67">
        <f t="shared" si="3"/>
        <v>0</v>
      </c>
      <c r="J80" s="67">
        <f t="shared" si="4"/>
        <v>0</v>
      </c>
      <c r="K80" s="100">
        <f t="shared" si="6"/>
        <v>0</v>
      </c>
      <c r="O80" s="96">
        <f>Amnt_Deposited!B75</f>
        <v>2061</v>
      </c>
      <c r="P80" s="99">
        <f>Amnt_Deposited!O75</f>
        <v>0</v>
      </c>
      <c r="Q80" s="283">
        <f>MCF!R79</f>
        <v>1</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Amnt_Deposited!O76</f>
        <v>0</v>
      </c>
      <c r="D81" s="417">
        <f>Dry_Matter_Content!O68</f>
        <v>0</v>
      </c>
      <c r="E81" s="283">
        <f>MCF!R80</f>
        <v>1</v>
      </c>
      <c r="F81" s="67">
        <f t="shared" si="0"/>
        <v>0</v>
      </c>
      <c r="G81" s="67">
        <f t="shared" si="1"/>
        <v>0</v>
      </c>
      <c r="H81" s="67">
        <f t="shared" si="2"/>
        <v>0</v>
      </c>
      <c r="I81" s="67">
        <f t="shared" si="3"/>
        <v>0</v>
      </c>
      <c r="J81" s="67">
        <f t="shared" si="4"/>
        <v>0</v>
      </c>
      <c r="K81" s="100">
        <f t="shared" si="6"/>
        <v>0</v>
      </c>
      <c r="O81" s="96">
        <f>Amnt_Deposited!B76</f>
        <v>2062</v>
      </c>
      <c r="P81" s="99">
        <f>Amnt_Deposited!O76</f>
        <v>0</v>
      </c>
      <c r="Q81" s="283">
        <f>MCF!R80</f>
        <v>1</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Amnt_Deposited!O77</f>
        <v>0</v>
      </c>
      <c r="D82" s="417">
        <f>Dry_Matter_Content!O69</f>
        <v>0</v>
      </c>
      <c r="E82" s="283">
        <f>MCF!R81</f>
        <v>1</v>
      </c>
      <c r="F82" s="67">
        <f t="shared" si="0"/>
        <v>0</v>
      </c>
      <c r="G82" s="67">
        <f t="shared" si="1"/>
        <v>0</v>
      </c>
      <c r="H82" s="67">
        <f t="shared" si="2"/>
        <v>0</v>
      </c>
      <c r="I82" s="67">
        <f t="shared" si="3"/>
        <v>0</v>
      </c>
      <c r="J82" s="67">
        <f t="shared" si="4"/>
        <v>0</v>
      </c>
      <c r="K82" s="100">
        <f t="shared" si="6"/>
        <v>0</v>
      </c>
      <c r="O82" s="96">
        <f>Amnt_Deposited!B77</f>
        <v>2063</v>
      </c>
      <c r="P82" s="99">
        <f>Amnt_Deposited!O77</f>
        <v>0</v>
      </c>
      <c r="Q82" s="283">
        <f>MCF!R81</f>
        <v>1</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Amnt_Deposited!O78</f>
        <v>0</v>
      </c>
      <c r="D83" s="417">
        <f>Dry_Matter_Content!O70</f>
        <v>0</v>
      </c>
      <c r="E83" s="283">
        <f>MCF!R82</f>
        <v>1</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Amnt_Deposited!O78</f>
        <v>0</v>
      </c>
      <c r="Q83" s="283">
        <f>MCF!R82</f>
        <v>1</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Amnt_Deposited!O79</f>
        <v>0</v>
      </c>
      <c r="D84" s="417">
        <f>Dry_Matter_Content!O71</f>
        <v>0</v>
      </c>
      <c r="E84" s="283">
        <f>MCF!R83</f>
        <v>1</v>
      </c>
      <c r="F84" s="67">
        <f t="shared" si="12"/>
        <v>0</v>
      </c>
      <c r="G84" s="67">
        <f t="shared" si="13"/>
        <v>0</v>
      </c>
      <c r="H84" s="67">
        <f t="shared" si="14"/>
        <v>0</v>
      </c>
      <c r="I84" s="67">
        <f t="shared" si="15"/>
        <v>0</v>
      </c>
      <c r="J84" s="67">
        <f t="shared" si="16"/>
        <v>0</v>
      </c>
      <c r="K84" s="100">
        <f t="shared" si="6"/>
        <v>0</v>
      </c>
      <c r="O84" s="96">
        <f>Amnt_Deposited!B79</f>
        <v>2065</v>
      </c>
      <c r="P84" s="99">
        <f>Amnt_Deposited!O79</f>
        <v>0</v>
      </c>
      <c r="Q84" s="283">
        <f>MCF!R83</f>
        <v>1</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Amnt_Deposited!O80</f>
        <v>0</v>
      </c>
      <c r="D85" s="417">
        <f>Dry_Matter_Content!O72</f>
        <v>0</v>
      </c>
      <c r="E85" s="283">
        <f>MCF!R84</f>
        <v>1</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Amnt_Deposited!O80</f>
        <v>0</v>
      </c>
      <c r="Q85" s="283">
        <f>MCF!R84</f>
        <v>1</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Amnt_Deposited!O81</f>
        <v>0</v>
      </c>
      <c r="D86" s="417">
        <f>Dry_Matter_Content!O73</f>
        <v>0</v>
      </c>
      <c r="E86" s="283">
        <f>MCF!R85</f>
        <v>1</v>
      </c>
      <c r="F86" s="67">
        <f t="shared" si="12"/>
        <v>0</v>
      </c>
      <c r="G86" s="67">
        <f t="shared" si="13"/>
        <v>0</v>
      </c>
      <c r="H86" s="67">
        <f t="shared" si="14"/>
        <v>0</v>
      </c>
      <c r="I86" s="67">
        <f t="shared" si="15"/>
        <v>0</v>
      </c>
      <c r="J86" s="67">
        <f t="shared" si="16"/>
        <v>0</v>
      </c>
      <c r="K86" s="100">
        <f t="shared" si="18"/>
        <v>0</v>
      </c>
      <c r="O86" s="96">
        <f>Amnt_Deposited!B81</f>
        <v>2067</v>
      </c>
      <c r="P86" s="99">
        <f>Amnt_Deposited!O81</f>
        <v>0</v>
      </c>
      <c r="Q86" s="283">
        <f>MCF!R85</f>
        <v>1</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Amnt_Deposited!O82</f>
        <v>0</v>
      </c>
      <c r="D87" s="417">
        <f>Dry_Matter_Content!O74</f>
        <v>0</v>
      </c>
      <c r="E87" s="283">
        <f>MCF!R86</f>
        <v>1</v>
      </c>
      <c r="F87" s="67">
        <f t="shared" si="12"/>
        <v>0</v>
      </c>
      <c r="G87" s="67">
        <f t="shared" si="13"/>
        <v>0</v>
      </c>
      <c r="H87" s="67">
        <f t="shared" si="14"/>
        <v>0</v>
      </c>
      <c r="I87" s="67">
        <f t="shared" si="15"/>
        <v>0</v>
      </c>
      <c r="J87" s="67">
        <f t="shared" si="16"/>
        <v>0</v>
      </c>
      <c r="K87" s="100">
        <f t="shared" si="18"/>
        <v>0</v>
      </c>
      <c r="O87" s="96">
        <f>Amnt_Deposited!B82</f>
        <v>2068</v>
      </c>
      <c r="P87" s="99">
        <f>Amnt_Deposited!O82</f>
        <v>0</v>
      </c>
      <c r="Q87" s="283">
        <f>MCF!R86</f>
        <v>1</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Amnt_Deposited!O83</f>
        <v>0</v>
      </c>
      <c r="D88" s="417">
        <f>Dry_Matter_Content!O75</f>
        <v>0</v>
      </c>
      <c r="E88" s="283">
        <f>MCF!R87</f>
        <v>1</v>
      </c>
      <c r="F88" s="67">
        <f t="shared" si="12"/>
        <v>0</v>
      </c>
      <c r="G88" s="67">
        <f t="shared" si="13"/>
        <v>0</v>
      </c>
      <c r="H88" s="67">
        <f t="shared" si="14"/>
        <v>0</v>
      </c>
      <c r="I88" s="67">
        <f t="shared" si="15"/>
        <v>0</v>
      </c>
      <c r="J88" s="67">
        <f t="shared" si="16"/>
        <v>0</v>
      </c>
      <c r="K88" s="100">
        <f t="shared" si="18"/>
        <v>0</v>
      </c>
      <c r="O88" s="96">
        <f>Amnt_Deposited!B83</f>
        <v>2069</v>
      </c>
      <c r="P88" s="99">
        <f>Amnt_Deposited!O83</f>
        <v>0</v>
      </c>
      <c r="Q88" s="283">
        <f>MCF!R87</f>
        <v>1</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Amnt_Deposited!O84</f>
        <v>0</v>
      </c>
      <c r="D89" s="417">
        <f>Dry_Matter_Content!O76</f>
        <v>0</v>
      </c>
      <c r="E89" s="283">
        <f>MCF!R88</f>
        <v>1</v>
      </c>
      <c r="F89" s="67">
        <f t="shared" si="12"/>
        <v>0</v>
      </c>
      <c r="G89" s="67">
        <f t="shared" si="13"/>
        <v>0</v>
      </c>
      <c r="H89" s="67">
        <f t="shared" si="14"/>
        <v>0</v>
      </c>
      <c r="I89" s="67">
        <f t="shared" si="15"/>
        <v>0</v>
      </c>
      <c r="J89" s="67">
        <f t="shared" si="16"/>
        <v>0</v>
      </c>
      <c r="K89" s="100">
        <f t="shared" si="18"/>
        <v>0</v>
      </c>
      <c r="O89" s="96">
        <f>Amnt_Deposited!B84</f>
        <v>2070</v>
      </c>
      <c r="P89" s="99">
        <f>Amnt_Deposited!O84</f>
        <v>0</v>
      </c>
      <c r="Q89" s="283">
        <f>MCF!R88</f>
        <v>1</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Amnt_Deposited!O85</f>
        <v>0</v>
      </c>
      <c r="D90" s="417">
        <f>Dry_Matter_Content!O77</f>
        <v>0</v>
      </c>
      <c r="E90" s="283">
        <f>MCF!R89</f>
        <v>1</v>
      </c>
      <c r="F90" s="67">
        <f t="shared" si="12"/>
        <v>0</v>
      </c>
      <c r="G90" s="67">
        <f t="shared" si="13"/>
        <v>0</v>
      </c>
      <c r="H90" s="67">
        <f t="shared" si="14"/>
        <v>0</v>
      </c>
      <c r="I90" s="67">
        <f t="shared" si="15"/>
        <v>0</v>
      </c>
      <c r="J90" s="67">
        <f t="shared" si="16"/>
        <v>0</v>
      </c>
      <c r="K90" s="100">
        <f t="shared" si="18"/>
        <v>0</v>
      </c>
      <c r="O90" s="96">
        <f>Amnt_Deposited!B85</f>
        <v>2071</v>
      </c>
      <c r="P90" s="99">
        <f>Amnt_Deposited!O85</f>
        <v>0</v>
      </c>
      <c r="Q90" s="283">
        <f>MCF!R89</f>
        <v>1</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Amnt_Deposited!O86</f>
        <v>0</v>
      </c>
      <c r="D91" s="417">
        <f>Dry_Matter_Content!O78</f>
        <v>0</v>
      </c>
      <c r="E91" s="283">
        <f>MCF!R90</f>
        <v>1</v>
      </c>
      <c r="F91" s="67">
        <f t="shared" si="12"/>
        <v>0</v>
      </c>
      <c r="G91" s="67">
        <f t="shared" si="13"/>
        <v>0</v>
      </c>
      <c r="H91" s="67">
        <f t="shared" si="14"/>
        <v>0</v>
      </c>
      <c r="I91" s="67">
        <f t="shared" si="15"/>
        <v>0</v>
      </c>
      <c r="J91" s="67">
        <f t="shared" si="16"/>
        <v>0</v>
      </c>
      <c r="K91" s="100">
        <f t="shared" si="18"/>
        <v>0</v>
      </c>
      <c r="O91" s="96">
        <f>Amnt_Deposited!B86</f>
        <v>2072</v>
      </c>
      <c r="P91" s="99">
        <f>Amnt_Deposited!O86</f>
        <v>0</v>
      </c>
      <c r="Q91" s="283">
        <f>MCF!R90</f>
        <v>1</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Amnt_Deposited!O87</f>
        <v>0</v>
      </c>
      <c r="D92" s="417">
        <f>Dry_Matter_Content!O79</f>
        <v>0</v>
      </c>
      <c r="E92" s="283">
        <f>MCF!R91</f>
        <v>1</v>
      </c>
      <c r="F92" s="67">
        <f t="shared" si="12"/>
        <v>0</v>
      </c>
      <c r="G92" s="67">
        <f t="shared" si="13"/>
        <v>0</v>
      </c>
      <c r="H92" s="67">
        <f t="shared" si="14"/>
        <v>0</v>
      </c>
      <c r="I92" s="67">
        <f t="shared" si="15"/>
        <v>0</v>
      </c>
      <c r="J92" s="67">
        <f t="shared" si="16"/>
        <v>0</v>
      </c>
      <c r="K92" s="100">
        <f t="shared" si="18"/>
        <v>0</v>
      </c>
      <c r="O92" s="96">
        <f>Amnt_Deposited!B87</f>
        <v>2073</v>
      </c>
      <c r="P92" s="99">
        <f>Amnt_Deposited!O87</f>
        <v>0</v>
      </c>
      <c r="Q92" s="283">
        <f>MCF!R91</f>
        <v>1</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Amnt_Deposited!O88</f>
        <v>0</v>
      </c>
      <c r="D93" s="417">
        <f>Dry_Matter_Content!O80</f>
        <v>0</v>
      </c>
      <c r="E93" s="283">
        <f>MCF!R92</f>
        <v>1</v>
      </c>
      <c r="F93" s="67">
        <f t="shared" si="12"/>
        <v>0</v>
      </c>
      <c r="G93" s="67">
        <f t="shared" si="13"/>
        <v>0</v>
      </c>
      <c r="H93" s="67">
        <f t="shared" si="14"/>
        <v>0</v>
      </c>
      <c r="I93" s="67">
        <f t="shared" si="15"/>
        <v>0</v>
      </c>
      <c r="J93" s="67">
        <f t="shared" si="16"/>
        <v>0</v>
      </c>
      <c r="K93" s="100">
        <f t="shared" si="18"/>
        <v>0</v>
      </c>
      <c r="O93" s="96">
        <f>Amnt_Deposited!B88</f>
        <v>2074</v>
      </c>
      <c r="P93" s="99">
        <f>Amnt_Deposited!O88</f>
        <v>0</v>
      </c>
      <c r="Q93" s="283">
        <f>MCF!R92</f>
        <v>1</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Amnt_Deposited!O89</f>
        <v>0</v>
      </c>
      <c r="D94" s="417">
        <f>Dry_Matter_Content!O81</f>
        <v>0</v>
      </c>
      <c r="E94" s="283">
        <f>MCF!R93</f>
        <v>1</v>
      </c>
      <c r="F94" s="67">
        <f t="shared" si="12"/>
        <v>0</v>
      </c>
      <c r="G94" s="67">
        <f t="shared" si="13"/>
        <v>0</v>
      </c>
      <c r="H94" s="67">
        <f t="shared" si="14"/>
        <v>0</v>
      </c>
      <c r="I94" s="67">
        <f t="shared" si="15"/>
        <v>0</v>
      </c>
      <c r="J94" s="67">
        <f t="shared" si="16"/>
        <v>0</v>
      </c>
      <c r="K94" s="100">
        <f t="shared" si="18"/>
        <v>0</v>
      </c>
      <c r="O94" s="96">
        <f>Amnt_Deposited!B89</f>
        <v>2075</v>
      </c>
      <c r="P94" s="99">
        <f>Amnt_Deposited!O89</f>
        <v>0</v>
      </c>
      <c r="Q94" s="283">
        <f>MCF!R93</f>
        <v>1</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Amnt_Deposited!O90</f>
        <v>0</v>
      </c>
      <c r="D95" s="417">
        <f>Dry_Matter_Content!O82</f>
        <v>0</v>
      </c>
      <c r="E95" s="283">
        <f>MCF!R94</f>
        <v>1</v>
      </c>
      <c r="F95" s="67">
        <f t="shared" si="12"/>
        <v>0</v>
      </c>
      <c r="G95" s="67">
        <f t="shared" si="13"/>
        <v>0</v>
      </c>
      <c r="H95" s="67">
        <f t="shared" si="14"/>
        <v>0</v>
      </c>
      <c r="I95" s="67">
        <f t="shared" si="15"/>
        <v>0</v>
      </c>
      <c r="J95" s="67">
        <f t="shared" si="16"/>
        <v>0</v>
      </c>
      <c r="K95" s="100">
        <f t="shared" si="18"/>
        <v>0</v>
      </c>
      <c r="O95" s="96">
        <f>Amnt_Deposited!B90</f>
        <v>2076</v>
      </c>
      <c r="P95" s="99">
        <f>Amnt_Deposited!O90</f>
        <v>0</v>
      </c>
      <c r="Q95" s="283">
        <f>MCF!R94</f>
        <v>1</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Amnt_Deposited!O91</f>
        <v>0</v>
      </c>
      <c r="D96" s="417">
        <f>Dry_Matter_Content!O83</f>
        <v>0</v>
      </c>
      <c r="E96" s="283">
        <f>MCF!R95</f>
        <v>1</v>
      </c>
      <c r="F96" s="67">
        <f t="shared" si="12"/>
        <v>0</v>
      </c>
      <c r="G96" s="67">
        <f t="shared" si="13"/>
        <v>0</v>
      </c>
      <c r="H96" s="67">
        <f t="shared" si="14"/>
        <v>0</v>
      </c>
      <c r="I96" s="67">
        <f t="shared" si="15"/>
        <v>0</v>
      </c>
      <c r="J96" s="67">
        <f t="shared" si="16"/>
        <v>0</v>
      </c>
      <c r="K96" s="100">
        <f t="shared" si="18"/>
        <v>0</v>
      </c>
      <c r="O96" s="96">
        <f>Amnt_Deposited!B91</f>
        <v>2077</v>
      </c>
      <c r="P96" s="99">
        <f>Amnt_Deposited!O91</f>
        <v>0</v>
      </c>
      <c r="Q96" s="283">
        <f>MCF!R95</f>
        <v>1</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Amnt_Deposited!O92</f>
        <v>0</v>
      </c>
      <c r="D97" s="417">
        <f>Dry_Matter_Content!O84</f>
        <v>0</v>
      </c>
      <c r="E97" s="283">
        <f>MCF!R96</f>
        <v>1</v>
      </c>
      <c r="F97" s="67">
        <f t="shared" si="12"/>
        <v>0</v>
      </c>
      <c r="G97" s="67">
        <f t="shared" si="13"/>
        <v>0</v>
      </c>
      <c r="H97" s="67">
        <f t="shared" si="14"/>
        <v>0</v>
      </c>
      <c r="I97" s="67">
        <f t="shared" si="15"/>
        <v>0</v>
      </c>
      <c r="J97" s="67">
        <f t="shared" si="16"/>
        <v>0</v>
      </c>
      <c r="K97" s="100">
        <f t="shared" si="18"/>
        <v>0</v>
      </c>
      <c r="O97" s="96">
        <f>Amnt_Deposited!B92</f>
        <v>2078</v>
      </c>
      <c r="P97" s="99">
        <f>Amnt_Deposited!O92</f>
        <v>0</v>
      </c>
      <c r="Q97" s="283">
        <f>MCF!R96</f>
        <v>1</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Amnt_Deposited!O93</f>
        <v>0</v>
      </c>
      <c r="D98" s="417">
        <f>Dry_Matter_Content!O85</f>
        <v>0</v>
      </c>
      <c r="E98" s="283">
        <f>MCF!R97</f>
        <v>1</v>
      </c>
      <c r="F98" s="67">
        <f t="shared" si="12"/>
        <v>0</v>
      </c>
      <c r="G98" s="67">
        <f t="shared" si="13"/>
        <v>0</v>
      </c>
      <c r="H98" s="67">
        <f t="shared" si="14"/>
        <v>0</v>
      </c>
      <c r="I98" s="67">
        <f t="shared" si="15"/>
        <v>0</v>
      </c>
      <c r="J98" s="67">
        <f t="shared" si="16"/>
        <v>0</v>
      </c>
      <c r="K98" s="100">
        <f t="shared" si="18"/>
        <v>0</v>
      </c>
      <c r="O98" s="96">
        <f>Amnt_Deposited!B93</f>
        <v>2079</v>
      </c>
      <c r="P98" s="99">
        <f>Amnt_Deposited!O93</f>
        <v>0</v>
      </c>
      <c r="Q98" s="283">
        <f>MCF!R97</f>
        <v>1</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Amnt_Deposited!O94</f>
        <v>0</v>
      </c>
      <c r="D99" s="418">
        <f>Dry_Matter_Content!O86</f>
        <v>0</v>
      </c>
      <c r="E99" s="284">
        <f>MCF!R98</f>
        <v>1</v>
      </c>
      <c r="F99" s="68">
        <f t="shared" si="12"/>
        <v>0</v>
      </c>
      <c r="G99" s="68">
        <f t="shared" si="13"/>
        <v>0</v>
      </c>
      <c r="H99" s="68">
        <f t="shared" si="14"/>
        <v>0</v>
      </c>
      <c r="I99" s="68">
        <f t="shared" si="15"/>
        <v>0</v>
      </c>
      <c r="J99" s="68">
        <f t="shared" si="16"/>
        <v>0</v>
      </c>
      <c r="K99" s="102">
        <f t="shared" si="18"/>
        <v>0</v>
      </c>
      <c r="O99" s="97">
        <f>Amnt_Deposited!B94</f>
        <v>2080</v>
      </c>
      <c r="P99" s="99">
        <f>Amnt_Deposited!O94</f>
        <v>0</v>
      </c>
      <c r="Q99" s="284">
        <f>MCF!R98</f>
        <v>1</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W99"/>
  <sheetViews>
    <sheetView showGridLines="0" workbookViewId="0">
      <selection activeCell="P19" sqref="P19"/>
    </sheetView>
  </sheetViews>
  <sheetFormatPr defaultColWidth="8.85546875" defaultRowHeight="12.75"/>
  <cols>
    <col min="1" max="1" width="3.42578125" style="47" customWidth="1"/>
    <col min="2" max="2" width="5.28515625" style="47" customWidth="1"/>
    <col min="3" max="4" width="9" style="47" customWidth="1"/>
    <col min="5" max="5" width="7.42578125" style="222" customWidth="1"/>
    <col min="6" max="6" width="10.85546875" style="47" customWidth="1"/>
    <col min="7" max="7" width="10.7109375" style="47" customWidth="1"/>
    <col min="8" max="8" width="10.140625" style="47" customWidth="1"/>
    <col min="9" max="9" width="14.42578125" style="47" customWidth="1"/>
    <col min="10" max="10" width="12" style="47" customWidth="1"/>
    <col min="11" max="11" width="10.28515625" style="47" customWidth="1"/>
    <col min="12" max="12" width="8.85546875" style="6"/>
    <col min="13" max="13" width="2.7109375" style="391" customWidth="1"/>
    <col min="14" max="16384" width="8.85546875" style="6"/>
  </cols>
  <sheetData>
    <row r="2" spans="1:23" ht="15.75">
      <c r="B2" s="45" t="s">
        <v>310</v>
      </c>
      <c r="C2" s="223"/>
      <c r="D2" s="223"/>
      <c r="E2" s="224"/>
      <c r="F2" s="225"/>
      <c r="G2" s="225"/>
      <c r="H2" s="225"/>
      <c r="I2" s="225"/>
      <c r="J2" s="225"/>
      <c r="K2" s="225"/>
    </row>
    <row r="3" spans="1:23" ht="15">
      <c r="B3" s="242"/>
      <c r="C3" s="223"/>
      <c r="D3" s="223"/>
      <c r="E3" s="224"/>
      <c r="F3" s="225"/>
      <c r="G3" s="225"/>
      <c r="H3" s="225"/>
      <c r="I3" s="225"/>
      <c r="J3" s="225"/>
      <c r="K3" s="225"/>
    </row>
    <row r="4" spans="1:23" ht="16.5" thickBot="1">
      <c r="B4" s="226"/>
      <c r="C4" s="227"/>
      <c r="D4" s="227"/>
      <c r="E4" s="256"/>
      <c r="F4" s="228"/>
      <c r="G4" s="228"/>
      <c r="H4" s="228"/>
      <c r="I4" s="228"/>
      <c r="J4" s="228"/>
      <c r="K4" s="228"/>
    </row>
    <row r="5" spans="1:23" ht="26.25" thickBot="1">
      <c r="B5" s="229"/>
      <c r="C5" s="230"/>
      <c r="D5" s="230"/>
      <c r="F5" s="231"/>
      <c r="G5" s="216"/>
      <c r="H5" s="216"/>
      <c r="I5" s="216"/>
      <c r="J5" s="216"/>
      <c r="K5" s="115" t="s">
        <v>7</v>
      </c>
      <c r="O5" s="229"/>
      <c r="P5" s="230"/>
      <c r="Q5" s="222"/>
      <c r="R5" s="231"/>
      <c r="S5" s="216"/>
      <c r="T5" s="216"/>
      <c r="U5" s="216"/>
      <c r="V5" s="216"/>
      <c r="W5" s="115" t="s">
        <v>7</v>
      </c>
    </row>
    <row r="6" spans="1:23">
      <c r="B6" s="229"/>
      <c r="C6" s="230"/>
      <c r="D6" s="230"/>
      <c r="F6" s="108" t="s">
        <v>9</v>
      </c>
      <c r="G6" s="109"/>
      <c r="H6" s="109"/>
      <c r="I6" s="113"/>
      <c r="J6" s="120" t="s">
        <v>9</v>
      </c>
      <c r="K6" s="260">
        <f>Parameters!O28</f>
        <v>0</v>
      </c>
      <c r="O6" s="229"/>
      <c r="P6" s="230"/>
      <c r="Q6" s="222"/>
      <c r="R6" s="108" t="s">
        <v>9</v>
      </c>
      <c r="S6" s="109"/>
      <c r="T6" s="109"/>
      <c r="U6" s="113"/>
      <c r="V6" s="120" t="s">
        <v>9</v>
      </c>
      <c r="W6" s="260">
        <f>Parameters!R28</f>
        <v>0.15</v>
      </c>
    </row>
    <row r="7" spans="1:23" ht="13.5" thickBot="1">
      <c r="B7" s="229"/>
      <c r="C7" s="230"/>
      <c r="D7" s="230"/>
      <c r="F7" s="250" t="s">
        <v>12</v>
      </c>
      <c r="G7" s="251"/>
      <c r="H7" s="251"/>
      <c r="I7" s="252"/>
      <c r="J7" s="253" t="s">
        <v>12</v>
      </c>
      <c r="K7" s="254">
        <f>DOCF</f>
        <v>0.5</v>
      </c>
      <c r="O7" s="229"/>
      <c r="P7" s="230"/>
      <c r="Q7" s="222"/>
      <c r="R7" s="250" t="s">
        <v>12</v>
      </c>
      <c r="S7" s="251"/>
      <c r="T7" s="251"/>
      <c r="U7" s="252"/>
      <c r="V7" s="253" t="s">
        <v>12</v>
      </c>
      <c r="W7" s="254">
        <f>DOCF</f>
        <v>0.5</v>
      </c>
    </row>
    <row r="8" spans="1:23">
      <c r="F8" s="108" t="s">
        <v>192</v>
      </c>
      <c r="G8" s="109"/>
      <c r="H8" s="109"/>
      <c r="I8" s="113"/>
      <c r="J8" s="120" t="s">
        <v>188</v>
      </c>
      <c r="K8" s="114">
        <f>Parameters!O47</f>
        <v>0.17</v>
      </c>
      <c r="O8" s="47"/>
      <c r="P8" s="47"/>
      <c r="Q8" s="222"/>
      <c r="R8" s="108" t="s">
        <v>192</v>
      </c>
      <c r="S8" s="109"/>
      <c r="T8" s="109"/>
      <c r="U8" s="113"/>
      <c r="V8" s="120" t="s">
        <v>188</v>
      </c>
      <c r="W8" s="114">
        <f>Parameters!O47</f>
        <v>0.17</v>
      </c>
    </row>
    <row r="9" spans="1:23" ht="15.75">
      <c r="F9" s="246" t="s">
        <v>190</v>
      </c>
      <c r="G9" s="247"/>
      <c r="H9" s="247"/>
      <c r="I9" s="248"/>
      <c r="J9" s="249" t="s">
        <v>189</v>
      </c>
      <c r="K9" s="255">
        <f>LN(2)/$K$8</f>
        <v>4.077336356234972</v>
      </c>
      <c r="O9" s="47"/>
      <c r="P9" s="47"/>
      <c r="Q9" s="222"/>
      <c r="R9" s="246" t="s">
        <v>190</v>
      </c>
      <c r="S9" s="247"/>
      <c r="T9" s="247"/>
      <c r="U9" s="248"/>
      <c r="V9" s="249" t="s">
        <v>189</v>
      </c>
      <c r="W9" s="255">
        <f>LN(2)/$W$8</f>
        <v>4.077336356234972</v>
      </c>
    </row>
    <row r="10" spans="1:23">
      <c r="F10" s="110" t="s">
        <v>84</v>
      </c>
      <c r="G10" s="111"/>
      <c r="H10" s="111"/>
      <c r="I10" s="112"/>
      <c r="J10" s="121" t="s">
        <v>148</v>
      </c>
      <c r="K10" s="49">
        <f>EXP(-$K$8)</f>
        <v>0.8436648165963837</v>
      </c>
      <c r="O10" s="47"/>
      <c r="P10" s="47"/>
      <c r="Q10" s="222"/>
      <c r="R10" s="110" t="s">
        <v>84</v>
      </c>
      <c r="S10" s="111"/>
      <c r="T10" s="111"/>
      <c r="U10" s="112"/>
      <c r="V10" s="121" t="s">
        <v>148</v>
      </c>
      <c r="W10" s="49">
        <f>EXP(-$W$8)</f>
        <v>0.8436648165963837</v>
      </c>
    </row>
    <row r="11" spans="1:23">
      <c r="F11" s="110" t="s">
        <v>8</v>
      </c>
      <c r="G11" s="111"/>
      <c r="H11" s="111"/>
      <c r="I11" s="112"/>
      <c r="J11" s="121" t="s">
        <v>83</v>
      </c>
      <c r="K11" s="49">
        <v>13</v>
      </c>
      <c r="O11" s="47"/>
      <c r="P11" s="47"/>
      <c r="Q11" s="222"/>
      <c r="R11" s="110" t="s">
        <v>8</v>
      </c>
      <c r="S11" s="111"/>
      <c r="T11" s="111"/>
      <c r="U11" s="112"/>
      <c r="V11" s="121" t="s">
        <v>83</v>
      </c>
      <c r="W11" s="49">
        <v>13</v>
      </c>
    </row>
    <row r="12" spans="1:23" ht="13.5" thickBot="1">
      <c r="F12" s="217" t="s">
        <v>85</v>
      </c>
      <c r="G12" s="218"/>
      <c r="H12" s="218"/>
      <c r="I12" s="219"/>
      <c r="J12" s="220" t="s">
        <v>179</v>
      </c>
      <c r="K12" s="221">
        <f>EXP(-$K$8*((13-K11)/12))</f>
        <v>1</v>
      </c>
      <c r="O12" s="47"/>
      <c r="P12" s="47"/>
      <c r="Q12" s="222"/>
      <c r="R12" s="217" t="s">
        <v>85</v>
      </c>
      <c r="S12" s="218"/>
      <c r="T12" s="218"/>
      <c r="U12" s="219"/>
      <c r="V12" s="220" t="s">
        <v>179</v>
      </c>
      <c r="W12" s="221">
        <f>EXP(-$W$8*((13-W11)/12))</f>
        <v>1</v>
      </c>
    </row>
    <row r="13" spans="1:23" ht="13.5" thickBot="1">
      <c r="C13" s="50"/>
      <c r="D13" s="50"/>
      <c r="F13" s="116" t="s">
        <v>86</v>
      </c>
      <c r="G13" s="117"/>
      <c r="H13" s="117"/>
      <c r="I13" s="118"/>
      <c r="J13" s="122" t="s">
        <v>82</v>
      </c>
      <c r="K13" s="119">
        <f>CH4_fraction</f>
        <v>0.5</v>
      </c>
      <c r="O13" s="47"/>
      <c r="P13" s="50"/>
      <c r="Q13" s="222"/>
      <c r="R13" s="116" t="s">
        <v>86</v>
      </c>
      <c r="S13" s="117"/>
      <c r="T13" s="117"/>
      <c r="U13" s="118"/>
      <c r="V13" s="122" t="s">
        <v>82</v>
      </c>
      <c r="W13" s="119">
        <f>CH4_fraction</f>
        <v>0.5</v>
      </c>
    </row>
    <row r="14" spans="1:23" ht="13.5" thickBot="1">
      <c r="F14" s="48"/>
      <c r="G14" s="48"/>
      <c r="H14" s="48"/>
      <c r="I14" s="48"/>
      <c r="J14" s="48"/>
      <c r="K14" s="48"/>
      <c r="O14" s="47"/>
      <c r="P14" s="47"/>
      <c r="Q14" s="222"/>
      <c r="R14" s="48"/>
      <c r="S14" s="48"/>
      <c r="T14" s="48"/>
      <c r="U14" s="48"/>
      <c r="V14" s="48"/>
      <c r="W14" s="48"/>
    </row>
    <row r="15" spans="1:23" ht="89.25">
      <c r="B15" s="51" t="s">
        <v>1</v>
      </c>
      <c r="C15" s="52" t="s">
        <v>10</v>
      </c>
      <c r="D15" s="378" t="s">
        <v>239</v>
      </c>
      <c r="E15" s="53" t="s">
        <v>11</v>
      </c>
      <c r="F15" s="54" t="s">
        <v>180</v>
      </c>
      <c r="G15" s="54" t="s">
        <v>181</v>
      </c>
      <c r="H15" s="54" t="s">
        <v>182</v>
      </c>
      <c r="I15" s="54" t="s">
        <v>183</v>
      </c>
      <c r="J15" s="54" t="s">
        <v>184</v>
      </c>
      <c r="K15" s="245" t="s">
        <v>185</v>
      </c>
      <c r="O15" s="51" t="s">
        <v>1</v>
      </c>
      <c r="P15" s="52" t="s">
        <v>10</v>
      </c>
      <c r="Q15" s="53" t="s">
        <v>11</v>
      </c>
      <c r="R15" s="54" t="s">
        <v>180</v>
      </c>
      <c r="S15" s="54" t="s">
        <v>181</v>
      </c>
      <c r="T15" s="54" t="s">
        <v>182</v>
      </c>
      <c r="U15" s="54" t="s">
        <v>183</v>
      </c>
      <c r="V15" s="54" t="s">
        <v>184</v>
      </c>
      <c r="W15" s="245" t="s">
        <v>185</v>
      </c>
    </row>
    <row r="16" spans="1:23" ht="45">
      <c r="A16" s="232"/>
      <c r="B16" s="103"/>
      <c r="C16" s="104" t="s">
        <v>186</v>
      </c>
      <c r="D16" s="104" t="s">
        <v>240</v>
      </c>
      <c r="E16" s="105" t="s">
        <v>11</v>
      </c>
      <c r="F16" s="106" t="s">
        <v>254</v>
      </c>
      <c r="G16" s="106" t="s">
        <v>149</v>
      </c>
      <c r="H16" s="106" t="s">
        <v>150</v>
      </c>
      <c r="I16" s="106" t="s">
        <v>151</v>
      </c>
      <c r="J16" s="106" t="s">
        <v>191</v>
      </c>
      <c r="K16" s="107" t="s">
        <v>152</v>
      </c>
      <c r="O16" s="103"/>
      <c r="P16" s="104" t="s">
        <v>186</v>
      </c>
      <c r="Q16" s="105" t="s">
        <v>11</v>
      </c>
      <c r="R16" s="106" t="s">
        <v>187</v>
      </c>
      <c r="S16" s="106" t="s">
        <v>149</v>
      </c>
      <c r="T16" s="106" t="s">
        <v>150</v>
      </c>
      <c r="U16" s="106" t="s">
        <v>151</v>
      </c>
      <c r="V16" s="106" t="s">
        <v>191</v>
      </c>
      <c r="W16" s="107" t="s">
        <v>152</v>
      </c>
    </row>
    <row r="17" spans="2:23" ht="13.5" thickBot="1">
      <c r="B17" s="55"/>
      <c r="C17" s="56" t="s">
        <v>15</v>
      </c>
      <c r="D17" s="57" t="s">
        <v>20</v>
      </c>
      <c r="E17" s="57" t="s">
        <v>20</v>
      </c>
      <c r="F17" s="58" t="s">
        <v>15</v>
      </c>
      <c r="G17" s="58" t="s">
        <v>15</v>
      </c>
      <c r="H17" s="58" t="s">
        <v>15</v>
      </c>
      <c r="I17" s="58" t="s">
        <v>15</v>
      </c>
      <c r="J17" s="58" t="s">
        <v>15</v>
      </c>
      <c r="K17" s="59" t="s">
        <v>15</v>
      </c>
      <c r="O17" s="55"/>
      <c r="P17" s="56" t="s">
        <v>15</v>
      </c>
      <c r="Q17" s="57" t="s">
        <v>20</v>
      </c>
      <c r="R17" s="58" t="s">
        <v>15</v>
      </c>
      <c r="S17" s="58" t="s">
        <v>15</v>
      </c>
      <c r="T17" s="58" t="s">
        <v>15</v>
      </c>
      <c r="U17" s="58" t="s">
        <v>15</v>
      </c>
      <c r="V17" s="58" t="s">
        <v>15</v>
      </c>
      <c r="W17" s="59" t="s">
        <v>15</v>
      </c>
    </row>
    <row r="18" spans="2:23" ht="13.5" thickBot="1">
      <c r="B18" s="60"/>
      <c r="C18" s="61"/>
      <c r="D18" s="61"/>
      <c r="E18" s="62"/>
      <c r="F18" s="131"/>
      <c r="G18" s="63"/>
      <c r="H18" s="63"/>
      <c r="I18" s="63"/>
      <c r="J18" s="63"/>
      <c r="K18" s="64"/>
      <c r="O18" s="60"/>
      <c r="P18" s="61"/>
      <c r="Q18" s="62"/>
      <c r="R18" s="131"/>
      <c r="S18" s="63"/>
      <c r="T18" s="63"/>
      <c r="U18" s="63"/>
      <c r="V18" s="63"/>
      <c r="W18" s="64"/>
    </row>
    <row r="19" spans="2:23">
      <c r="B19" s="95">
        <f>Amnt_Deposited!B14</f>
        <v>2000</v>
      </c>
      <c r="C19" s="98">
        <f>Amnt_Deposited!P14</f>
        <v>0</v>
      </c>
      <c r="D19" s="415">
        <f>Dry_Matter_Content!P6</f>
        <v>0</v>
      </c>
      <c r="E19" s="282">
        <f>MCF!R18</f>
        <v>1</v>
      </c>
      <c r="F19" s="130">
        <f t="shared" ref="F19:F82" si="0">C19*D19*$K$6*DOCF*E19</f>
        <v>0</v>
      </c>
      <c r="G19" s="65">
        <f t="shared" ref="G19:G82" si="1">F19*$K$12</f>
        <v>0</v>
      </c>
      <c r="H19" s="65">
        <f t="shared" ref="H19:H82" si="2">F19*(1-$K$12)</f>
        <v>0</v>
      </c>
      <c r="I19" s="65">
        <f t="shared" ref="I19:I82" si="3">G19+I18*$K$10</f>
        <v>0</v>
      </c>
      <c r="J19" s="65">
        <f t="shared" ref="J19:J82" si="4">I18*(1-$K$10)+H19</f>
        <v>0</v>
      </c>
      <c r="K19" s="66">
        <f>J19*CH4_fraction*conv</f>
        <v>0</v>
      </c>
      <c r="O19" s="95">
        <f>Amnt_Deposited!B14</f>
        <v>2000</v>
      </c>
      <c r="P19" s="98">
        <f>Amnt_Deposited!P14</f>
        <v>0</v>
      </c>
      <c r="Q19" s="282">
        <f>MCF!R18</f>
        <v>1</v>
      </c>
      <c r="R19" s="130">
        <f t="shared" ref="R19:R82" si="5">P19*$W$6*DOCF*Q19</f>
        <v>0</v>
      </c>
      <c r="S19" s="65">
        <f>R19*$W$12</f>
        <v>0</v>
      </c>
      <c r="T19" s="65">
        <f>R19*(1-$W$12)</f>
        <v>0</v>
      </c>
      <c r="U19" s="65">
        <f>S19+U18*$W$10</f>
        <v>0</v>
      </c>
      <c r="V19" s="65">
        <f>U18*(1-$W$10)+T19</f>
        <v>0</v>
      </c>
      <c r="W19" s="66">
        <f>V19*CH4_fraction*conv</f>
        <v>0</v>
      </c>
    </row>
    <row r="20" spans="2:23">
      <c r="B20" s="96">
        <f>Amnt_Deposited!B15</f>
        <v>2001</v>
      </c>
      <c r="C20" s="99">
        <f>Amnt_Deposited!P15</f>
        <v>0</v>
      </c>
      <c r="D20" s="417">
        <f>Dry_Matter_Content!P7</f>
        <v>0</v>
      </c>
      <c r="E20" s="283">
        <f>MCF!R19</f>
        <v>1</v>
      </c>
      <c r="F20" s="67">
        <f t="shared" si="0"/>
        <v>0</v>
      </c>
      <c r="G20" s="67">
        <f t="shared" si="1"/>
        <v>0</v>
      </c>
      <c r="H20" s="67">
        <f t="shared" si="2"/>
        <v>0</v>
      </c>
      <c r="I20" s="67">
        <f t="shared" si="3"/>
        <v>0</v>
      </c>
      <c r="J20" s="67">
        <f t="shared" si="4"/>
        <v>0</v>
      </c>
      <c r="K20" s="100">
        <f>J20*CH4_fraction*conv</f>
        <v>0</v>
      </c>
      <c r="M20" s="392"/>
      <c r="O20" s="96">
        <f>Amnt_Deposited!B15</f>
        <v>2001</v>
      </c>
      <c r="P20" s="99">
        <f>Amnt_Deposited!P15</f>
        <v>0</v>
      </c>
      <c r="Q20" s="283">
        <f>MCF!R19</f>
        <v>1</v>
      </c>
      <c r="R20" s="67">
        <f t="shared" si="5"/>
        <v>0</v>
      </c>
      <c r="S20" s="67">
        <f>R20*$W$12</f>
        <v>0</v>
      </c>
      <c r="T20" s="67">
        <f>R20*(1-$W$12)</f>
        <v>0</v>
      </c>
      <c r="U20" s="67">
        <f>S20+U19*$W$10</f>
        <v>0</v>
      </c>
      <c r="V20" s="67">
        <f>U19*(1-$W$10)+T20</f>
        <v>0</v>
      </c>
      <c r="W20" s="100">
        <f>V20*CH4_fraction*conv</f>
        <v>0</v>
      </c>
    </row>
    <row r="21" spans="2:23">
      <c r="B21" s="96">
        <f>Amnt_Deposited!B16</f>
        <v>2002</v>
      </c>
      <c r="C21" s="99">
        <f>Amnt_Deposited!P16</f>
        <v>0</v>
      </c>
      <c r="D21" s="417">
        <f>Dry_Matter_Content!P8</f>
        <v>0</v>
      </c>
      <c r="E21" s="283">
        <f>MCF!R20</f>
        <v>1</v>
      </c>
      <c r="F21" s="67">
        <f t="shared" si="0"/>
        <v>0</v>
      </c>
      <c r="G21" s="67">
        <f t="shared" si="1"/>
        <v>0</v>
      </c>
      <c r="H21" s="67">
        <f t="shared" si="2"/>
        <v>0</v>
      </c>
      <c r="I21" s="67">
        <f t="shared" si="3"/>
        <v>0</v>
      </c>
      <c r="J21" s="67">
        <f t="shared" si="4"/>
        <v>0</v>
      </c>
      <c r="K21" s="100">
        <f t="shared" ref="K21:K84" si="6">J21*CH4_fraction*conv</f>
        <v>0</v>
      </c>
      <c r="O21" s="96">
        <f>Amnt_Deposited!B16</f>
        <v>2002</v>
      </c>
      <c r="P21" s="99">
        <f>Amnt_Deposited!P16</f>
        <v>0</v>
      </c>
      <c r="Q21" s="283">
        <f>MCF!R20</f>
        <v>1</v>
      </c>
      <c r="R21" s="67">
        <f t="shared" si="5"/>
        <v>0</v>
      </c>
      <c r="S21" s="67">
        <f t="shared" ref="S21:S84" si="7">R21*$W$12</f>
        <v>0</v>
      </c>
      <c r="T21" s="67">
        <f t="shared" ref="T21:T84" si="8">R21*(1-$W$12)</f>
        <v>0</v>
      </c>
      <c r="U21" s="67">
        <f t="shared" ref="U21:U84" si="9">S21+U20*$W$10</f>
        <v>0</v>
      </c>
      <c r="V21" s="67">
        <f t="shared" ref="V21:V84" si="10">U20*(1-$W$10)+T21</f>
        <v>0</v>
      </c>
      <c r="W21" s="100">
        <f t="shared" ref="W21:W84" si="11">V21*CH4_fraction*conv</f>
        <v>0</v>
      </c>
    </row>
    <row r="22" spans="2:23">
      <c r="B22" s="96">
        <f>Amnt_Deposited!B17</f>
        <v>2003</v>
      </c>
      <c r="C22" s="99">
        <f>Amnt_Deposited!P17</f>
        <v>0</v>
      </c>
      <c r="D22" s="417">
        <f>Dry_Matter_Content!P9</f>
        <v>0</v>
      </c>
      <c r="E22" s="283">
        <f>MCF!R21</f>
        <v>1</v>
      </c>
      <c r="F22" s="67">
        <f t="shared" si="0"/>
        <v>0</v>
      </c>
      <c r="G22" s="67">
        <f t="shared" si="1"/>
        <v>0</v>
      </c>
      <c r="H22" s="67">
        <f t="shared" si="2"/>
        <v>0</v>
      </c>
      <c r="I22" s="67">
        <f t="shared" si="3"/>
        <v>0</v>
      </c>
      <c r="J22" s="67">
        <f t="shared" si="4"/>
        <v>0</v>
      </c>
      <c r="K22" s="100">
        <f t="shared" si="6"/>
        <v>0</v>
      </c>
      <c r="N22" s="257"/>
      <c r="O22" s="96">
        <f>Amnt_Deposited!B17</f>
        <v>2003</v>
      </c>
      <c r="P22" s="99">
        <f>Amnt_Deposited!P17</f>
        <v>0</v>
      </c>
      <c r="Q22" s="283">
        <f>MCF!R21</f>
        <v>1</v>
      </c>
      <c r="R22" s="67">
        <f t="shared" si="5"/>
        <v>0</v>
      </c>
      <c r="S22" s="67">
        <f t="shared" si="7"/>
        <v>0</v>
      </c>
      <c r="T22" s="67">
        <f t="shared" si="8"/>
        <v>0</v>
      </c>
      <c r="U22" s="67">
        <f t="shared" si="9"/>
        <v>0</v>
      </c>
      <c r="V22" s="67">
        <f t="shared" si="10"/>
        <v>0</v>
      </c>
      <c r="W22" s="100">
        <f t="shared" si="11"/>
        <v>0</v>
      </c>
    </row>
    <row r="23" spans="2:23">
      <c r="B23" s="96">
        <f>Amnt_Deposited!B18</f>
        <v>2004</v>
      </c>
      <c r="C23" s="99">
        <f>Amnt_Deposited!P18</f>
        <v>0</v>
      </c>
      <c r="D23" s="417">
        <f>Dry_Matter_Content!P10</f>
        <v>0</v>
      </c>
      <c r="E23" s="283">
        <f>MCF!R22</f>
        <v>1</v>
      </c>
      <c r="F23" s="67">
        <f t="shared" si="0"/>
        <v>0</v>
      </c>
      <c r="G23" s="67">
        <f t="shared" si="1"/>
        <v>0</v>
      </c>
      <c r="H23" s="67">
        <f t="shared" si="2"/>
        <v>0</v>
      </c>
      <c r="I23" s="67">
        <f t="shared" si="3"/>
        <v>0</v>
      </c>
      <c r="J23" s="67">
        <f t="shared" si="4"/>
        <v>0</v>
      </c>
      <c r="K23" s="100">
        <f t="shared" si="6"/>
        <v>0</v>
      </c>
      <c r="N23" s="257"/>
      <c r="O23" s="96">
        <f>Amnt_Deposited!B18</f>
        <v>2004</v>
      </c>
      <c r="P23" s="99">
        <f>Amnt_Deposited!P18</f>
        <v>0</v>
      </c>
      <c r="Q23" s="283">
        <f>MCF!R22</f>
        <v>1</v>
      </c>
      <c r="R23" s="67">
        <f t="shared" si="5"/>
        <v>0</v>
      </c>
      <c r="S23" s="67">
        <f t="shared" si="7"/>
        <v>0</v>
      </c>
      <c r="T23" s="67">
        <f t="shared" si="8"/>
        <v>0</v>
      </c>
      <c r="U23" s="67">
        <f t="shared" si="9"/>
        <v>0</v>
      </c>
      <c r="V23" s="67">
        <f t="shared" si="10"/>
        <v>0</v>
      </c>
      <c r="W23" s="100">
        <f t="shared" si="11"/>
        <v>0</v>
      </c>
    </row>
    <row r="24" spans="2:23">
      <c r="B24" s="96">
        <f>Amnt_Deposited!B19</f>
        <v>2005</v>
      </c>
      <c r="C24" s="99">
        <f>Amnt_Deposited!P19</f>
        <v>0</v>
      </c>
      <c r="D24" s="417">
        <f>Dry_Matter_Content!P11</f>
        <v>0</v>
      </c>
      <c r="E24" s="283">
        <f>MCF!R23</f>
        <v>1</v>
      </c>
      <c r="F24" s="67">
        <f t="shared" si="0"/>
        <v>0</v>
      </c>
      <c r="G24" s="67">
        <f t="shared" si="1"/>
        <v>0</v>
      </c>
      <c r="H24" s="67">
        <f t="shared" si="2"/>
        <v>0</v>
      </c>
      <c r="I24" s="67">
        <f t="shared" si="3"/>
        <v>0</v>
      </c>
      <c r="J24" s="67">
        <f t="shared" si="4"/>
        <v>0</v>
      </c>
      <c r="K24" s="100">
        <f t="shared" si="6"/>
        <v>0</v>
      </c>
      <c r="N24" s="257"/>
      <c r="O24" s="96">
        <f>Amnt_Deposited!B19</f>
        <v>2005</v>
      </c>
      <c r="P24" s="99">
        <f>Amnt_Deposited!P19</f>
        <v>0</v>
      </c>
      <c r="Q24" s="283">
        <f>MCF!R23</f>
        <v>1</v>
      </c>
      <c r="R24" s="67">
        <f t="shared" si="5"/>
        <v>0</v>
      </c>
      <c r="S24" s="67">
        <f t="shared" si="7"/>
        <v>0</v>
      </c>
      <c r="T24" s="67">
        <f t="shared" si="8"/>
        <v>0</v>
      </c>
      <c r="U24" s="67">
        <f t="shared" si="9"/>
        <v>0</v>
      </c>
      <c r="V24" s="67">
        <f t="shared" si="10"/>
        <v>0</v>
      </c>
      <c r="W24" s="100">
        <f t="shared" si="11"/>
        <v>0</v>
      </c>
    </row>
    <row r="25" spans="2:23">
      <c r="B25" s="96">
        <f>Amnt_Deposited!B20</f>
        <v>2006</v>
      </c>
      <c r="C25" s="99">
        <f>Amnt_Deposited!P20</f>
        <v>0</v>
      </c>
      <c r="D25" s="417">
        <f>Dry_Matter_Content!P12</f>
        <v>0</v>
      </c>
      <c r="E25" s="283">
        <f>MCF!R24</f>
        <v>1</v>
      </c>
      <c r="F25" s="67">
        <f t="shared" si="0"/>
        <v>0</v>
      </c>
      <c r="G25" s="67">
        <f t="shared" si="1"/>
        <v>0</v>
      </c>
      <c r="H25" s="67">
        <f t="shared" si="2"/>
        <v>0</v>
      </c>
      <c r="I25" s="67">
        <f t="shared" si="3"/>
        <v>0</v>
      </c>
      <c r="J25" s="67">
        <f t="shared" si="4"/>
        <v>0</v>
      </c>
      <c r="K25" s="100">
        <f t="shared" si="6"/>
        <v>0</v>
      </c>
      <c r="N25" s="257"/>
      <c r="O25" s="96">
        <f>Amnt_Deposited!B20</f>
        <v>2006</v>
      </c>
      <c r="P25" s="99">
        <f>Amnt_Deposited!P20</f>
        <v>0</v>
      </c>
      <c r="Q25" s="283">
        <f>MCF!R24</f>
        <v>1</v>
      </c>
      <c r="R25" s="67">
        <f t="shared" si="5"/>
        <v>0</v>
      </c>
      <c r="S25" s="67">
        <f t="shared" si="7"/>
        <v>0</v>
      </c>
      <c r="T25" s="67">
        <f t="shared" si="8"/>
        <v>0</v>
      </c>
      <c r="U25" s="67">
        <f t="shared" si="9"/>
        <v>0</v>
      </c>
      <c r="V25" s="67">
        <f t="shared" si="10"/>
        <v>0</v>
      </c>
      <c r="W25" s="100">
        <f t="shared" si="11"/>
        <v>0</v>
      </c>
    </row>
    <row r="26" spans="2:23">
      <c r="B26" s="96">
        <f>Amnt_Deposited!B21</f>
        <v>2007</v>
      </c>
      <c r="C26" s="99">
        <f>Amnt_Deposited!P21</f>
        <v>0</v>
      </c>
      <c r="D26" s="417">
        <f>Dry_Matter_Content!P13</f>
        <v>0</v>
      </c>
      <c r="E26" s="283">
        <f>MCF!R25</f>
        <v>1</v>
      </c>
      <c r="F26" s="67">
        <f t="shared" si="0"/>
        <v>0</v>
      </c>
      <c r="G26" s="67">
        <f t="shared" si="1"/>
        <v>0</v>
      </c>
      <c r="H26" s="67">
        <f t="shared" si="2"/>
        <v>0</v>
      </c>
      <c r="I26" s="67">
        <f t="shared" si="3"/>
        <v>0</v>
      </c>
      <c r="J26" s="67">
        <f t="shared" si="4"/>
        <v>0</v>
      </c>
      <c r="K26" s="100">
        <f t="shared" si="6"/>
        <v>0</v>
      </c>
      <c r="N26" s="257"/>
      <c r="O26" s="96">
        <f>Amnt_Deposited!B21</f>
        <v>2007</v>
      </c>
      <c r="P26" s="99">
        <f>Amnt_Deposited!P21</f>
        <v>0</v>
      </c>
      <c r="Q26" s="283">
        <f>MCF!R25</f>
        <v>1</v>
      </c>
      <c r="R26" s="67">
        <f t="shared" si="5"/>
        <v>0</v>
      </c>
      <c r="S26" s="67">
        <f t="shared" si="7"/>
        <v>0</v>
      </c>
      <c r="T26" s="67">
        <f t="shared" si="8"/>
        <v>0</v>
      </c>
      <c r="U26" s="67">
        <f t="shared" si="9"/>
        <v>0</v>
      </c>
      <c r="V26" s="67">
        <f t="shared" si="10"/>
        <v>0</v>
      </c>
      <c r="W26" s="100">
        <f t="shared" si="11"/>
        <v>0</v>
      </c>
    </row>
    <row r="27" spans="2:23">
      <c r="B27" s="96">
        <f>Amnt_Deposited!B22</f>
        <v>2008</v>
      </c>
      <c r="C27" s="99">
        <f>Amnt_Deposited!P22</f>
        <v>0</v>
      </c>
      <c r="D27" s="417">
        <f>Dry_Matter_Content!P14</f>
        <v>0</v>
      </c>
      <c r="E27" s="283">
        <f>MCF!R26</f>
        <v>1</v>
      </c>
      <c r="F27" s="67">
        <f t="shared" si="0"/>
        <v>0</v>
      </c>
      <c r="G27" s="67">
        <f t="shared" si="1"/>
        <v>0</v>
      </c>
      <c r="H27" s="67">
        <f t="shared" si="2"/>
        <v>0</v>
      </c>
      <c r="I27" s="67">
        <f t="shared" si="3"/>
        <v>0</v>
      </c>
      <c r="J27" s="67">
        <f t="shared" si="4"/>
        <v>0</v>
      </c>
      <c r="K27" s="100">
        <f t="shared" si="6"/>
        <v>0</v>
      </c>
      <c r="N27" s="257"/>
      <c r="O27" s="96">
        <f>Amnt_Deposited!B22</f>
        <v>2008</v>
      </c>
      <c r="P27" s="99">
        <f>Amnt_Deposited!P22</f>
        <v>0</v>
      </c>
      <c r="Q27" s="283">
        <f>MCF!R26</f>
        <v>1</v>
      </c>
      <c r="R27" s="67">
        <f t="shared" si="5"/>
        <v>0</v>
      </c>
      <c r="S27" s="67">
        <f t="shared" si="7"/>
        <v>0</v>
      </c>
      <c r="T27" s="67">
        <f t="shared" si="8"/>
        <v>0</v>
      </c>
      <c r="U27" s="67">
        <f t="shared" si="9"/>
        <v>0</v>
      </c>
      <c r="V27" s="67">
        <f t="shared" si="10"/>
        <v>0</v>
      </c>
      <c r="W27" s="100">
        <f t="shared" si="11"/>
        <v>0</v>
      </c>
    </row>
    <row r="28" spans="2:23">
      <c r="B28" s="96">
        <f>Amnt_Deposited!B23</f>
        <v>2009</v>
      </c>
      <c r="C28" s="99">
        <f>Amnt_Deposited!P23</f>
        <v>0</v>
      </c>
      <c r="D28" s="417">
        <f>Dry_Matter_Content!P15</f>
        <v>0</v>
      </c>
      <c r="E28" s="283">
        <f>MCF!R27</f>
        <v>1</v>
      </c>
      <c r="F28" s="67">
        <f t="shared" si="0"/>
        <v>0</v>
      </c>
      <c r="G28" s="67">
        <f t="shared" si="1"/>
        <v>0</v>
      </c>
      <c r="H28" s="67">
        <f t="shared" si="2"/>
        <v>0</v>
      </c>
      <c r="I28" s="67">
        <f t="shared" si="3"/>
        <v>0</v>
      </c>
      <c r="J28" s="67">
        <f t="shared" si="4"/>
        <v>0</v>
      </c>
      <c r="K28" s="100">
        <f t="shared" si="6"/>
        <v>0</v>
      </c>
      <c r="N28" s="257"/>
      <c r="O28" s="96">
        <f>Amnt_Deposited!B23</f>
        <v>2009</v>
      </c>
      <c r="P28" s="99">
        <f>Amnt_Deposited!P23</f>
        <v>0</v>
      </c>
      <c r="Q28" s="283">
        <f>MCF!R27</f>
        <v>1</v>
      </c>
      <c r="R28" s="67">
        <f t="shared" si="5"/>
        <v>0</v>
      </c>
      <c r="S28" s="67">
        <f t="shared" si="7"/>
        <v>0</v>
      </c>
      <c r="T28" s="67">
        <f t="shared" si="8"/>
        <v>0</v>
      </c>
      <c r="U28" s="67">
        <f t="shared" si="9"/>
        <v>0</v>
      </c>
      <c r="V28" s="67">
        <f t="shared" si="10"/>
        <v>0</v>
      </c>
      <c r="W28" s="100">
        <f t="shared" si="11"/>
        <v>0</v>
      </c>
    </row>
    <row r="29" spans="2:23">
      <c r="B29" s="96">
        <f>Amnt_Deposited!B24</f>
        <v>2010</v>
      </c>
      <c r="C29" s="99">
        <f>Amnt_Deposited!P24</f>
        <v>0</v>
      </c>
      <c r="D29" s="417">
        <f>Dry_Matter_Content!P16</f>
        <v>0</v>
      </c>
      <c r="E29" s="283">
        <f>MCF!R28</f>
        <v>1</v>
      </c>
      <c r="F29" s="67">
        <f t="shared" si="0"/>
        <v>0</v>
      </c>
      <c r="G29" s="67">
        <f t="shared" si="1"/>
        <v>0</v>
      </c>
      <c r="H29" s="67">
        <f t="shared" si="2"/>
        <v>0</v>
      </c>
      <c r="I29" s="67">
        <f t="shared" si="3"/>
        <v>0</v>
      </c>
      <c r="J29" s="67">
        <f t="shared" si="4"/>
        <v>0</v>
      </c>
      <c r="K29" s="100">
        <f t="shared" si="6"/>
        <v>0</v>
      </c>
      <c r="O29" s="96">
        <f>Amnt_Deposited!B24</f>
        <v>2010</v>
      </c>
      <c r="P29" s="99">
        <f>Amnt_Deposited!P24</f>
        <v>0</v>
      </c>
      <c r="Q29" s="283">
        <f>MCF!R28</f>
        <v>1</v>
      </c>
      <c r="R29" s="67">
        <f t="shared" si="5"/>
        <v>0</v>
      </c>
      <c r="S29" s="67">
        <f t="shared" si="7"/>
        <v>0</v>
      </c>
      <c r="T29" s="67">
        <f t="shared" si="8"/>
        <v>0</v>
      </c>
      <c r="U29" s="67">
        <f t="shared" si="9"/>
        <v>0</v>
      </c>
      <c r="V29" s="67">
        <f t="shared" si="10"/>
        <v>0</v>
      </c>
      <c r="W29" s="100">
        <f t="shared" si="11"/>
        <v>0</v>
      </c>
    </row>
    <row r="30" spans="2:23">
      <c r="B30" s="96">
        <f>Amnt_Deposited!B25</f>
        <v>2011</v>
      </c>
      <c r="C30" s="99">
        <f>Amnt_Deposited!P25</f>
        <v>0</v>
      </c>
      <c r="D30" s="417">
        <f>Dry_Matter_Content!P17</f>
        <v>0</v>
      </c>
      <c r="E30" s="283">
        <f>MCF!R29</f>
        <v>1</v>
      </c>
      <c r="F30" s="67">
        <f t="shared" si="0"/>
        <v>0</v>
      </c>
      <c r="G30" s="67">
        <f t="shared" si="1"/>
        <v>0</v>
      </c>
      <c r="H30" s="67">
        <f t="shared" si="2"/>
        <v>0</v>
      </c>
      <c r="I30" s="67">
        <f t="shared" si="3"/>
        <v>0</v>
      </c>
      <c r="J30" s="67">
        <f t="shared" si="4"/>
        <v>0</v>
      </c>
      <c r="K30" s="100">
        <f t="shared" si="6"/>
        <v>0</v>
      </c>
      <c r="O30" s="96">
        <f>Amnt_Deposited!B25</f>
        <v>2011</v>
      </c>
      <c r="P30" s="99">
        <f>Amnt_Deposited!P25</f>
        <v>0</v>
      </c>
      <c r="Q30" s="283">
        <f>MCF!R29</f>
        <v>1</v>
      </c>
      <c r="R30" s="67">
        <f t="shared" si="5"/>
        <v>0</v>
      </c>
      <c r="S30" s="67">
        <f t="shared" si="7"/>
        <v>0</v>
      </c>
      <c r="T30" s="67">
        <f t="shared" si="8"/>
        <v>0</v>
      </c>
      <c r="U30" s="67">
        <f t="shared" si="9"/>
        <v>0</v>
      </c>
      <c r="V30" s="67">
        <f t="shared" si="10"/>
        <v>0</v>
      </c>
      <c r="W30" s="100">
        <f t="shared" si="11"/>
        <v>0</v>
      </c>
    </row>
    <row r="31" spans="2:23">
      <c r="B31" s="96">
        <f>Amnt_Deposited!B26</f>
        <v>2012</v>
      </c>
      <c r="C31" s="99">
        <f>Amnt_Deposited!P26</f>
        <v>0</v>
      </c>
      <c r="D31" s="417">
        <f>Dry_Matter_Content!P18</f>
        <v>0</v>
      </c>
      <c r="E31" s="283">
        <f>MCF!R30</f>
        <v>1</v>
      </c>
      <c r="F31" s="67">
        <f t="shared" si="0"/>
        <v>0</v>
      </c>
      <c r="G31" s="67">
        <f t="shared" si="1"/>
        <v>0</v>
      </c>
      <c r="H31" s="67">
        <f t="shared" si="2"/>
        <v>0</v>
      </c>
      <c r="I31" s="67">
        <f t="shared" si="3"/>
        <v>0</v>
      </c>
      <c r="J31" s="67">
        <f t="shared" si="4"/>
        <v>0</v>
      </c>
      <c r="K31" s="100">
        <f t="shared" si="6"/>
        <v>0</v>
      </c>
      <c r="O31" s="96">
        <f>Amnt_Deposited!B26</f>
        <v>2012</v>
      </c>
      <c r="P31" s="99">
        <f>Amnt_Deposited!P26</f>
        <v>0</v>
      </c>
      <c r="Q31" s="283">
        <f>MCF!R30</f>
        <v>1</v>
      </c>
      <c r="R31" s="67">
        <f t="shared" si="5"/>
        <v>0</v>
      </c>
      <c r="S31" s="67">
        <f t="shared" si="7"/>
        <v>0</v>
      </c>
      <c r="T31" s="67">
        <f t="shared" si="8"/>
        <v>0</v>
      </c>
      <c r="U31" s="67">
        <f t="shared" si="9"/>
        <v>0</v>
      </c>
      <c r="V31" s="67">
        <f t="shared" si="10"/>
        <v>0</v>
      </c>
      <c r="W31" s="100">
        <f t="shared" si="11"/>
        <v>0</v>
      </c>
    </row>
    <row r="32" spans="2:23">
      <c r="B32" s="96">
        <f>Amnt_Deposited!B27</f>
        <v>2013</v>
      </c>
      <c r="C32" s="99">
        <f>Amnt_Deposited!P27</f>
        <v>0</v>
      </c>
      <c r="D32" s="417">
        <f>Dry_Matter_Content!P19</f>
        <v>0</v>
      </c>
      <c r="E32" s="283">
        <f>MCF!R31</f>
        <v>1</v>
      </c>
      <c r="F32" s="67">
        <f t="shared" si="0"/>
        <v>0</v>
      </c>
      <c r="G32" s="67">
        <f t="shared" si="1"/>
        <v>0</v>
      </c>
      <c r="H32" s="67">
        <f t="shared" si="2"/>
        <v>0</v>
      </c>
      <c r="I32" s="67">
        <f t="shared" si="3"/>
        <v>0</v>
      </c>
      <c r="J32" s="67">
        <f t="shared" si="4"/>
        <v>0</v>
      </c>
      <c r="K32" s="100">
        <f t="shared" si="6"/>
        <v>0</v>
      </c>
      <c r="O32" s="96">
        <f>Amnt_Deposited!B27</f>
        <v>2013</v>
      </c>
      <c r="P32" s="99">
        <f>Amnt_Deposited!P27</f>
        <v>0</v>
      </c>
      <c r="Q32" s="283">
        <f>MCF!R31</f>
        <v>1</v>
      </c>
      <c r="R32" s="67">
        <f t="shared" si="5"/>
        <v>0</v>
      </c>
      <c r="S32" s="67">
        <f t="shared" si="7"/>
        <v>0</v>
      </c>
      <c r="T32" s="67">
        <f t="shared" si="8"/>
        <v>0</v>
      </c>
      <c r="U32" s="67">
        <f t="shared" si="9"/>
        <v>0</v>
      </c>
      <c r="V32" s="67">
        <f t="shared" si="10"/>
        <v>0</v>
      </c>
      <c r="W32" s="100">
        <f t="shared" si="11"/>
        <v>0</v>
      </c>
    </row>
    <row r="33" spans="2:23">
      <c r="B33" s="96">
        <f>Amnt_Deposited!B28</f>
        <v>2014</v>
      </c>
      <c r="C33" s="99">
        <f>Amnt_Deposited!P28</f>
        <v>0</v>
      </c>
      <c r="D33" s="417">
        <f>Dry_Matter_Content!P20</f>
        <v>0</v>
      </c>
      <c r="E33" s="283">
        <f>MCF!R32</f>
        <v>1</v>
      </c>
      <c r="F33" s="67">
        <f t="shared" si="0"/>
        <v>0</v>
      </c>
      <c r="G33" s="67">
        <f t="shared" si="1"/>
        <v>0</v>
      </c>
      <c r="H33" s="67">
        <f t="shared" si="2"/>
        <v>0</v>
      </c>
      <c r="I33" s="67">
        <f t="shared" si="3"/>
        <v>0</v>
      </c>
      <c r="J33" s="67">
        <f t="shared" si="4"/>
        <v>0</v>
      </c>
      <c r="K33" s="100">
        <f t="shared" si="6"/>
        <v>0</v>
      </c>
      <c r="O33" s="96">
        <f>Amnt_Deposited!B28</f>
        <v>2014</v>
      </c>
      <c r="P33" s="99">
        <f>Amnt_Deposited!P28</f>
        <v>0</v>
      </c>
      <c r="Q33" s="283">
        <f>MCF!R32</f>
        <v>1</v>
      </c>
      <c r="R33" s="67">
        <f t="shared" si="5"/>
        <v>0</v>
      </c>
      <c r="S33" s="67">
        <f t="shared" si="7"/>
        <v>0</v>
      </c>
      <c r="T33" s="67">
        <f t="shared" si="8"/>
        <v>0</v>
      </c>
      <c r="U33" s="67">
        <f t="shared" si="9"/>
        <v>0</v>
      </c>
      <c r="V33" s="67">
        <f t="shared" si="10"/>
        <v>0</v>
      </c>
      <c r="W33" s="100">
        <f t="shared" si="11"/>
        <v>0</v>
      </c>
    </row>
    <row r="34" spans="2:23">
      <c r="B34" s="96">
        <f>Amnt_Deposited!B29</f>
        <v>2015</v>
      </c>
      <c r="C34" s="99">
        <f>Amnt_Deposited!P29</f>
        <v>0</v>
      </c>
      <c r="D34" s="417">
        <f>Dry_Matter_Content!P21</f>
        <v>0</v>
      </c>
      <c r="E34" s="283">
        <f>MCF!R33</f>
        <v>1</v>
      </c>
      <c r="F34" s="67">
        <f t="shared" si="0"/>
        <v>0</v>
      </c>
      <c r="G34" s="67">
        <f t="shared" si="1"/>
        <v>0</v>
      </c>
      <c r="H34" s="67">
        <f t="shared" si="2"/>
        <v>0</v>
      </c>
      <c r="I34" s="67">
        <f t="shared" si="3"/>
        <v>0</v>
      </c>
      <c r="J34" s="67">
        <f t="shared" si="4"/>
        <v>0</v>
      </c>
      <c r="K34" s="100">
        <f t="shared" si="6"/>
        <v>0</v>
      </c>
      <c r="O34" s="96">
        <f>Amnt_Deposited!B29</f>
        <v>2015</v>
      </c>
      <c r="P34" s="99">
        <f>Amnt_Deposited!P29</f>
        <v>0</v>
      </c>
      <c r="Q34" s="283">
        <f>MCF!R33</f>
        <v>1</v>
      </c>
      <c r="R34" s="67">
        <f t="shared" si="5"/>
        <v>0</v>
      </c>
      <c r="S34" s="67">
        <f t="shared" si="7"/>
        <v>0</v>
      </c>
      <c r="T34" s="67">
        <f t="shared" si="8"/>
        <v>0</v>
      </c>
      <c r="U34" s="67">
        <f t="shared" si="9"/>
        <v>0</v>
      </c>
      <c r="V34" s="67">
        <f t="shared" si="10"/>
        <v>0</v>
      </c>
      <c r="W34" s="100">
        <f t="shared" si="11"/>
        <v>0</v>
      </c>
    </row>
    <row r="35" spans="2:23">
      <c r="B35" s="96">
        <f>Amnt_Deposited!B30</f>
        <v>2016</v>
      </c>
      <c r="C35" s="99">
        <f>Amnt_Deposited!P30</f>
        <v>0</v>
      </c>
      <c r="D35" s="417">
        <f>Dry_Matter_Content!P22</f>
        <v>0</v>
      </c>
      <c r="E35" s="283">
        <f>MCF!R34</f>
        <v>1</v>
      </c>
      <c r="F35" s="67">
        <f t="shared" si="0"/>
        <v>0</v>
      </c>
      <c r="G35" s="67">
        <f t="shared" si="1"/>
        <v>0</v>
      </c>
      <c r="H35" s="67">
        <f t="shared" si="2"/>
        <v>0</v>
      </c>
      <c r="I35" s="67">
        <f t="shared" si="3"/>
        <v>0</v>
      </c>
      <c r="J35" s="67">
        <f t="shared" si="4"/>
        <v>0</v>
      </c>
      <c r="K35" s="100">
        <f t="shared" si="6"/>
        <v>0</v>
      </c>
      <c r="O35" s="96">
        <f>Amnt_Deposited!B30</f>
        <v>2016</v>
      </c>
      <c r="P35" s="99">
        <f>Amnt_Deposited!P30</f>
        <v>0</v>
      </c>
      <c r="Q35" s="283">
        <f>MCF!R34</f>
        <v>1</v>
      </c>
      <c r="R35" s="67">
        <f t="shared" si="5"/>
        <v>0</v>
      </c>
      <c r="S35" s="67">
        <f t="shared" si="7"/>
        <v>0</v>
      </c>
      <c r="T35" s="67">
        <f t="shared" si="8"/>
        <v>0</v>
      </c>
      <c r="U35" s="67">
        <f t="shared" si="9"/>
        <v>0</v>
      </c>
      <c r="V35" s="67">
        <f t="shared" si="10"/>
        <v>0</v>
      </c>
      <c r="W35" s="100">
        <f t="shared" si="11"/>
        <v>0</v>
      </c>
    </row>
    <row r="36" spans="2:23">
      <c r="B36" s="96">
        <f>Amnt_Deposited!B31</f>
        <v>2017</v>
      </c>
      <c r="C36" s="99">
        <f>Amnt_Deposited!P31</f>
        <v>0</v>
      </c>
      <c r="D36" s="417">
        <f>Dry_Matter_Content!P23</f>
        <v>0</v>
      </c>
      <c r="E36" s="283">
        <f>MCF!R35</f>
        <v>1</v>
      </c>
      <c r="F36" s="67">
        <f t="shared" si="0"/>
        <v>0</v>
      </c>
      <c r="G36" s="67">
        <f t="shared" si="1"/>
        <v>0</v>
      </c>
      <c r="H36" s="67">
        <f t="shared" si="2"/>
        <v>0</v>
      </c>
      <c r="I36" s="67">
        <f t="shared" si="3"/>
        <v>0</v>
      </c>
      <c r="J36" s="67">
        <f t="shared" si="4"/>
        <v>0</v>
      </c>
      <c r="K36" s="100">
        <f t="shared" si="6"/>
        <v>0</v>
      </c>
      <c r="O36" s="96">
        <f>Amnt_Deposited!B31</f>
        <v>2017</v>
      </c>
      <c r="P36" s="99">
        <f>Amnt_Deposited!P31</f>
        <v>0</v>
      </c>
      <c r="Q36" s="283">
        <f>MCF!R35</f>
        <v>1</v>
      </c>
      <c r="R36" s="67">
        <f t="shared" si="5"/>
        <v>0</v>
      </c>
      <c r="S36" s="67">
        <f t="shared" si="7"/>
        <v>0</v>
      </c>
      <c r="T36" s="67">
        <f t="shared" si="8"/>
        <v>0</v>
      </c>
      <c r="U36" s="67">
        <f t="shared" si="9"/>
        <v>0</v>
      </c>
      <c r="V36" s="67">
        <f t="shared" si="10"/>
        <v>0</v>
      </c>
      <c r="W36" s="100">
        <f t="shared" si="11"/>
        <v>0</v>
      </c>
    </row>
    <row r="37" spans="2:23">
      <c r="B37" s="96">
        <f>Amnt_Deposited!B32</f>
        <v>2018</v>
      </c>
      <c r="C37" s="99">
        <f>Amnt_Deposited!P32</f>
        <v>0</v>
      </c>
      <c r="D37" s="417">
        <f>Dry_Matter_Content!P24</f>
        <v>0</v>
      </c>
      <c r="E37" s="283">
        <f>MCF!R36</f>
        <v>1</v>
      </c>
      <c r="F37" s="67">
        <f t="shared" si="0"/>
        <v>0</v>
      </c>
      <c r="G37" s="67">
        <f t="shared" si="1"/>
        <v>0</v>
      </c>
      <c r="H37" s="67">
        <f t="shared" si="2"/>
        <v>0</v>
      </c>
      <c r="I37" s="67">
        <f t="shared" si="3"/>
        <v>0</v>
      </c>
      <c r="J37" s="67">
        <f t="shared" si="4"/>
        <v>0</v>
      </c>
      <c r="K37" s="100">
        <f t="shared" si="6"/>
        <v>0</v>
      </c>
      <c r="O37" s="96">
        <f>Amnt_Deposited!B32</f>
        <v>2018</v>
      </c>
      <c r="P37" s="99">
        <f>Amnt_Deposited!P32</f>
        <v>0</v>
      </c>
      <c r="Q37" s="283">
        <f>MCF!R36</f>
        <v>1</v>
      </c>
      <c r="R37" s="67">
        <f t="shared" si="5"/>
        <v>0</v>
      </c>
      <c r="S37" s="67">
        <f t="shared" si="7"/>
        <v>0</v>
      </c>
      <c r="T37" s="67">
        <f t="shared" si="8"/>
        <v>0</v>
      </c>
      <c r="U37" s="67">
        <f t="shared" si="9"/>
        <v>0</v>
      </c>
      <c r="V37" s="67">
        <f t="shared" si="10"/>
        <v>0</v>
      </c>
      <c r="W37" s="100">
        <f t="shared" si="11"/>
        <v>0</v>
      </c>
    </row>
    <row r="38" spans="2:23">
      <c r="B38" s="96">
        <f>Amnt_Deposited!B33</f>
        <v>2019</v>
      </c>
      <c r="C38" s="99">
        <f>Amnt_Deposited!P33</f>
        <v>0</v>
      </c>
      <c r="D38" s="417">
        <f>Dry_Matter_Content!P25</f>
        <v>0</v>
      </c>
      <c r="E38" s="283">
        <f>MCF!R37</f>
        <v>1</v>
      </c>
      <c r="F38" s="67">
        <f t="shared" si="0"/>
        <v>0</v>
      </c>
      <c r="G38" s="67">
        <f t="shared" si="1"/>
        <v>0</v>
      </c>
      <c r="H38" s="67">
        <f t="shared" si="2"/>
        <v>0</v>
      </c>
      <c r="I38" s="67">
        <f t="shared" si="3"/>
        <v>0</v>
      </c>
      <c r="J38" s="67">
        <f t="shared" si="4"/>
        <v>0</v>
      </c>
      <c r="K38" s="100">
        <f t="shared" si="6"/>
        <v>0</v>
      </c>
      <c r="O38" s="96">
        <f>Amnt_Deposited!B33</f>
        <v>2019</v>
      </c>
      <c r="P38" s="99">
        <f>Amnt_Deposited!P33</f>
        <v>0</v>
      </c>
      <c r="Q38" s="283">
        <f>MCF!R37</f>
        <v>1</v>
      </c>
      <c r="R38" s="67">
        <f t="shared" si="5"/>
        <v>0</v>
      </c>
      <c r="S38" s="67">
        <f t="shared" si="7"/>
        <v>0</v>
      </c>
      <c r="T38" s="67">
        <f t="shared" si="8"/>
        <v>0</v>
      </c>
      <c r="U38" s="67">
        <f t="shared" si="9"/>
        <v>0</v>
      </c>
      <c r="V38" s="67">
        <f t="shared" si="10"/>
        <v>0</v>
      </c>
      <c r="W38" s="100">
        <f t="shared" si="11"/>
        <v>0</v>
      </c>
    </row>
    <row r="39" spans="2:23">
      <c r="B39" s="96">
        <f>Amnt_Deposited!B34</f>
        <v>2020</v>
      </c>
      <c r="C39" s="99">
        <f>Amnt_Deposited!P34</f>
        <v>0</v>
      </c>
      <c r="D39" s="417">
        <f>Dry_Matter_Content!P26</f>
        <v>0</v>
      </c>
      <c r="E39" s="283">
        <f>MCF!R38</f>
        <v>1</v>
      </c>
      <c r="F39" s="67">
        <f t="shared" si="0"/>
        <v>0</v>
      </c>
      <c r="G39" s="67">
        <f t="shared" si="1"/>
        <v>0</v>
      </c>
      <c r="H39" s="67">
        <f t="shared" si="2"/>
        <v>0</v>
      </c>
      <c r="I39" s="67">
        <f t="shared" si="3"/>
        <v>0</v>
      </c>
      <c r="J39" s="67">
        <f t="shared" si="4"/>
        <v>0</v>
      </c>
      <c r="K39" s="100">
        <f t="shared" si="6"/>
        <v>0</v>
      </c>
      <c r="O39" s="96">
        <f>Amnt_Deposited!B34</f>
        <v>2020</v>
      </c>
      <c r="P39" s="99">
        <f>Amnt_Deposited!P34</f>
        <v>0</v>
      </c>
      <c r="Q39" s="283">
        <f>MCF!R38</f>
        <v>1</v>
      </c>
      <c r="R39" s="67">
        <f t="shared" si="5"/>
        <v>0</v>
      </c>
      <c r="S39" s="67">
        <f t="shared" si="7"/>
        <v>0</v>
      </c>
      <c r="T39" s="67">
        <f t="shared" si="8"/>
        <v>0</v>
      </c>
      <c r="U39" s="67">
        <f t="shared" si="9"/>
        <v>0</v>
      </c>
      <c r="V39" s="67">
        <f t="shared" si="10"/>
        <v>0</v>
      </c>
      <c r="W39" s="100">
        <f t="shared" si="11"/>
        <v>0</v>
      </c>
    </row>
    <row r="40" spans="2:23">
      <c r="B40" s="96">
        <f>Amnt_Deposited!B35</f>
        <v>2021</v>
      </c>
      <c r="C40" s="99">
        <f>Amnt_Deposited!P35</f>
        <v>0</v>
      </c>
      <c r="D40" s="417">
        <f>Dry_Matter_Content!P27</f>
        <v>0</v>
      </c>
      <c r="E40" s="283">
        <f>MCF!R39</f>
        <v>1</v>
      </c>
      <c r="F40" s="67">
        <f t="shared" si="0"/>
        <v>0</v>
      </c>
      <c r="G40" s="67">
        <f t="shared" si="1"/>
        <v>0</v>
      </c>
      <c r="H40" s="67">
        <f t="shared" si="2"/>
        <v>0</v>
      </c>
      <c r="I40" s="67">
        <f t="shared" si="3"/>
        <v>0</v>
      </c>
      <c r="J40" s="67">
        <f t="shared" si="4"/>
        <v>0</v>
      </c>
      <c r="K40" s="100">
        <f t="shared" si="6"/>
        <v>0</v>
      </c>
      <c r="O40" s="96">
        <f>Amnt_Deposited!B35</f>
        <v>2021</v>
      </c>
      <c r="P40" s="99">
        <f>Amnt_Deposited!P35</f>
        <v>0</v>
      </c>
      <c r="Q40" s="283">
        <f>MCF!R39</f>
        <v>1</v>
      </c>
      <c r="R40" s="67">
        <f t="shared" si="5"/>
        <v>0</v>
      </c>
      <c r="S40" s="67">
        <f t="shared" si="7"/>
        <v>0</v>
      </c>
      <c r="T40" s="67">
        <f t="shared" si="8"/>
        <v>0</v>
      </c>
      <c r="U40" s="67">
        <f t="shared" si="9"/>
        <v>0</v>
      </c>
      <c r="V40" s="67">
        <f t="shared" si="10"/>
        <v>0</v>
      </c>
      <c r="W40" s="100">
        <f t="shared" si="11"/>
        <v>0</v>
      </c>
    </row>
    <row r="41" spans="2:23">
      <c r="B41" s="96">
        <f>Amnt_Deposited!B36</f>
        <v>2022</v>
      </c>
      <c r="C41" s="99">
        <f>Amnt_Deposited!P36</f>
        <v>0</v>
      </c>
      <c r="D41" s="417">
        <f>Dry_Matter_Content!P28</f>
        <v>0</v>
      </c>
      <c r="E41" s="283">
        <f>MCF!R40</f>
        <v>1</v>
      </c>
      <c r="F41" s="67">
        <f t="shared" si="0"/>
        <v>0</v>
      </c>
      <c r="G41" s="67">
        <f t="shared" si="1"/>
        <v>0</v>
      </c>
      <c r="H41" s="67">
        <f t="shared" si="2"/>
        <v>0</v>
      </c>
      <c r="I41" s="67">
        <f t="shared" si="3"/>
        <v>0</v>
      </c>
      <c r="J41" s="67">
        <f t="shared" si="4"/>
        <v>0</v>
      </c>
      <c r="K41" s="100">
        <f t="shared" si="6"/>
        <v>0</v>
      </c>
      <c r="O41" s="96">
        <f>Amnt_Deposited!B36</f>
        <v>2022</v>
      </c>
      <c r="P41" s="99">
        <f>Amnt_Deposited!P36</f>
        <v>0</v>
      </c>
      <c r="Q41" s="283">
        <f>MCF!R40</f>
        <v>1</v>
      </c>
      <c r="R41" s="67">
        <f t="shared" si="5"/>
        <v>0</v>
      </c>
      <c r="S41" s="67">
        <f t="shared" si="7"/>
        <v>0</v>
      </c>
      <c r="T41" s="67">
        <f t="shared" si="8"/>
        <v>0</v>
      </c>
      <c r="U41" s="67">
        <f t="shared" si="9"/>
        <v>0</v>
      </c>
      <c r="V41" s="67">
        <f t="shared" si="10"/>
        <v>0</v>
      </c>
      <c r="W41" s="100">
        <f t="shared" si="11"/>
        <v>0</v>
      </c>
    </row>
    <row r="42" spans="2:23">
      <c r="B42" s="96">
        <f>Amnt_Deposited!B37</f>
        <v>2023</v>
      </c>
      <c r="C42" s="99">
        <f>Amnt_Deposited!P37</f>
        <v>0</v>
      </c>
      <c r="D42" s="417">
        <f>Dry_Matter_Content!P29</f>
        <v>0</v>
      </c>
      <c r="E42" s="283">
        <f>MCF!R41</f>
        <v>1</v>
      </c>
      <c r="F42" s="67">
        <f t="shared" si="0"/>
        <v>0</v>
      </c>
      <c r="G42" s="67">
        <f t="shared" si="1"/>
        <v>0</v>
      </c>
      <c r="H42" s="67">
        <f t="shared" si="2"/>
        <v>0</v>
      </c>
      <c r="I42" s="67">
        <f t="shared" si="3"/>
        <v>0</v>
      </c>
      <c r="J42" s="67">
        <f t="shared" si="4"/>
        <v>0</v>
      </c>
      <c r="K42" s="100">
        <f t="shared" si="6"/>
        <v>0</v>
      </c>
      <c r="O42" s="96">
        <f>Amnt_Deposited!B37</f>
        <v>2023</v>
      </c>
      <c r="P42" s="99">
        <f>Amnt_Deposited!P37</f>
        <v>0</v>
      </c>
      <c r="Q42" s="283">
        <f>MCF!R41</f>
        <v>1</v>
      </c>
      <c r="R42" s="67">
        <f t="shared" si="5"/>
        <v>0</v>
      </c>
      <c r="S42" s="67">
        <f t="shared" si="7"/>
        <v>0</v>
      </c>
      <c r="T42" s="67">
        <f t="shared" si="8"/>
        <v>0</v>
      </c>
      <c r="U42" s="67">
        <f t="shared" si="9"/>
        <v>0</v>
      </c>
      <c r="V42" s="67">
        <f t="shared" si="10"/>
        <v>0</v>
      </c>
      <c r="W42" s="100">
        <f t="shared" si="11"/>
        <v>0</v>
      </c>
    </row>
    <row r="43" spans="2:23">
      <c r="B43" s="96">
        <f>Amnt_Deposited!B38</f>
        <v>2024</v>
      </c>
      <c r="C43" s="99">
        <f>Amnt_Deposited!P38</f>
        <v>0</v>
      </c>
      <c r="D43" s="417">
        <f>Dry_Matter_Content!P30</f>
        <v>0</v>
      </c>
      <c r="E43" s="283">
        <f>MCF!R42</f>
        <v>1</v>
      </c>
      <c r="F43" s="67">
        <f t="shared" si="0"/>
        <v>0</v>
      </c>
      <c r="G43" s="67">
        <f t="shared" si="1"/>
        <v>0</v>
      </c>
      <c r="H43" s="67">
        <f t="shared" si="2"/>
        <v>0</v>
      </c>
      <c r="I43" s="67">
        <f t="shared" si="3"/>
        <v>0</v>
      </c>
      <c r="J43" s="67">
        <f t="shared" si="4"/>
        <v>0</v>
      </c>
      <c r="K43" s="100">
        <f t="shared" si="6"/>
        <v>0</v>
      </c>
      <c r="O43" s="96">
        <f>Amnt_Deposited!B38</f>
        <v>2024</v>
      </c>
      <c r="P43" s="99">
        <f>Amnt_Deposited!P38</f>
        <v>0</v>
      </c>
      <c r="Q43" s="283">
        <f>MCF!R42</f>
        <v>1</v>
      </c>
      <c r="R43" s="67">
        <f t="shared" si="5"/>
        <v>0</v>
      </c>
      <c r="S43" s="67">
        <f t="shared" si="7"/>
        <v>0</v>
      </c>
      <c r="T43" s="67">
        <f t="shared" si="8"/>
        <v>0</v>
      </c>
      <c r="U43" s="67">
        <f t="shared" si="9"/>
        <v>0</v>
      </c>
      <c r="V43" s="67">
        <f t="shared" si="10"/>
        <v>0</v>
      </c>
      <c r="W43" s="100">
        <f t="shared" si="11"/>
        <v>0</v>
      </c>
    </row>
    <row r="44" spans="2:23">
      <c r="B44" s="96">
        <f>Amnt_Deposited!B39</f>
        <v>2025</v>
      </c>
      <c r="C44" s="99">
        <f>Amnt_Deposited!P39</f>
        <v>0</v>
      </c>
      <c r="D44" s="417">
        <f>Dry_Matter_Content!P31</f>
        <v>0</v>
      </c>
      <c r="E44" s="283">
        <f>MCF!R43</f>
        <v>1</v>
      </c>
      <c r="F44" s="67">
        <f t="shared" si="0"/>
        <v>0</v>
      </c>
      <c r="G44" s="67">
        <f t="shared" si="1"/>
        <v>0</v>
      </c>
      <c r="H44" s="67">
        <f t="shared" si="2"/>
        <v>0</v>
      </c>
      <c r="I44" s="67">
        <f t="shared" si="3"/>
        <v>0</v>
      </c>
      <c r="J44" s="67">
        <f t="shared" si="4"/>
        <v>0</v>
      </c>
      <c r="K44" s="100">
        <f t="shared" si="6"/>
        <v>0</v>
      </c>
      <c r="O44" s="96">
        <f>Amnt_Deposited!B39</f>
        <v>2025</v>
      </c>
      <c r="P44" s="99">
        <f>Amnt_Deposited!P39</f>
        <v>0</v>
      </c>
      <c r="Q44" s="283">
        <f>MCF!R43</f>
        <v>1</v>
      </c>
      <c r="R44" s="67">
        <f t="shared" si="5"/>
        <v>0</v>
      </c>
      <c r="S44" s="67">
        <f t="shared" si="7"/>
        <v>0</v>
      </c>
      <c r="T44" s="67">
        <f t="shared" si="8"/>
        <v>0</v>
      </c>
      <c r="U44" s="67">
        <f t="shared" si="9"/>
        <v>0</v>
      </c>
      <c r="V44" s="67">
        <f t="shared" si="10"/>
        <v>0</v>
      </c>
      <c r="W44" s="100">
        <f t="shared" si="11"/>
        <v>0</v>
      </c>
    </row>
    <row r="45" spans="2:23">
      <c r="B45" s="96">
        <f>Amnt_Deposited!B40</f>
        <v>2026</v>
      </c>
      <c r="C45" s="99">
        <f>Amnt_Deposited!P40</f>
        <v>0</v>
      </c>
      <c r="D45" s="417">
        <f>Dry_Matter_Content!P32</f>
        <v>0</v>
      </c>
      <c r="E45" s="283">
        <f>MCF!R44</f>
        <v>1</v>
      </c>
      <c r="F45" s="67">
        <f t="shared" si="0"/>
        <v>0</v>
      </c>
      <c r="G45" s="67">
        <f t="shared" si="1"/>
        <v>0</v>
      </c>
      <c r="H45" s="67">
        <f t="shared" si="2"/>
        <v>0</v>
      </c>
      <c r="I45" s="67">
        <f t="shared" si="3"/>
        <v>0</v>
      </c>
      <c r="J45" s="67">
        <f t="shared" si="4"/>
        <v>0</v>
      </c>
      <c r="K45" s="100">
        <f t="shared" si="6"/>
        <v>0</v>
      </c>
      <c r="O45" s="96">
        <f>Amnt_Deposited!B40</f>
        <v>2026</v>
      </c>
      <c r="P45" s="99">
        <f>Amnt_Deposited!P40</f>
        <v>0</v>
      </c>
      <c r="Q45" s="283">
        <f>MCF!R44</f>
        <v>1</v>
      </c>
      <c r="R45" s="67">
        <f t="shared" si="5"/>
        <v>0</v>
      </c>
      <c r="S45" s="67">
        <f t="shared" si="7"/>
        <v>0</v>
      </c>
      <c r="T45" s="67">
        <f t="shared" si="8"/>
        <v>0</v>
      </c>
      <c r="U45" s="67">
        <f t="shared" si="9"/>
        <v>0</v>
      </c>
      <c r="V45" s="67">
        <f t="shared" si="10"/>
        <v>0</v>
      </c>
      <c r="W45" s="100">
        <f t="shared" si="11"/>
        <v>0</v>
      </c>
    </row>
    <row r="46" spans="2:23">
      <c r="B46" s="96">
        <f>Amnt_Deposited!B41</f>
        <v>2027</v>
      </c>
      <c r="C46" s="99">
        <f>Amnt_Deposited!P41</f>
        <v>0</v>
      </c>
      <c r="D46" s="417">
        <f>Dry_Matter_Content!P33</f>
        <v>0</v>
      </c>
      <c r="E46" s="283">
        <f>MCF!R45</f>
        <v>1</v>
      </c>
      <c r="F46" s="67">
        <f t="shared" si="0"/>
        <v>0</v>
      </c>
      <c r="G46" s="67">
        <f t="shared" si="1"/>
        <v>0</v>
      </c>
      <c r="H46" s="67">
        <f t="shared" si="2"/>
        <v>0</v>
      </c>
      <c r="I46" s="67">
        <f t="shared" si="3"/>
        <v>0</v>
      </c>
      <c r="J46" s="67">
        <f t="shared" si="4"/>
        <v>0</v>
      </c>
      <c r="K46" s="100">
        <f t="shared" si="6"/>
        <v>0</v>
      </c>
      <c r="O46" s="96">
        <f>Amnt_Deposited!B41</f>
        <v>2027</v>
      </c>
      <c r="P46" s="99">
        <f>Amnt_Deposited!P41</f>
        <v>0</v>
      </c>
      <c r="Q46" s="283">
        <f>MCF!R45</f>
        <v>1</v>
      </c>
      <c r="R46" s="67">
        <f t="shared" si="5"/>
        <v>0</v>
      </c>
      <c r="S46" s="67">
        <f t="shared" si="7"/>
        <v>0</v>
      </c>
      <c r="T46" s="67">
        <f t="shared" si="8"/>
        <v>0</v>
      </c>
      <c r="U46" s="67">
        <f t="shared" si="9"/>
        <v>0</v>
      </c>
      <c r="V46" s="67">
        <f t="shared" si="10"/>
        <v>0</v>
      </c>
      <c r="W46" s="100">
        <f t="shared" si="11"/>
        <v>0</v>
      </c>
    </row>
    <row r="47" spans="2:23">
      <c r="B47" s="96">
        <f>Amnt_Deposited!B42</f>
        <v>2028</v>
      </c>
      <c r="C47" s="99">
        <f>Amnt_Deposited!P42</f>
        <v>0</v>
      </c>
      <c r="D47" s="417">
        <f>Dry_Matter_Content!P34</f>
        <v>0</v>
      </c>
      <c r="E47" s="283">
        <f>MCF!R46</f>
        <v>1</v>
      </c>
      <c r="F47" s="67">
        <f t="shared" si="0"/>
        <v>0</v>
      </c>
      <c r="G47" s="67">
        <f t="shared" si="1"/>
        <v>0</v>
      </c>
      <c r="H47" s="67">
        <f t="shared" si="2"/>
        <v>0</v>
      </c>
      <c r="I47" s="67">
        <f t="shared" si="3"/>
        <v>0</v>
      </c>
      <c r="J47" s="67">
        <f t="shared" si="4"/>
        <v>0</v>
      </c>
      <c r="K47" s="100">
        <f t="shared" si="6"/>
        <v>0</v>
      </c>
      <c r="O47" s="96">
        <f>Amnt_Deposited!B42</f>
        <v>2028</v>
      </c>
      <c r="P47" s="99">
        <f>Amnt_Deposited!P42</f>
        <v>0</v>
      </c>
      <c r="Q47" s="283">
        <f>MCF!R46</f>
        <v>1</v>
      </c>
      <c r="R47" s="67">
        <f t="shared" si="5"/>
        <v>0</v>
      </c>
      <c r="S47" s="67">
        <f t="shared" si="7"/>
        <v>0</v>
      </c>
      <c r="T47" s="67">
        <f t="shared" si="8"/>
        <v>0</v>
      </c>
      <c r="U47" s="67">
        <f t="shared" si="9"/>
        <v>0</v>
      </c>
      <c r="V47" s="67">
        <f t="shared" si="10"/>
        <v>0</v>
      </c>
      <c r="W47" s="100">
        <f t="shared" si="11"/>
        <v>0</v>
      </c>
    </row>
    <row r="48" spans="2:23">
      <c r="B48" s="96">
        <f>Amnt_Deposited!B43</f>
        <v>2029</v>
      </c>
      <c r="C48" s="99">
        <f>Amnt_Deposited!P43</f>
        <v>0</v>
      </c>
      <c r="D48" s="417">
        <f>Dry_Matter_Content!P35</f>
        <v>0</v>
      </c>
      <c r="E48" s="283">
        <f>MCF!R47</f>
        <v>1</v>
      </c>
      <c r="F48" s="67">
        <f t="shared" si="0"/>
        <v>0</v>
      </c>
      <c r="G48" s="67">
        <f t="shared" si="1"/>
        <v>0</v>
      </c>
      <c r="H48" s="67">
        <f t="shared" si="2"/>
        <v>0</v>
      </c>
      <c r="I48" s="67">
        <f t="shared" si="3"/>
        <v>0</v>
      </c>
      <c r="J48" s="67">
        <f t="shared" si="4"/>
        <v>0</v>
      </c>
      <c r="K48" s="100">
        <f t="shared" si="6"/>
        <v>0</v>
      </c>
      <c r="O48" s="96">
        <f>Amnt_Deposited!B43</f>
        <v>2029</v>
      </c>
      <c r="P48" s="99">
        <f>Amnt_Deposited!P43</f>
        <v>0</v>
      </c>
      <c r="Q48" s="283">
        <f>MCF!R47</f>
        <v>1</v>
      </c>
      <c r="R48" s="67">
        <f t="shared" si="5"/>
        <v>0</v>
      </c>
      <c r="S48" s="67">
        <f t="shared" si="7"/>
        <v>0</v>
      </c>
      <c r="T48" s="67">
        <f t="shared" si="8"/>
        <v>0</v>
      </c>
      <c r="U48" s="67">
        <f t="shared" si="9"/>
        <v>0</v>
      </c>
      <c r="V48" s="67">
        <f t="shared" si="10"/>
        <v>0</v>
      </c>
      <c r="W48" s="100">
        <f t="shared" si="11"/>
        <v>0</v>
      </c>
    </row>
    <row r="49" spans="2:23">
      <c r="B49" s="96">
        <f>Amnt_Deposited!B44</f>
        <v>2030</v>
      </c>
      <c r="C49" s="99">
        <f>Amnt_Deposited!P44</f>
        <v>0</v>
      </c>
      <c r="D49" s="417">
        <f>Dry_Matter_Content!P36</f>
        <v>0</v>
      </c>
      <c r="E49" s="283">
        <f>MCF!R48</f>
        <v>1</v>
      </c>
      <c r="F49" s="67">
        <f t="shared" si="0"/>
        <v>0</v>
      </c>
      <c r="G49" s="67">
        <f t="shared" si="1"/>
        <v>0</v>
      </c>
      <c r="H49" s="67">
        <f t="shared" si="2"/>
        <v>0</v>
      </c>
      <c r="I49" s="67">
        <f t="shared" si="3"/>
        <v>0</v>
      </c>
      <c r="J49" s="67">
        <f t="shared" si="4"/>
        <v>0</v>
      </c>
      <c r="K49" s="100">
        <f t="shared" si="6"/>
        <v>0</v>
      </c>
      <c r="O49" s="96">
        <f>Amnt_Deposited!B44</f>
        <v>2030</v>
      </c>
      <c r="P49" s="99">
        <f>Amnt_Deposited!P44</f>
        <v>0</v>
      </c>
      <c r="Q49" s="283">
        <f>MCF!R48</f>
        <v>1</v>
      </c>
      <c r="R49" s="67">
        <f t="shared" si="5"/>
        <v>0</v>
      </c>
      <c r="S49" s="67">
        <f t="shared" si="7"/>
        <v>0</v>
      </c>
      <c r="T49" s="67">
        <f t="shared" si="8"/>
        <v>0</v>
      </c>
      <c r="U49" s="67">
        <f t="shared" si="9"/>
        <v>0</v>
      </c>
      <c r="V49" s="67">
        <f t="shared" si="10"/>
        <v>0</v>
      </c>
      <c r="W49" s="100">
        <f t="shared" si="11"/>
        <v>0</v>
      </c>
    </row>
    <row r="50" spans="2:23">
      <c r="B50" s="96">
        <f>Amnt_Deposited!B45</f>
        <v>2031</v>
      </c>
      <c r="C50" s="99">
        <f>Amnt_Deposited!P45</f>
        <v>0</v>
      </c>
      <c r="D50" s="417">
        <f>Dry_Matter_Content!P37</f>
        <v>0</v>
      </c>
      <c r="E50" s="283">
        <f>MCF!R49</f>
        <v>1</v>
      </c>
      <c r="F50" s="67">
        <f t="shared" si="0"/>
        <v>0</v>
      </c>
      <c r="G50" s="67">
        <f t="shared" si="1"/>
        <v>0</v>
      </c>
      <c r="H50" s="67">
        <f t="shared" si="2"/>
        <v>0</v>
      </c>
      <c r="I50" s="67">
        <f t="shared" si="3"/>
        <v>0</v>
      </c>
      <c r="J50" s="67">
        <f t="shared" si="4"/>
        <v>0</v>
      </c>
      <c r="K50" s="100">
        <f t="shared" si="6"/>
        <v>0</v>
      </c>
      <c r="O50" s="96">
        <f>Amnt_Deposited!B45</f>
        <v>2031</v>
      </c>
      <c r="P50" s="99">
        <f>Amnt_Deposited!P45</f>
        <v>0</v>
      </c>
      <c r="Q50" s="283">
        <f>MCF!R49</f>
        <v>1</v>
      </c>
      <c r="R50" s="67">
        <f t="shared" si="5"/>
        <v>0</v>
      </c>
      <c r="S50" s="67">
        <f t="shared" si="7"/>
        <v>0</v>
      </c>
      <c r="T50" s="67">
        <f t="shared" si="8"/>
        <v>0</v>
      </c>
      <c r="U50" s="67">
        <f t="shared" si="9"/>
        <v>0</v>
      </c>
      <c r="V50" s="67">
        <f t="shared" si="10"/>
        <v>0</v>
      </c>
      <c r="W50" s="100">
        <f t="shared" si="11"/>
        <v>0</v>
      </c>
    </row>
    <row r="51" spans="2:23">
      <c r="B51" s="96">
        <f>Amnt_Deposited!B46</f>
        <v>2032</v>
      </c>
      <c r="C51" s="99">
        <f>Amnt_Deposited!P46</f>
        <v>0</v>
      </c>
      <c r="D51" s="417">
        <f>Dry_Matter_Content!P38</f>
        <v>0</v>
      </c>
      <c r="E51" s="283">
        <f>MCF!R50</f>
        <v>1</v>
      </c>
      <c r="F51" s="67">
        <f t="shared" si="0"/>
        <v>0</v>
      </c>
      <c r="G51" s="67">
        <f t="shared" si="1"/>
        <v>0</v>
      </c>
      <c r="H51" s="67">
        <f t="shared" si="2"/>
        <v>0</v>
      </c>
      <c r="I51" s="67">
        <f t="shared" si="3"/>
        <v>0</v>
      </c>
      <c r="J51" s="67">
        <f t="shared" si="4"/>
        <v>0</v>
      </c>
      <c r="K51" s="100">
        <f t="shared" si="6"/>
        <v>0</v>
      </c>
      <c r="O51" s="96">
        <f>Amnt_Deposited!B46</f>
        <v>2032</v>
      </c>
      <c r="P51" s="99">
        <f>Amnt_Deposited!P46</f>
        <v>0</v>
      </c>
      <c r="Q51" s="283">
        <f>MCF!R50</f>
        <v>1</v>
      </c>
      <c r="R51" s="67">
        <f t="shared" si="5"/>
        <v>0</v>
      </c>
      <c r="S51" s="67">
        <f t="shared" si="7"/>
        <v>0</v>
      </c>
      <c r="T51" s="67">
        <f t="shared" si="8"/>
        <v>0</v>
      </c>
      <c r="U51" s="67">
        <f t="shared" si="9"/>
        <v>0</v>
      </c>
      <c r="V51" s="67">
        <f t="shared" si="10"/>
        <v>0</v>
      </c>
      <c r="W51" s="100">
        <f t="shared" si="11"/>
        <v>0</v>
      </c>
    </row>
    <row r="52" spans="2:23">
      <c r="B52" s="96">
        <f>Amnt_Deposited!B47</f>
        <v>2033</v>
      </c>
      <c r="C52" s="99">
        <f>Amnt_Deposited!P47</f>
        <v>0</v>
      </c>
      <c r="D52" s="417">
        <f>Dry_Matter_Content!P39</f>
        <v>0</v>
      </c>
      <c r="E52" s="283">
        <f>MCF!R51</f>
        <v>1</v>
      </c>
      <c r="F52" s="67">
        <f t="shared" si="0"/>
        <v>0</v>
      </c>
      <c r="G52" s="67">
        <f t="shared" si="1"/>
        <v>0</v>
      </c>
      <c r="H52" s="67">
        <f t="shared" si="2"/>
        <v>0</v>
      </c>
      <c r="I52" s="67">
        <f t="shared" si="3"/>
        <v>0</v>
      </c>
      <c r="J52" s="67">
        <f t="shared" si="4"/>
        <v>0</v>
      </c>
      <c r="K52" s="100">
        <f t="shared" si="6"/>
        <v>0</v>
      </c>
      <c r="O52" s="96">
        <f>Amnt_Deposited!B47</f>
        <v>2033</v>
      </c>
      <c r="P52" s="99">
        <f>Amnt_Deposited!P47</f>
        <v>0</v>
      </c>
      <c r="Q52" s="283">
        <f>MCF!R51</f>
        <v>1</v>
      </c>
      <c r="R52" s="67">
        <f t="shared" si="5"/>
        <v>0</v>
      </c>
      <c r="S52" s="67">
        <f t="shared" si="7"/>
        <v>0</v>
      </c>
      <c r="T52" s="67">
        <f t="shared" si="8"/>
        <v>0</v>
      </c>
      <c r="U52" s="67">
        <f t="shared" si="9"/>
        <v>0</v>
      </c>
      <c r="V52" s="67">
        <f t="shared" si="10"/>
        <v>0</v>
      </c>
      <c r="W52" s="100">
        <f t="shared" si="11"/>
        <v>0</v>
      </c>
    </row>
    <row r="53" spans="2:23">
      <c r="B53" s="96">
        <f>Amnt_Deposited!B48</f>
        <v>2034</v>
      </c>
      <c r="C53" s="99">
        <f>Amnt_Deposited!P48</f>
        <v>0</v>
      </c>
      <c r="D53" s="417">
        <f>Dry_Matter_Content!P40</f>
        <v>0</v>
      </c>
      <c r="E53" s="283">
        <f>MCF!R52</f>
        <v>1</v>
      </c>
      <c r="F53" s="67">
        <f t="shared" si="0"/>
        <v>0</v>
      </c>
      <c r="G53" s="67">
        <f t="shared" si="1"/>
        <v>0</v>
      </c>
      <c r="H53" s="67">
        <f t="shared" si="2"/>
        <v>0</v>
      </c>
      <c r="I53" s="67">
        <f t="shared" si="3"/>
        <v>0</v>
      </c>
      <c r="J53" s="67">
        <f t="shared" si="4"/>
        <v>0</v>
      </c>
      <c r="K53" s="100">
        <f t="shared" si="6"/>
        <v>0</v>
      </c>
      <c r="O53" s="96">
        <f>Amnt_Deposited!B48</f>
        <v>2034</v>
      </c>
      <c r="P53" s="99">
        <f>Amnt_Deposited!P48</f>
        <v>0</v>
      </c>
      <c r="Q53" s="283">
        <f>MCF!R52</f>
        <v>1</v>
      </c>
      <c r="R53" s="67">
        <f t="shared" si="5"/>
        <v>0</v>
      </c>
      <c r="S53" s="67">
        <f t="shared" si="7"/>
        <v>0</v>
      </c>
      <c r="T53" s="67">
        <f t="shared" si="8"/>
        <v>0</v>
      </c>
      <c r="U53" s="67">
        <f t="shared" si="9"/>
        <v>0</v>
      </c>
      <c r="V53" s="67">
        <f t="shared" si="10"/>
        <v>0</v>
      </c>
      <c r="W53" s="100">
        <f t="shared" si="11"/>
        <v>0</v>
      </c>
    </row>
    <row r="54" spans="2:23">
      <c r="B54" s="96">
        <f>Amnt_Deposited!B49</f>
        <v>2035</v>
      </c>
      <c r="C54" s="99">
        <f>Amnt_Deposited!P49</f>
        <v>0</v>
      </c>
      <c r="D54" s="417">
        <f>Dry_Matter_Content!P41</f>
        <v>0</v>
      </c>
      <c r="E54" s="283">
        <f>MCF!R53</f>
        <v>1</v>
      </c>
      <c r="F54" s="67">
        <f t="shared" si="0"/>
        <v>0</v>
      </c>
      <c r="G54" s="67">
        <f t="shared" si="1"/>
        <v>0</v>
      </c>
      <c r="H54" s="67">
        <f t="shared" si="2"/>
        <v>0</v>
      </c>
      <c r="I54" s="67">
        <f t="shared" si="3"/>
        <v>0</v>
      </c>
      <c r="J54" s="67">
        <f t="shared" si="4"/>
        <v>0</v>
      </c>
      <c r="K54" s="100">
        <f t="shared" si="6"/>
        <v>0</v>
      </c>
      <c r="O54" s="96">
        <f>Amnt_Deposited!B49</f>
        <v>2035</v>
      </c>
      <c r="P54" s="99">
        <f>Amnt_Deposited!P49</f>
        <v>0</v>
      </c>
      <c r="Q54" s="283">
        <f>MCF!R53</f>
        <v>1</v>
      </c>
      <c r="R54" s="67">
        <f t="shared" si="5"/>
        <v>0</v>
      </c>
      <c r="S54" s="67">
        <f t="shared" si="7"/>
        <v>0</v>
      </c>
      <c r="T54" s="67">
        <f t="shared" si="8"/>
        <v>0</v>
      </c>
      <c r="U54" s="67">
        <f t="shared" si="9"/>
        <v>0</v>
      </c>
      <c r="V54" s="67">
        <f t="shared" si="10"/>
        <v>0</v>
      </c>
      <c r="W54" s="100">
        <f t="shared" si="11"/>
        <v>0</v>
      </c>
    </row>
    <row r="55" spans="2:23">
      <c r="B55" s="96">
        <f>Amnt_Deposited!B50</f>
        <v>2036</v>
      </c>
      <c r="C55" s="99">
        <f>Amnt_Deposited!P50</f>
        <v>0</v>
      </c>
      <c r="D55" s="417">
        <f>Dry_Matter_Content!P42</f>
        <v>0</v>
      </c>
      <c r="E55" s="283">
        <f>MCF!R54</f>
        <v>1</v>
      </c>
      <c r="F55" s="67">
        <f t="shared" si="0"/>
        <v>0</v>
      </c>
      <c r="G55" s="67">
        <f t="shared" si="1"/>
        <v>0</v>
      </c>
      <c r="H55" s="67">
        <f t="shared" si="2"/>
        <v>0</v>
      </c>
      <c r="I55" s="67">
        <f t="shared" si="3"/>
        <v>0</v>
      </c>
      <c r="J55" s="67">
        <f t="shared" si="4"/>
        <v>0</v>
      </c>
      <c r="K55" s="100">
        <f t="shared" si="6"/>
        <v>0</v>
      </c>
      <c r="O55" s="96">
        <f>Amnt_Deposited!B50</f>
        <v>2036</v>
      </c>
      <c r="P55" s="99">
        <f>Amnt_Deposited!P50</f>
        <v>0</v>
      </c>
      <c r="Q55" s="283">
        <f>MCF!R54</f>
        <v>1</v>
      </c>
      <c r="R55" s="67">
        <f t="shared" si="5"/>
        <v>0</v>
      </c>
      <c r="S55" s="67">
        <f t="shared" si="7"/>
        <v>0</v>
      </c>
      <c r="T55" s="67">
        <f t="shared" si="8"/>
        <v>0</v>
      </c>
      <c r="U55" s="67">
        <f t="shared" si="9"/>
        <v>0</v>
      </c>
      <c r="V55" s="67">
        <f t="shared" si="10"/>
        <v>0</v>
      </c>
      <c r="W55" s="100">
        <f t="shared" si="11"/>
        <v>0</v>
      </c>
    </row>
    <row r="56" spans="2:23">
      <c r="B56" s="96">
        <f>Amnt_Deposited!B51</f>
        <v>2037</v>
      </c>
      <c r="C56" s="99">
        <f>Amnt_Deposited!P51</f>
        <v>0</v>
      </c>
      <c r="D56" s="417">
        <f>Dry_Matter_Content!P43</f>
        <v>0</v>
      </c>
      <c r="E56" s="283">
        <f>MCF!R55</f>
        <v>1</v>
      </c>
      <c r="F56" s="67">
        <f t="shared" si="0"/>
        <v>0</v>
      </c>
      <c r="G56" s="67">
        <f t="shared" si="1"/>
        <v>0</v>
      </c>
      <c r="H56" s="67">
        <f t="shared" si="2"/>
        <v>0</v>
      </c>
      <c r="I56" s="67">
        <f t="shared" si="3"/>
        <v>0</v>
      </c>
      <c r="J56" s="67">
        <f t="shared" si="4"/>
        <v>0</v>
      </c>
      <c r="K56" s="100">
        <f t="shared" si="6"/>
        <v>0</v>
      </c>
      <c r="O56" s="96">
        <f>Amnt_Deposited!B51</f>
        <v>2037</v>
      </c>
      <c r="P56" s="99">
        <f>Amnt_Deposited!P51</f>
        <v>0</v>
      </c>
      <c r="Q56" s="283">
        <f>MCF!R55</f>
        <v>1</v>
      </c>
      <c r="R56" s="67">
        <f t="shared" si="5"/>
        <v>0</v>
      </c>
      <c r="S56" s="67">
        <f t="shared" si="7"/>
        <v>0</v>
      </c>
      <c r="T56" s="67">
        <f t="shared" si="8"/>
        <v>0</v>
      </c>
      <c r="U56" s="67">
        <f t="shared" si="9"/>
        <v>0</v>
      </c>
      <c r="V56" s="67">
        <f t="shared" si="10"/>
        <v>0</v>
      </c>
      <c r="W56" s="100">
        <f t="shared" si="11"/>
        <v>0</v>
      </c>
    </row>
    <row r="57" spans="2:23">
      <c r="B57" s="96">
        <f>Amnt_Deposited!B52</f>
        <v>2038</v>
      </c>
      <c r="C57" s="99">
        <f>Amnt_Deposited!P52</f>
        <v>0</v>
      </c>
      <c r="D57" s="417">
        <f>Dry_Matter_Content!P44</f>
        <v>0</v>
      </c>
      <c r="E57" s="283">
        <f>MCF!R56</f>
        <v>1</v>
      </c>
      <c r="F57" s="67">
        <f t="shared" si="0"/>
        <v>0</v>
      </c>
      <c r="G57" s="67">
        <f t="shared" si="1"/>
        <v>0</v>
      </c>
      <c r="H57" s="67">
        <f t="shared" si="2"/>
        <v>0</v>
      </c>
      <c r="I57" s="67">
        <f t="shared" si="3"/>
        <v>0</v>
      </c>
      <c r="J57" s="67">
        <f t="shared" si="4"/>
        <v>0</v>
      </c>
      <c r="K57" s="100">
        <f t="shared" si="6"/>
        <v>0</v>
      </c>
      <c r="O57" s="96">
        <f>Amnt_Deposited!B52</f>
        <v>2038</v>
      </c>
      <c r="P57" s="99">
        <f>Amnt_Deposited!P52</f>
        <v>0</v>
      </c>
      <c r="Q57" s="283">
        <f>MCF!R56</f>
        <v>1</v>
      </c>
      <c r="R57" s="67">
        <f t="shared" si="5"/>
        <v>0</v>
      </c>
      <c r="S57" s="67">
        <f t="shared" si="7"/>
        <v>0</v>
      </c>
      <c r="T57" s="67">
        <f t="shared" si="8"/>
        <v>0</v>
      </c>
      <c r="U57" s="67">
        <f t="shared" si="9"/>
        <v>0</v>
      </c>
      <c r="V57" s="67">
        <f t="shared" si="10"/>
        <v>0</v>
      </c>
      <c r="W57" s="100">
        <f t="shared" si="11"/>
        <v>0</v>
      </c>
    </row>
    <row r="58" spans="2:23">
      <c r="B58" s="96">
        <f>Amnt_Deposited!B53</f>
        <v>2039</v>
      </c>
      <c r="C58" s="99">
        <f>Amnt_Deposited!P53</f>
        <v>0</v>
      </c>
      <c r="D58" s="417">
        <f>Dry_Matter_Content!P45</f>
        <v>0</v>
      </c>
      <c r="E58" s="283">
        <f>MCF!R57</f>
        <v>1</v>
      </c>
      <c r="F58" s="67">
        <f t="shared" si="0"/>
        <v>0</v>
      </c>
      <c r="G58" s="67">
        <f t="shared" si="1"/>
        <v>0</v>
      </c>
      <c r="H58" s="67">
        <f t="shared" si="2"/>
        <v>0</v>
      </c>
      <c r="I58" s="67">
        <f t="shared" si="3"/>
        <v>0</v>
      </c>
      <c r="J58" s="67">
        <f t="shared" si="4"/>
        <v>0</v>
      </c>
      <c r="K58" s="100">
        <f t="shared" si="6"/>
        <v>0</v>
      </c>
      <c r="O58" s="96">
        <f>Amnt_Deposited!B53</f>
        <v>2039</v>
      </c>
      <c r="P58" s="99">
        <f>Amnt_Deposited!P53</f>
        <v>0</v>
      </c>
      <c r="Q58" s="283">
        <f>MCF!R57</f>
        <v>1</v>
      </c>
      <c r="R58" s="67">
        <f t="shared" si="5"/>
        <v>0</v>
      </c>
      <c r="S58" s="67">
        <f t="shared" si="7"/>
        <v>0</v>
      </c>
      <c r="T58" s="67">
        <f t="shared" si="8"/>
        <v>0</v>
      </c>
      <c r="U58" s="67">
        <f t="shared" si="9"/>
        <v>0</v>
      </c>
      <c r="V58" s="67">
        <f t="shared" si="10"/>
        <v>0</v>
      </c>
      <c r="W58" s="100">
        <f t="shared" si="11"/>
        <v>0</v>
      </c>
    </row>
    <row r="59" spans="2:23">
      <c r="B59" s="96">
        <f>Amnt_Deposited!B54</f>
        <v>2040</v>
      </c>
      <c r="C59" s="99">
        <f>Amnt_Deposited!P54</f>
        <v>0</v>
      </c>
      <c r="D59" s="417">
        <f>Dry_Matter_Content!P46</f>
        <v>0</v>
      </c>
      <c r="E59" s="283">
        <f>MCF!R58</f>
        <v>1</v>
      </c>
      <c r="F59" s="67">
        <f t="shared" si="0"/>
        <v>0</v>
      </c>
      <c r="G59" s="67">
        <f t="shared" si="1"/>
        <v>0</v>
      </c>
      <c r="H59" s="67">
        <f t="shared" si="2"/>
        <v>0</v>
      </c>
      <c r="I59" s="67">
        <f t="shared" si="3"/>
        <v>0</v>
      </c>
      <c r="J59" s="67">
        <f t="shared" si="4"/>
        <v>0</v>
      </c>
      <c r="K59" s="100">
        <f t="shared" si="6"/>
        <v>0</v>
      </c>
      <c r="O59" s="96">
        <f>Amnt_Deposited!B54</f>
        <v>2040</v>
      </c>
      <c r="P59" s="99">
        <f>Amnt_Deposited!P54</f>
        <v>0</v>
      </c>
      <c r="Q59" s="283">
        <f>MCF!R58</f>
        <v>1</v>
      </c>
      <c r="R59" s="67">
        <f t="shared" si="5"/>
        <v>0</v>
      </c>
      <c r="S59" s="67">
        <f t="shared" si="7"/>
        <v>0</v>
      </c>
      <c r="T59" s="67">
        <f t="shared" si="8"/>
        <v>0</v>
      </c>
      <c r="U59" s="67">
        <f t="shared" si="9"/>
        <v>0</v>
      </c>
      <c r="V59" s="67">
        <f t="shared" si="10"/>
        <v>0</v>
      </c>
      <c r="W59" s="100">
        <f t="shared" si="11"/>
        <v>0</v>
      </c>
    </row>
    <row r="60" spans="2:23">
      <c r="B60" s="96">
        <f>Amnt_Deposited!B55</f>
        <v>2041</v>
      </c>
      <c r="C60" s="99">
        <f>Amnt_Deposited!P55</f>
        <v>0</v>
      </c>
      <c r="D60" s="417">
        <f>Dry_Matter_Content!P47</f>
        <v>0</v>
      </c>
      <c r="E60" s="283">
        <f>MCF!R59</f>
        <v>1</v>
      </c>
      <c r="F60" s="67">
        <f t="shared" si="0"/>
        <v>0</v>
      </c>
      <c r="G60" s="67">
        <f t="shared" si="1"/>
        <v>0</v>
      </c>
      <c r="H60" s="67">
        <f t="shared" si="2"/>
        <v>0</v>
      </c>
      <c r="I60" s="67">
        <f t="shared" si="3"/>
        <v>0</v>
      </c>
      <c r="J60" s="67">
        <f t="shared" si="4"/>
        <v>0</v>
      </c>
      <c r="K60" s="100">
        <f t="shared" si="6"/>
        <v>0</v>
      </c>
      <c r="O60" s="96">
        <f>Amnt_Deposited!B55</f>
        <v>2041</v>
      </c>
      <c r="P60" s="99">
        <f>Amnt_Deposited!P55</f>
        <v>0</v>
      </c>
      <c r="Q60" s="283">
        <f>MCF!R59</f>
        <v>1</v>
      </c>
      <c r="R60" s="67">
        <f t="shared" si="5"/>
        <v>0</v>
      </c>
      <c r="S60" s="67">
        <f t="shared" si="7"/>
        <v>0</v>
      </c>
      <c r="T60" s="67">
        <f t="shared" si="8"/>
        <v>0</v>
      </c>
      <c r="U60" s="67">
        <f t="shared" si="9"/>
        <v>0</v>
      </c>
      <c r="V60" s="67">
        <f t="shared" si="10"/>
        <v>0</v>
      </c>
      <c r="W60" s="100">
        <f t="shared" si="11"/>
        <v>0</v>
      </c>
    </row>
    <row r="61" spans="2:23">
      <c r="B61" s="96">
        <f>Amnt_Deposited!B56</f>
        <v>2042</v>
      </c>
      <c r="C61" s="99">
        <f>Amnt_Deposited!P56</f>
        <v>0</v>
      </c>
      <c r="D61" s="417">
        <f>Dry_Matter_Content!P48</f>
        <v>0</v>
      </c>
      <c r="E61" s="283">
        <f>MCF!R60</f>
        <v>1</v>
      </c>
      <c r="F61" s="67">
        <f t="shared" si="0"/>
        <v>0</v>
      </c>
      <c r="G61" s="67">
        <f t="shared" si="1"/>
        <v>0</v>
      </c>
      <c r="H61" s="67">
        <f t="shared" si="2"/>
        <v>0</v>
      </c>
      <c r="I61" s="67">
        <f t="shared" si="3"/>
        <v>0</v>
      </c>
      <c r="J61" s="67">
        <f t="shared" si="4"/>
        <v>0</v>
      </c>
      <c r="K61" s="100">
        <f t="shared" si="6"/>
        <v>0</v>
      </c>
      <c r="O61" s="96">
        <f>Amnt_Deposited!B56</f>
        <v>2042</v>
      </c>
      <c r="P61" s="99">
        <f>Amnt_Deposited!P56</f>
        <v>0</v>
      </c>
      <c r="Q61" s="283">
        <f>MCF!R60</f>
        <v>1</v>
      </c>
      <c r="R61" s="67">
        <f t="shared" si="5"/>
        <v>0</v>
      </c>
      <c r="S61" s="67">
        <f t="shared" si="7"/>
        <v>0</v>
      </c>
      <c r="T61" s="67">
        <f t="shared" si="8"/>
        <v>0</v>
      </c>
      <c r="U61" s="67">
        <f t="shared" si="9"/>
        <v>0</v>
      </c>
      <c r="V61" s="67">
        <f t="shared" si="10"/>
        <v>0</v>
      </c>
      <c r="W61" s="100">
        <f t="shared" si="11"/>
        <v>0</v>
      </c>
    </row>
    <row r="62" spans="2:23">
      <c r="B62" s="96">
        <f>Amnt_Deposited!B57</f>
        <v>2043</v>
      </c>
      <c r="C62" s="99">
        <f>Amnt_Deposited!P57</f>
        <v>0</v>
      </c>
      <c r="D62" s="417">
        <f>Dry_Matter_Content!P49</f>
        <v>0</v>
      </c>
      <c r="E62" s="283">
        <f>MCF!R61</f>
        <v>1</v>
      </c>
      <c r="F62" s="67">
        <f t="shared" si="0"/>
        <v>0</v>
      </c>
      <c r="G62" s="67">
        <f t="shared" si="1"/>
        <v>0</v>
      </c>
      <c r="H62" s="67">
        <f t="shared" si="2"/>
        <v>0</v>
      </c>
      <c r="I62" s="67">
        <f t="shared" si="3"/>
        <v>0</v>
      </c>
      <c r="J62" s="67">
        <f t="shared" si="4"/>
        <v>0</v>
      </c>
      <c r="K62" s="100">
        <f t="shared" si="6"/>
        <v>0</v>
      </c>
      <c r="O62" s="96">
        <f>Amnt_Deposited!B57</f>
        <v>2043</v>
      </c>
      <c r="P62" s="99">
        <f>Amnt_Deposited!P57</f>
        <v>0</v>
      </c>
      <c r="Q62" s="283">
        <f>MCF!R61</f>
        <v>1</v>
      </c>
      <c r="R62" s="67">
        <f t="shared" si="5"/>
        <v>0</v>
      </c>
      <c r="S62" s="67">
        <f t="shared" si="7"/>
        <v>0</v>
      </c>
      <c r="T62" s="67">
        <f t="shared" si="8"/>
        <v>0</v>
      </c>
      <c r="U62" s="67">
        <f t="shared" si="9"/>
        <v>0</v>
      </c>
      <c r="V62" s="67">
        <f t="shared" si="10"/>
        <v>0</v>
      </c>
      <c r="W62" s="100">
        <f t="shared" si="11"/>
        <v>0</v>
      </c>
    </row>
    <row r="63" spans="2:23">
      <c r="B63" s="96">
        <f>Amnt_Deposited!B58</f>
        <v>2044</v>
      </c>
      <c r="C63" s="99">
        <f>Amnt_Deposited!P58</f>
        <v>0</v>
      </c>
      <c r="D63" s="417">
        <f>Dry_Matter_Content!P50</f>
        <v>0</v>
      </c>
      <c r="E63" s="283">
        <f>MCF!R62</f>
        <v>1</v>
      </c>
      <c r="F63" s="67">
        <f t="shared" si="0"/>
        <v>0</v>
      </c>
      <c r="G63" s="67">
        <f t="shared" si="1"/>
        <v>0</v>
      </c>
      <c r="H63" s="67">
        <f t="shared" si="2"/>
        <v>0</v>
      </c>
      <c r="I63" s="67">
        <f t="shared" si="3"/>
        <v>0</v>
      </c>
      <c r="J63" s="67">
        <f t="shared" si="4"/>
        <v>0</v>
      </c>
      <c r="K63" s="100">
        <f t="shared" si="6"/>
        <v>0</v>
      </c>
      <c r="O63" s="96">
        <f>Amnt_Deposited!B58</f>
        <v>2044</v>
      </c>
      <c r="P63" s="99">
        <f>Amnt_Deposited!P58</f>
        <v>0</v>
      </c>
      <c r="Q63" s="283">
        <f>MCF!R62</f>
        <v>1</v>
      </c>
      <c r="R63" s="67">
        <f t="shared" si="5"/>
        <v>0</v>
      </c>
      <c r="S63" s="67">
        <f t="shared" si="7"/>
        <v>0</v>
      </c>
      <c r="T63" s="67">
        <f t="shared" si="8"/>
        <v>0</v>
      </c>
      <c r="U63" s="67">
        <f t="shared" si="9"/>
        <v>0</v>
      </c>
      <c r="V63" s="67">
        <f t="shared" si="10"/>
        <v>0</v>
      </c>
      <c r="W63" s="100">
        <f t="shared" si="11"/>
        <v>0</v>
      </c>
    </row>
    <row r="64" spans="2:23">
      <c r="B64" s="96">
        <f>Amnt_Deposited!B59</f>
        <v>2045</v>
      </c>
      <c r="C64" s="99">
        <f>Amnt_Deposited!P59</f>
        <v>0</v>
      </c>
      <c r="D64" s="417">
        <f>Dry_Matter_Content!P51</f>
        <v>0</v>
      </c>
      <c r="E64" s="283">
        <f>MCF!R63</f>
        <v>1</v>
      </c>
      <c r="F64" s="67">
        <f t="shared" si="0"/>
        <v>0</v>
      </c>
      <c r="G64" s="67">
        <f t="shared" si="1"/>
        <v>0</v>
      </c>
      <c r="H64" s="67">
        <f t="shared" si="2"/>
        <v>0</v>
      </c>
      <c r="I64" s="67">
        <f t="shared" si="3"/>
        <v>0</v>
      </c>
      <c r="J64" s="67">
        <f t="shared" si="4"/>
        <v>0</v>
      </c>
      <c r="K64" s="100">
        <f t="shared" si="6"/>
        <v>0</v>
      </c>
      <c r="O64" s="96">
        <f>Amnt_Deposited!B59</f>
        <v>2045</v>
      </c>
      <c r="P64" s="99">
        <f>Amnt_Deposited!P59</f>
        <v>0</v>
      </c>
      <c r="Q64" s="283">
        <f>MCF!R63</f>
        <v>1</v>
      </c>
      <c r="R64" s="67">
        <f t="shared" si="5"/>
        <v>0</v>
      </c>
      <c r="S64" s="67">
        <f t="shared" si="7"/>
        <v>0</v>
      </c>
      <c r="T64" s="67">
        <f t="shared" si="8"/>
        <v>0</v>
      </c>
      <c r="U64" s="67">
        <f t="shared" si="9"/>
        <v>0</v>
      </c>
      <c r="V64" s="67">
        <f t="shared" si="10"/>
        <v>0</v>
      </c>
      <c r="W64" s="100">
        <f t="shared" si="11"/>
        <v>0</v>
      </c>
    </row>
    <row r="65" spans="2:23">
      <c r="B65" s="96">
        <f>Amnt_Deposited!B60</f>
        <v>2046</v>
      </c>
      <c r="C65" s="99">
        <f>Amnt_Deposited!P60</f>
        <v>0</v>
      </c>
      <c r="D65" s="417">
        <f>Dry_Matter_Content!P52</f>
        <v>0</v>
      </c>
      <c r="E65" s="283">
        <f>MCF!R64</f>
        <v>1</v>
      </c>
      <c r="F65" s="67">
        <f t="shared" si="0"/>
        <v>0</v>
      </c>
      <c r="G65" s="67">
        <f t="shared" si="1"/>
        <v>0</v>
      </c>
      <c r="H65" s="67">
        <f t="shared" si="2"/>
        <v>0</v>
      </c>
      <c r="I65" s="67">
        <f t="shared" si="3"/>
        <v>0</v>
      </c>
      <c r="J65" s="67">
        <f t="shared" si="4"/>
        <v>0</v>
      </c>
      <c r="K65" s="100">
        <f t="shared" si="6"/>
        <v>0</v>
      </c>
      <c r="O65" s="96">
        <f>Amnt_Deposited!B60</f>
        <v>2046</v>
      </c>
      <c r="P65" s="99">
        <f>Amnt_Deposited!P60</f>
        <v>0</v>
      </c>
      <c r="Q65" s="283">
        <f>MCF!R64</f>
        <v>1</v>
      </c>
      <c r="R65" s="67">
        <f t="shared" si="5"/>
        <v>0</v>
      </c>
      <c r="S65" s="67">
        <f t="shared" si="7"/>
        <v>0</v>
      </c>
      <c r="T65" s="67">
        <f t="shared" si="8"/>
        <v>0</v>
      </c>
      <c r="U65" s="67">
        <f t="shared" si="9"/>
        <v>0</v>
      </c>
      <c r="V65" s="67">
        <f t="shared" si="10"/>
        <v>0</v>
      </c>
      <c r="W65" s="100">
        <f t="shared" si="11"/>
        <v>0</v>
      </c>
    </row>
    <row r="66" spans="2:23">
      <c r="B66" s="96">
        <f>Amnt_Deposited!B61</f>
        <v>2047</v>
      </c>
      <c r="C66" s="99">
        <f>Amnt_Deposited!P61</f>
        <v>0</v>
      </c>
      <c r="D66" s="417">
        <f>Dry_Matter_Content!P53</f>
        <v>0</v>
      </c>
      <c r="E66" s="283">
        <f>MCF!R65</f>
        <v>1</v>
      </c>
      <c r="F66" s="67">
        <f t="shared" si="0"/>
        <v>0</v>
      </c>
      <c r="G66" s="67">
        <f t="shared" si="1"/>
        <v>0</v>
      </c>
      <c r="H66" s="67">
        <f t="shared" si="2"/>
        <v>0</v>
      </c>
      <c r="I66" s="67">
        <f t="shared" si="3"/>
        <v>0</v>
      </c>
      <c r="J66" s="67">
        <f t="shared" si="4"/>
        <v>0</v>
      </c>
      <c r="K66" s="100">
        <f t="shared" si="6"/>
        <v>0</v>
      </c>
      <c r="O66" s="96">
        <f>Amnt_Deposited!B61</f>
        <v>2047</v>
      </c>
      <c r="P66" s="99">
        <f>Amnt_Deposited!P61</f>
        <v>0</v>
      </c>
      <c r="Q66" s="283">
        <f>MCF!R65</f>
        <v>1</v>
      </c>
      <c r="R66" s="67">
        <f t="shared" si="5"/>
        <v>0</v>
      </c>
      <c r="S66" s="67">
        <f t="shared" si="7"/>
        <v>0</v>
      </c>
      <c r="T66" s="67">
        <f t="shared" si="8"/>
        <v>0</v>
      </c>
      <c r="U66" s="67">
        <f t="shared" si="9"/>
        <v>0</v>
      </c>
      <c r="V66" s="67">
        <f t="shared" si="10"/>
        <v>0</v>
      </c>
      <c r="W66" s="100">
        <f t="shared" si="11"/>
        <v>0</v>
      </c>
    </row>
    <row r="67" spans="2:23">
      <c r="B67" s="96">
        <f>Amnt_Deposited!B62</f>
        <v>2048</v>
      </c>
      <c r="C67" s="99">
        <f>Amnt_Deposited!P62</f>
        <v>0</v>
      </c>
      <c r="D67" s="417">
        <f>Dry_Matter_Content!P54</f>
        <v>0</v>
      </c>
      <c r="E67" s="283">
        <f>MCF!R66</f>
        <v>1</v>
      </c>
      <c r="F67" s="67">
        <f t="shared" si="0"/>
        <v>0</v>
      </c>
      <c r="G67" s="67">
        <f t="shared" si="1"/>
        <v>0</v>
      </c>
      <c r="H67" s="67">
        <f t="shared" si="2"/>
        <v>0</v>
      </c>
      <c r="I67" s="67">
        <f t="shared" si="3"/>
        <v>0</v>
      </c>
      <c r="J67" s="67">
        <f t="shared" si="4"/>
        <v>0</v>
      </c>
      <c r="K67" s="100">
        <f t="shared" si="6"/>
        <v>0</v>
      </c>
      <c r="O67" s="96">
        <f>Amnt_Deposited!B62</f>
        <v>2048</v>
      </c>
      <c r="P67" s="99">
        <f>Amnt_Deposited!P62</f>
        <v>0</v>
      </c>
      <c r="Q67" s="283">
        <f>MCF!R66</f>
        <v>1</v>
      </c>
      <c r="R67" s="67">
        <f t="shared" si="5"/>
        <v>0</v>
      </c>
      <c r="S67" s="67">
        <f t="shared" si="7"/>
        <v>0</v>
      </c>
      <c r="T67" s="67">
        <f t="shared" si="8"/>
        <v>0</v>
      </c>
      <c r="U67" s="67">
        <f t="shared" si="9"/>
        <v>0</v>
      </c>
      <c r="V67" s="67">
        <f t="shared" si="10"/>
        <v>0</v>
      </c>
      <c r="W67" s="100">
        <f t="shared" si="11"/>
        <v>0</v>
      </c>
    </row>
    <row r="68" spans="2:23">
      <c r="B68" s="96">
        <f>Amnt_Deposited!B63</f>
        <v>2049</v>
      </c>
      <c r="C68" s="99">
        <f>Amnt_Deposited!P63</f>
        <v>0</v>
      </c>
      <c r="D68" s="417">
        <f>Dry_Matter_Content!P55</f>
        <v>0</v>
      </c>
      <c r="E68" s="283">
        <f>MCF!R67</f>
        <v>1</v>
      </c>
      <c r="F68" s="67">
        <f t="shared" si="0"/>
        <v>0</v>
      </c>
      <c r="G68" s="67">
        <f t="shared" si="1"/>
        <v>0</v>
      </c>
      <c r="H68" s="67">
        <f t="shared" si="2"/>
        <v>0</v>
      </c>
      <c r="I68" s="67">
        <f t="shared" si="3"/>
        <v>0</v>
      </c>
      <c r="J68" s="67">
        <f t="shared" si="4"/>
        <v>0</v>
      </c>
      <c r="K68" s="100">
        <f t="shared" si="6"/>
        <v>0</v>
      </c>
      <c r="O68" s="96">
        <f>Amnt_Deposited!B63</f>
        <v>2049</v>
      </c>
      <c r="P68" s="99">
        <f>Amnt_Deposited!P63</f>
        <v>0</v>
      </c>
      <c r="Q68" s="283">
        <f>MCF!R67</f>
        <v>1</v>
      </c>
      <c r="R68" s="67">
        <f t="shared" si="5"/>
        <v>0</v>
      </c>
      <c r="S68" s="67">
        <f t="shared" si="7"/>
        <v>0</v>
      </c>
      <c r="T68" s="67">
        <f t="shared" si="8"/>
        <v>0</v>
      </c>
      <c r="U68" s="67">
        <f t="shared" si="9"/>
        <v>0</v>
      </c>
      <c r="V68" s="67">
        <f t="shared" si="10"/>
        <v>0</v>
      </c>
      <c r="W68" s="100">
        <f t="shared" si="11"/>
        <v>0</v>
      </c>
    </row>
    <row r="69" spans="2:23">
      <c r="B69" s="96">
        <f>Amnt_Deposited!B64</f>
        <v>2050</v>
      </c>
      <c r="C69" s="99">
        <f>Amnt_Deposited!P64</f>
        <v>0</v>
      </c>
      <c r="D69" s="417">
        <f>Dry_Matter_Content!P56</f>
        <v>0</v>
      </c>
      <c r="E69" s="283">
        <f>MCF!R68</f>
        <v>1</v>
      </c>
      <c r="F69" s="67">
        <f t="shared" si="0"/>
        <v>0</v>
      </c>
      <c r="G69" s="67">
        <f t="shared" si="1"/>
        <v>0</v>
      </c>
      <c r="H69" s="67">
        <f t="shared" si="2"/>
        <v>0</v>
      </c>
      <c r="I69" s="67">
        <f t="shared" si="3"/>
        <v>0</v>
      </c>
      <c r="J69" s="67">
        <f t="shared" si="4"/>
        <v>0</v>
      </c>
      <c r="K69" s="100">
        <f t="shared" si="6"/>
        <v>0</v>
      </c>
      <c r="O69" s="96">
        <f>Amnt_Deposited!B64</f>
        <v>2050</v>
      </c>
      <c r="P69" s="99">
        <f>Amnt_Deposited!P64</f>
        <v>0</v>
      </c>
      <c r="Q69" s="283">
        <f>MCF!R68</f>
        <v>1</v>
      </c>
      <c r="R69" s="67">
        <f t="shared" si="5"/>
        <v>0</v>
      </c>
      <c r="S69" s="67">
        <f t="shared" si="7"/>
        <v>0</v>
      </c>
      <c r="T69" s="67">
        <f t="shared" si="8"/>
        <v>0</v>
      </c>
      <c r="U69" s="67">
        <f t="shared" si="9"/>
        <v>0</v>
      </c>
      <c r="V69" s="67">
        <f t="shared" si="10"/>
        <v>0</v>
      </c>
      <c r="W69" s="100">
        <f t="shared" si="11"/>
        <v>0</v>
      </c>
    </row>
    <row r="70" spans="2:23">
      <c r="B70" s="96">
        <f>Amnt_Deposited!B65</f>
        <v>2051</v>
      </c>
      <c r="C70" s="99">
        <f>Amnt_Deposited!P65</f>
        <v>0</v>
      </c>
      <c r="D70" s="417">
        <f>Dry_Matter_Content!P57</f>
        <v>0</v>
      </c>
      <c r="E70" s="283">
        <f>MCF!R69</f>
        <v>1</v>
      </c>
      <c r="F70" s="67">
        <f t="shared" si="0"/>
        <v>0</v>
      </c>
      <c r="G70" s="67">
        <f t="shared" si="1"/>
        <v>0</v>
      </c>
      <c r="H70" s="67">
        <f t="shared" si="2"/>
        <v>0</v>
      </c>
      <c r="I70" s="67">
        <f t="shared" si="3"/>
        <v>0</v>
      </c>
      <c r="J70" s="67">
        <f t="shared" si="4"/>
        <v>0</v>
      </c>
      <c r="K70" s="100">
        <f t="shared" si="6"/>
        <v>0</v>
      </c>
      <c r="O70" s="96">
        <f>Amnt_Deposited!B65</f>
        <v>2051</v>
      </c>
      <c r="P70" s="99">
        <f>Amnt_Deposited!P65</f>
        <v>0</v>
      </c>
      <c r="Q70" s="283">
        <f>MCF!R69</f>
        <v>1</v>
      </c>
      <c r="R70" s="67">
        <f t="shared" si="5"/>
        <v>0</v>
      </c>
      <c r="S70" s="67">
        <f t="shared" si="7"/>
        <v>0</v>
      </c>
      <c r="T70" s="67">
        <f t="shared" si="8"/>
        <v>0</v>
      </c>
      <c r="U70" s="67">
        <f t="shared" si="9"/>
        <v>0</v>
      </c>
      <c r="V70" s="67">
        <f t="shared" si="10"/>
        <v>0</v>
      </c>
      <c r="W70" s="100">
        <f t="shared" si="11"/>
        <v>0</v>
      </c>
    </row>
    <row r="71" spans="2:23">
      <c r="B71" s="96">
        <f>Amnt_Deposited!B66</f>
        <v>2052</v>
      </c>
      <c r="C71" s="99">
        <f>Amnt_Deposited!P66</f>
        <v>0</v>
      </c>
      <c r="D71" s="417">
        <f>Dry_Matter_Content!P58</f>
        <v>0</v>
      </c>
      <c r="E71" s="283">
        <f>MCF!R70</f>
        <v>1</v>
      </c>
      <c r="F71" s="67">
        <f t="shared" si="0"/>
        <v>0</v>
      </c>
      <c r="G71" s="67">
        <f t="shared" si="1"/>
        <v>0</v>
      </c>
      <c r="H71" s="67">
        <f t="shared" si="2"/>
        <v>0</v>
      </c>
      <c r="I71" s="67">
        <f t="shared" si="3"/>
        <v>0</v>
      </c>
      <c r="J71" s="67">
        <f t="shared" si="4"/>
        <v>0</v>
      </c>
      <c r="K71" s="100">
        <f t="shared" si="6"/>
        <v>0</v>
      </c>
      <c r="O71" s="96">
        <f>Amnt_Deposited!B66</f>
        <v>2052</v>
      </c>
      <c r="P71" s="99">
        <f>Amnt_Deposited!P66</f>
        <v>0</v>
      </c>
      <c r="Q71" s="283">
        <f>MCF!R70</f>
        <v>1</v>
      </c>
      <c r="R71" s="67">
        <f t="shared" si="5"/>
        <v>0</v>
      </c>
      <c r="S71" s="67">
        <f t="shared" si="7"/>
        <v>0</v>
      </c>
      <c r="T71" s="67">
        <f t="shared" si="8"/>
        <v>0</v>
      </c>
      <c r="U71" s="67">
        <f t="shared" si="9"/>
        <v>0</v>
      </c>
      <c r="V71" s="67">
        <f t="shared" si="10"/>
        <v>0</v>
      </c>
      <c r="W71" s="100">
        <f t="shared" si="11"/>
        <v>0</v>
      </c>
    </row>
    <row r="72" spans="2:23">
      <c r="B72" s="96">
        <f>Amnt_Deposited!B67</f>
        <v>2053</v>
      </c>
      <c r="C72" s="99">
        <f>Amnt_Deposited!P67</f>
        <v>0</v>
      </c>
      <c r="D72" s="417">
        <f>Dry_Matter_Content!P59</f>
        <v>0</v>
      </c>
      <c r="E72" s="283">
        <f>MCF!R71</f>
        <v>1</v>
      </c>
      <c r="F72" s="67">
        <f t="shared" si="0"/>
        <v>0</v>
      </c>
      <c r="G72" s="67">
        <f t="shared" si="1"/>
        <v>0</v>
      </c>
      <c r="H72" s="67">
        <f t="shared" si="2"/>
        <v>0</v>
      </c>
      <c r="I72" s="67">
        <f t="shared" si="3"/>
        <v>0</v>
      </c>
      <c r="J72" s="67">
        <f t="shared" si="4"/>
        <v>0</v>
      </c>
      <c r="K72" s="100">
        <f t="shared" si="6"/>
        <v>0</v>
      </c>
      <c r="O72" s="96">
        <f>Amnt_Deposited!B67</f>
        <v>2053</v>
      </c>
      <c r="P72" s="99">
        <f>Amnt_Deposited!P67</f>
        <v>0</v>
      </c>
      <c r="Q72" s="283">
        <f>MCF!R71</f>
        <v>1</v>
      </c>
      <c r="R72" s="67">
        <f t="shared" si="5"/>
        <v>0</v>
      </c>
      <c r="S72" s="67">
        <f t="shared" si="7"/>
        <v>0</v>
      </c>
      <c r="T72" s="67">
        <f t="shared" si="8"/>
        <v>0</v>
      </c>
      <c r="U72" s="67">
        <f t="shared" si="9"/>
        <v>0</v>
      </c>
      <c r="V72" s="67">
        <f t="shared" si="10"/>
        <v>0</v>
      </c>
      <c r="W72" s="100">
        <f t="shared" si="11"/>
        <v>0</v>
      </c>
    </row>
    <row r="73" spans="2:23">
      <c r="B73" s="96">
        <f>Amnt_Deposited!B68</f>
        <v>2054</v>
      </c>
      <c r="C73" s="99">
        <f>Amnt_Deposited!P68</f>
        <v>0</v>
      </c>
      <c r="D73" s="417">
        <f>Dry_Matter_Content!P60</f>
        <v>0</v>
      </c>
      <c r="E73" s="283">
        <f>MCF!R72</f>
        <v>1</v>
      </c>
      <c r="F73" s="67">
        <f t="shared" si="0"/>
        <v>0</v>
      </c>
      <c r="G73" s="67">
        <f t="shared" si="1"/>
        <v>0</v>
      </c>
      <c r="H73" s="67">
        <f t="shared" si="2"/>
        <v>0</v>
      </c>
      <c r="I73" s="67">
        <f t="shared" si="3"/>
        <v>0</v>
      </c>
      <c r="J73" s="67">
        <f t="shared" si="4"/>
        <v>0</v>
      </c>
      <c r="K73" s="100">
        <f t="shared" si="6"/>
        <v>0</v>
      </c>
      <c r="O73" s="96">
        <f>Amnt_Deposited!B68</f>
        <v>2054</v>
      </c>
      <c r="P73" s="99">
        <f>Amnt_Deposited!P68</f>
        <v>0</v>
      </c>
      <c r="Q73" s="283">
        <f>MCF!R72</f>
        <v>1</v>
      </c>
      <c r="R73" s="67">
        <f t="shared" si="5"/>
        <v>0</v>
      </c>
      <c r="S73" s="67">
        <f t="shared" si="7"/>
        <v>0</v>
      </c>
      <c r="T73" s="67">
        <f t="shared" si="8"/>
        <v>0</v>
      </c>
      <c r="U73" s="67">
        <f t="shared" si="9"/>
        <v>0</v>
      </c>
      <c r="V73" s="67">
        <f t="shared" si="10"/>
        <v>0</v>
      </c>
      <c r="W73" s="100">
        <f t="shared" si="11"/>
        <v>0</v>
      </c>
    </row>
    <row r="74" spans="2:23">
      <c r="B74" s="96">
        <f>Amnt_Deposited!B69</f>
        <v>2055</v>
      </c>
      <c r="C74" s="99">
        <f>Amnt_Deposited!P69</f>
        <v>0</v>
      </c>
      <c r="D74" s="417">
        <f>Dry_Matter_Content!P61</f>
        <v>0</v>
      </c>
      <c r="E74" s="283">
        <f>MCF!R73</f>
        <v>1</v>
      </c>
      <c r="F74" s="67">
        <f t="shared" si="0"/>
        <v>0</v>
      </c>
      <c r="G74" s="67">
        <f t="shared" si="1"/>
        <v>0</v>
      </c>
      <c r="H74" s="67">
        <f t="shared" si="2"/>
        <v>0</v>
      </c>
      <c r="I74" s="67">
        <f t="shared" si="3"/>
        <v>0</v>
      </c>
      <c r="J74" s="67">
        <f t="shared" si="4"/>
        <v>0</v>
      </c>
      <c r="K74" s="100">
        <f t="shared" si="6"/>
        <v>0</v>
      </c>
      <c r="O74" s="96">
        <f>Amnt_Deposited!B69</f>
        <v>2055</v>
      </c>
      <c r="P74" s="99">
        <f>Amnt_Deposited!P69</f>
        <v>0</v>
      </c>
      <c r="Q74" s="283">
        <f>MCF!R73</f>
        <v>1</v>
      </c>
      <c r="R74" s="67">
        <f t="shared" si="5"/>
        <v>0</v>
      </c>
      <c r="S74" s="67">
        <f t="shared" si="7"/>
        <v>0</v>
      </c>
      <c r="T74" s="67">
        <f t="shared" si="8"/>
        <v>0</v>
      </c>
      <c r="U74" s="67">
        <f t="shared" si="9"/>
        <v>0</v>
      </c>
      <c r="V74" s="67">
        <f t="shared" si="10"/>
        <v>0</v>
      </c>
      <c r="W74" s="100">
        <f t="shared" si="11"/>
        <v>0</v>
      </c>
    </row>
    <row r="75" spans="2:23">
      <c r="B75" s="96">
        <f>Amnt_Deposited!B70</f>
        <v>2056</v>
      </c>
      <c r="C75" s="99">
        <f>Amnt_Deposited!P70</f>
        <v>0</v>
      </c>
      <c r="D75" s="417">
        <f>Dry_Matter_Content!P62</f>
        <v>0</v>
      </c>
      <c r="E75" s="283">
        <f>MCF!R74</f>
        <v>1</v>
      </c>
      <c r="F75" s="67">
        <f t="shared" si="0"/>
        <v>0</v>
      </c>
      <c r="G75" s="67">
        <f t="shared" si="1"/>
        <v>0</v>
      </c>
      <c r="H75" s="67">
        <f t="shared" si="2"/>
        <v>0</v>
      </c>
      <c r="I75" s="67">
        <f t="shared" si="3"/>
        <v>0</v>
      </c>
      <c r="J75" s="67">
        <f t="shared" si="4"/>
        <v>0</v>
      </c>
      <c r="K75" s="100">
        <f t="shared" si="6"/>
        <v>0</v>
      </c>
      <c r="O75" s="96">
        <f>Amnt_Deposited!B70</f>
        <v>2056</v>
      </c>
      <c r="P75" s="99">
        <f>Amnt_Deposited!P70</f>
        <v>0</v>
      </c>
      <c r="Q75" s="283">
        <f>MCF!R74</f>
        <v>1</v>
      </c>
      <c r="R75" s="67">
        <f t="shared" si="5"/>
        <v>0</v>
      </c>
      <c r="S75" s="67">
        <f t="shared" si="7"/>
        <v>0</v>
      </c>
      <c r="T75" s="67">
        <f t="shared" si="8"/>
        <v>0</v>
      </c>
      <c r="U75" s="67">
        <f t="shared" si="9"/>
        <v>0</v>
      </c>
      <c r="V75" s="67">
        <f t="shared" si="10"/>
        <v>0</v>
      </c>
      <c r="W75" s="100">
        <f t="shared" si="11"/>
        <v>0</v>
      </c>
    </row>
    <row r="76" spans="2:23">
      <c r="B76" s="96">
        <f>Amnt_Deposited!B71</f>
        <v>2057</v>
      </c>
      <c r="C76" s="99">
        <f>Amnt_Deposited!P71</f>
        <v>0</v>
      </c>
      <c r="D76" s="417">
        <f>Dry_Matter_Content!P63</f>
        <v>0</v>
      </c>
      <c r="E76" s="283">
        <f>MCF!R75</f>
        <v>1</v>
      </c>
      <c r="F76" s="67">
        <f t="shared" si="0"/>
        <v>0</v>
      </c>
      <c r="G76" s="67">
        <f t="shared" si="1"/>
        <v>0</v>
      </c>
      <c r="H76" s="67">
        <f t="shared" si="2"/>
        <v>0</v>
      </c>
      <c r="I76" s="67">
        <f t="shared" si="3"/>
        <v>0</v>
      </c>
      <c r="J76" s="67">
        <f t="shared" si="4"/>
        <v>0</v>
      </c>
      <c r="K76" s="100">
        <f t="shared" si="6"/>
        <v>0</v>
      </c>
      <c r="O76" s="96">
        <f>Amnt_Deposited!B71</f>
        <v>2057</v>
      </c>
      <c r="P76" s="99">
        <f>Amnt_Deposited!P71</f>
        <v>0</v>
      </c>
      <c r="Q76" s="283">
        <f>MCF!R75</f>
        <v>1</v>
      </c>
      <c r="R76" s="67">
        <f t="shared" si="5"/>
        <v>0</v>
      </c>
      <c r="S76" s="67">
        <f t="shared" si="7"/>
        <v>0</v>
      </c>
      <c r="T76" s="67">
        <f t="shared" si="8"/>
        <v>0</v>
      </c>
      <c r="U76" s="67">
        <f t="shared" si="9"/>
        <v>0</v>
      </c>
      <c r="V76" s="67">
        <f t="shared" si="10"/>
        <v>0</v>
      </c>
      <c r="W76" s="100">
        <f t="shared" si="11"/>
        <v>0</v>
      </c>
    </row>
    <row r="77" spans="2:23">
      <c r="B77" s="96">
        <f>Amnt_Deposited!B72</f>
        <v>2058</v>
      </c>
      <c r="C77" s="99">
        <f>Amnt_Deposited!P72</f>
        <v>0</v>
      </c>
      <c r="D77" s="417">
        <f>Dry_Matter_Content!P64</f>
        <v>0</v>
      </c>
      <c r="E77" s="283">
        <f>MCF!R76</f>
        <v>1</v>
      </c>
      <c r="F77" s="67">
        <f t="shared" si="0"/>
        <v>0</v>
      </c>
      <c r="G77" s="67">
        <f t="shared" si="1"/>
        <v>0</v>
      </c>
      <c r="H77" s="67">
        <f t="shared" si="2"/>
        <v>0</v>
      </c>
      <c r="I77" s="67">
        <f t="shared" si="3"/>
        <v>0</v>
      </c>
      <c r="J77" s="67">
        <f t="shared" si="4"/>
        <v>0</v>
      </c>
      <c r="K77" s="100">
        <f t="shared" si="6"/>
        <v>0</v>
      </c>
      <c r="O77" s="96">
        <f>Amnt_Deposited!B72</f>
        <v>2058</v>
      </c>
      <c r="P77" s="99">
        <f>Amnt_Deposited!P72</f>
        <v>0</v>
      </c>
      <c r="Q77" s="283">
        <f>MCF!R76</f>
        <v>1</v>
      </c>
      <c r="R77" s="67">
        <f t="shared" si="5"/>
        <v>0</v>
      </c>
      <c r="S77" s="67">
        <f t="shared" si="7"/>
        <v>0</v>
      </c>
      <c r="T77" s="67">
        <f t="shared" si="8"/>
        <v>0</v>
      </c>
      <c r="U77" s="67">
        <f t="shared" si="9"/>
        <v>0</v>
      </c>
      <c r="V77" s="67">
        <f t="shared" si="10"/>
        <v>0</v>
      </c>
      <c r="W77" s="100">
        <f t="shared" si="11"/>
        <v>0</v>
      </c>
    </row>
    <row r="78" spans="2:23">
      <c r="B78" s="96">
        <f>Amnt_Deposited!B73</f>
        <v>2059</v>
      </c>
      <c r="C78" s="99">
        <f>Amnt_Deposited!P73</f>
        <v>0</v>
      </c>
      <c r="D78" s="417">
        <f>Dry_Matter_Content!P65</f>
        <v>0</v>
      </c>
      <c r="E78" s="283">
        <f>MCF!R77</f>
        <v>1</v>
      </c>
      <c r="F78" s="67">
        <f t="shared" si="0"/>
        <v>0</v>
      </c>
      <c r="G78" s="67">
        <f t="shared" si="1"/>
        <v>0</v>
      </c>
      <c r="H78" s="67">
        <f t="shared" si="2"/>
        <v>0</v>
      </c>
      <c r="I78" s="67">
        <f t="shared" si="3"/>
        <v>0</v>
      </c>
      <c r="J78" s="67">
        <f t="shared" si="4"/>
        <v>0</v>
      </c>
      <c r="K78" s="100">
        <f t="shared" si="6"/>
        <v>0</v>
      </c>
      <c r="O78" s="96">
        <f>Amnt_Deposited!B73</f>
        <v>2059</v>
      </c>
      <c r="P78" s="99">
        <f>Amnt_Deposited!P73</f>
        <v>0</v>
      </c>
      <c r="Q78" s="283">
        <f>MCF!R77</f>
        <v>1</v>
      </c>
      <c r="R78" s="67">
        <f t="shared" si="5"/>
        <v>0</v>
      </c>
      <c r="S78" s="67">
        <f t="shared" si="7"/>
        <v>0</v>
      </c>
      <c r="T78" s="67">
        <f t="shared" si="8"/>
        <v>0</v>
      </c>
      <c r="U78" s="67">
        <f t="shared" si="9"/>
        <v>0</v>
      </c>
      <c r="V78" s="67">
        <f t="shared" si="10"/>
        <v>0</v>
      </c>
      <c r="W78" s="100">
        <f t="shared" si="11"/>
        <v>0</v>
      </c>
    </row>
    <row r="79" spans="2:23">
      <c r="B79" s="96">
        <f>Amnt_Deposited!B74</f>
        <v>2060</v>
      </c>
      <c r="C79" s="99">
        <f>Amnt_Deposited!P74</f>
        <v>0</v>
      </c>
      <c r="D79" s="417">
        <f>Dry_Matter_Content!P66</f>
        <v>0</v>
      </c>
      <c r="E79" s="283">
        <f>MCF!R78</f>
        <v>1</v>
      </c>
      <c r="F79" s="67">
        <f t="shared" si="0"/>
        <v>0</v>
      </c>
      <c r="G79" s="67">
        <f t="shared" si="1"/>
        <v>0</v>
      </c>
      <c r="H79" s="67">
        <f t="shared" si="2"/>
        <v>0</v>
      </c>
      <c r="I79" s="67">
        <f t="shared" si="3"/>
        <v>0</v>
      </c>
      <c r="J79" s="67">
        <f t="shared" si="4"/>
        <v>0</v>
      </c>
      <c r="K79" s="100">
        <f t="shared" si="6"/>
        <v>0</v>
      </c>
      <c r="O79" s="96">
        <f>Amnt_Deposited!B74</f>
        <v>2060</v>
      </c>
      <c r="P79" s="99">
        <f>Amnt_Deposited!P74</f>
        <v>0</v>
      </c>
      <c r="Q79" s="283">
        <f>MCF!R78</f>
        <v>1</v>
      </c>
      <c r="R79" s="67">
        <f t="shared" si="5"/>
        <v>0</v>
      </c>
      <c r="S79" s="67">
        <f t="shared" si="7"/>
        <v>0</v>
      </c>
      <c r="T79" s="67">
        <f t="shared" si="8"/>
        <v>0</v>
      </c>
      <c r="U79" s="67">
        <f t="shared" si="9"/>
        <v>0</v>
      </c>
      <c r="V79" s="67">
        <f t="shared" si="10"/>
        <v>0</v>
      </c>
      <c r="W79" s="100">
        <f t="shared" si="11"/>
        <v>0</v>
      </c>
    </row>
    <row r="80" spans="2:23">
      <c r="B80" s="96">
        <f>Amnt_Deposited!B75</f>
        <v>2061</v>
      </c>
      <c r="C80" s="99">
        <f>Amnt_Deposited!P75</f>
        <v>0</v>
      </c>
      <c r="D80" s="417">
        <f>Dry_Matter_Content!P67</f>
        <v>0</v>
      </c>
      <c r="E80" s="283">
        <f>MCF!R79</f>
        <v>1</v>
      </c>
      <c r="F80" s="67">
        <f t="shared" si="0"/>
        <v>0</v>
      </c>
      <c r="G80" s="67">
        <f t="shared" si="1"/>
        <v>0</v>
      </c>
      <c r="H80" s="67">
        <f t="shared" si="2"/>
        <v>0</v>
      </c>
      <c r="I80" s="67">
        <f t="shared" si="3"/>
        <v>0</v>
      </c>
      <c r="J80" s="67">
        <f t="shared" si="4"/>
        <v>0</v>
      </c>
      <c r="K80" s="100">
        <f t="shared" si="6"/>
        <v>0</v>
      </c>
      <c r="O80" s="96">
        <f>Amnt_Deposited!B75</f>
        <v>2061</v>
      </c>
      <c r="P80" s="99">
        <f>Amnt_Deposited!P75</f>
        <v>0</v>
      </c>
      <c r="Q80" s="283">
        <f>MCF!R79</f>
        <v>1</v>
      </c>
      <c r="R80" s="67">
        <f t="shared" si="5"/>
        <v>0</v>
      </c>
      <c r="S80" s="67">
        <f t="shared" si="7"/>
        <v>0</v>
      </c>
      <c r="T80" s="67">
        <f t="shared" si="8"/>
        <v>0</v>
      </c>
      <c r="U80" s="67">
        <f t="shared" si="9"/>
        <v>0</v>
      </c>
      <c r="V80" s="67">
        <f t="shared" si="10"/>
        <v>0</v>
      </c>
      <c r="W80" s="100">
        <f t="shared" si="11"/>
        <v>0</v>
      </c>
    </row>
    <row r="81" spans="2:23">
      <c r="B81" s="96">
        <f>Amnt_Deposited!B76</f>
        <v>2062</v>
      </c>
      <c r="C81" s="99">
        <f>Amnt_Deposited!P76</f>
        <v>0</v>
      </c>
      <c r="D81" s="417">
        <f>Dry_Matter_Content!P68</f>
        <v>0</v>
      </c>
      <c r="E81" s="283">
        <f>MCF!R80</f>
        <v>1</v>
      </c>
      <c r="F81" s="67">
        <f t="shared" si="0"/>
        <v>0</v>
      </c>
      <c r="G81" s="67">
        <f t="shared" si="1"/>
        <v>0</v>
      </c>
      <c r="H81" s="67">
        <f t="shared" si="2"/>
        <v>0</v>
      </c>
      <c r="I81" s="67">
        <f t="shared" si="3"/>
        <v>0</v>
      </c>
      <c r="J81" s="67">
        <f t="shared" si="4"/>
        <v>0</v>
      </c>
      <c r="K81" s="100">
        <f t="shared" si="6"/>
        <v>0</v>
      </c>
      <c r="O81" s="96">
        <f>Amnt_Deposited!B76</f>
        <v>2062</v>
      </c>
      <c r="P81" s="99">
        <f>Amnt_Deposited!P76</f>
        <v>0</v>
      </c>
      <c r="Q81" s="283">
        <f>MCF!R80</f>
        <v>1</v>
      </c>
      <c r="R81" s="67">
        <f t="shared" si="5"/>
        <v>0</v>
      </c>
      <c r="S81" s="67">
        <f t="shared" si="7"/>
        <v>0</v>
      </c>
      <c r="T81" s="67">
        <f t="shared" si="8"/>
        <v>0</v>
      </c>
      <c r="U81" s="67">
        <f t="shared" si="9"/>
        <v>0</v>
      </c>
      <c r="V81" s="67">
        <f t="shared" si="10"/>
        <v>0</v>
      </c>
      <c r="W81" s="100">
        <f t="shared" si="11"/>
        <v>0</v>
      </c>
    </row>
    <row r="82" spans="2:23">
      <c r="B82" s="96">
        <f>Amnt_Deposited!B77</f>
        <v>2063</v>
      </c>
      <c r="C82" s="99">
        <f>Amnt_Deposited!P77</f>
        <v>0</v>
      </c>
      <c r="D82" s="417">
        <f>Dry_Matter_Content!P69</f>
        <v>0</v>
      </c>
      <c r="E82" s="283">
        <f>MCF!R81</f>
        <v>1</v>
      </c>
      <c r="F82" s="67">
        <f t="shared" si="0"/>
        <v>0</v>
      </c>
      <c r="G82" s="67">
        <f t="shared" si="1"/>
        <v>0</v>
      </c>
      <c r="H82" s="67">
        <f t="shared" si="2"/>
        <v>0</v>
      </c>
      <c r="I82" s="67">
        <f t="shared" si="3"/>
        <v>0</v>
      </c>
      <c r="J82" s="67">
        <f t="shared" si="4"/>
        <v>0</v>
      </c>
      <c r="K82" s="100">
        <f t="shared" si="6"/>
        <v>0</v>
      </c>
      <c r="O82" s="96">
        <f>Amnt_Deposited!B77</f>
        <v>2063</v>
      </c>
      <c r="P82" s="99">
        <f>Amnt_Deposited!P77</f>
        <v>0</v>
      </c>
      <c r="Q82" s="283">
        <f>MCF!R81</f>
        <v>1</v>
      </c>
      <c r="R82" s="67">
        <f t="shared" si="5"/>
        <v>0</v>
      </c>
      <c r="S82" s="67">
        <f t="shared" si="7"/>
        <v>0</v>
      </c>
      <c r="T82" s="67">
        <f t="shared" si="8"/>
        <v>0</v>
      </c>
      <c r="U82" s="67">
        <f t="shared" si="9"/>
        <v>0</v>
      </c>
      <c r="V82" s="67">
        <f t="shared" si="10"/>
        <v>0</v>
      </c>
      <c r="W82" s="100">
        <f t="shared" si="11"/>
        <v>0</v>
      </c>
    </row>
    <row r="83" spans="2:23">
      <c r="B83" s="96">
        <f>Amnt_Deposited!B78</f>
        <v>2064</v>
      </c>
      <c r="C83" s="99">
        <f>Amnt_Deposited!P78</f>
        <v>0</v>
      </c>
      <c r="D83" s="417">
        <f>Dry_Matter_Content!P70</f>
        <v>0</v>
      </c>
      <c r="E83" s="283">
        <f>MCF!R82</f>
        <v>1</v>
      </c>
      <c r="F83" s="67">
        <f t="shared" ref="F83:F99" si="12">C83*D83*$K$6*DOCF*E83</f>
        <v>0</v>
      </c>
      <c r="G83" s="67">
        <f t="shared" ref="G83:G99" si="13">F83*$K$12</f>
        <v>0</v>
      </c>
      <c r="H83" s="67">
        <f t="shared" ref="H83:H99" si="14">F83*(1-$K$12)</f>
        <v>0</v>
      </c>
      <c r="I83" s="67">
        <f t="shared" ref="I83:I99" si="15">G83+I82*$K$10</f>
        <v>0</v>
      </c>
      <c r="J83" s="67">
        <f t="shared" ref="J83:J99" si="16">I82*(1-$K$10)+H83</f>
        <v>0</v>
      </c>
      <c r="K83" s="100">
        <f t="shared" si="6"/>
        <v>0</v>
      </c>
      <c r="O83" s="96">
        <f>Amnt_Deposited!B78</f>
        <v>2064</v>
      </c>
      <c r="P83" s="99">
        <f>Amnt_Deposited!P78</f>
        <v>0</v>
      </c>
      <c r="Q83" s="283">
        <f>MCF!R82</f>
        <v>1</v>
      </c>
      <c r="R83" s="67">
        <f t="shared" ref="R83:R99" si="17">P83*$W$6*DOCF*Q83</f>
        <v>0</v>
      </c>
      <c r="S83" s="67">
        <f t="shared" si="7"/>
        <v>0</v>
      </c>
      <c r="T83" s="67">
        <f t="shared" si="8"/>
        <v>0</v>
      </c>
      <c r="U83" s="67">
        <f t="shared" si="9"/>
        <v>0</v>
      </c>
      <c r="V83" s="67">
        <f t="shared" si="10"/>
        <v>0</v>
      </c>
      <c r="W83" s="100">
        <f t="shared" si="11"/>
        <v>0</v>
      </c>
    </row>
    <row r="84" spans="2:23">
      <c r="B84" s="96">
        <f>Amnt_Deposited!B79</f>
        <v>2065</v>
      </c>
      <c r="C84" s="99">
        <f>Amnt_Deposited!P79</f>
        <v>0</v>
      </c>
      <c r="D84" s="417">
        <f>Dry_Matter_Content!P71</f>
        <v>0</v>
      </c>
      <c r="E84" s="283">
        <f>MCF!R83</f>
        <v>1</v>
      </c>
      <c r="F84" s="67">
        <f t="shared" si="12"/>
        <v>0</v>
      </c>
      <c r="G84" s="67">
        <f t="shared" si="13"/>
        <v>0</v>
      </c>
      <c r="H84" s="67">
        <f t="shared" si="14"/>
        <v>0</v>
      </c>
      <c r="I84" s="67">
        <f t="shared" si="15"/>
        <v>0</v>
      </c>
      <c r="J84" s="67">
        <f t="shared" si="16"/>
        <v>0</v>
      </c>
      <c r="K84" s="100">
        <f t="shared" si="6"/>
        <v>0</v>
      </c>
      <c r="O84" s="96">
        <f>Amnt_Deposited!B79</f>
        <v>2065</v>
      </c>
      <c r="P84" s="99">
        <f>Amnt_Deposited!P79</f>
        <v>0</v>
      </c>
      <c r="Q84" s="283">
        <f>MCF!R83</f>
        <v>1</v>
      </c>
      <c r="R84" s="67">
        <f t="shared" si="17"/>
        <v>0</v>
      </c>
      <c r="S84" s="67">
        <f t="shared" si="7"/>
        <v>0</v>
      </c>
      <c r="T84" s="67">
        <f t="shared" si="8"/>
        <v>0</v>
      </c>
      <c r="U84" s="67">
        <f t="shared" si="9"/>
        <v>0</v>
      </c>
      <c r="V84" s="67">
        <f t="shared" si="10"/>
        <v>0</v>
      </c>
      <c r="W84" s="100">
        <f t="shared" si="11"/>
        <v>0</v>
      </c>
    </row>
    <row r="85" spans="2:23">
      <c r="B85" s="96">
        <f>Amnt_Deposited!B80</f>
        <v>2066</v>
      </c>
      <c r="C85" s="99">
        <f>Amnt_Deposited!P80</f>
        <v>0</v>
      </c>
      <c r="D85" s="417">
        <f>Dry_Matter_Content!P72</f>
        <v>0</v>
      </c>
      <c r="E85" s="283">
        <f>MCF!R84</f>
        <v>1</v>
      </c>
      <c r="F85" s="67">
        <f t="shared" si="12"/>
        <v>0</v>
      </c>
      <c r="G85" s="67">
        <f t="shared" si="13"/>
        <v>0</v>
      </c>
      <c r="H85" s="67">
        <f t="shared" si="14"/>
        <v>0</v>
      </c>
      <c r="I85" s="67">
        <f t="shared" si="15"/>
        <v>0</v>
      </c>
      <c r="J85" s="67">
        <f t="shared" si="16"/>
        <v>0</v>
      </c>
      <c r="K85" s="100">
        <f t="shared" ref="K85:K99" si="18">J85*CH4_fraction*conv</f>
        <v>0</v>
      </c>
      <c r="O85" s="96">
        <f>Amnt_Deposited!B80</f>
        <v>2066</v>
      </c>
      <c r="P85" s="99">
        <f>Amnt_Deposited!P80</f>
        <v>0</v>
      </c>
      <c r="Q85" s="283">
        <f>MCF!R84</f>
        <v>1</v>
      </c>
      <c r="R85" s="67">
        <f t="shared" si="17"/>
        <v>0</v>
      </c>
      <c r="S85" s="67">
        <f t="shared" ref="S85:S98" si="19">R85*$W$12</f>
        <v>0</v>
      </c>
      <c r="T85" s="67">
        <f t="shared" ref="T85:T98" si="20">R85*(1-$W$12)</f>
        <v>0</v>
      </c>
      <c r="U85" s="67">
        <f t="shared" ref="U85:U98" si="21">S85+U84*$W$10</f>
        <v>0</v>
      </c>
      <c r="V85" s="67">
        <f t="shared" ref="V85:V98" si="22">U84*(1-$W$10)+T85</f>
        <v>0</v>
      </c>
      <c r="W85" s="100">
        <f t="shared" ref="W85:W99" si="23">V85*CH4_fraction*conv</f>
        <v>0</v>
      </c>
    </row>
    <row r="86" spans="2:23">
      <c r="B86" s="96">
        <f>Amnt_Deposited!B81</f>
        <v>2067</v>
      </c>
      <c r="C86" s="99">
        <f>Amnt_Deposited!P81</f>
        <v>0</v>
      </c>
      <c r="D86" s="417">
        <f>Dry_Matter_Content!P73</f>
        <v>0</v>
      </c>
      <c r="E86" s="283">
        <f>MCF!R85</f>
        <v>1</v>
      </c>
      <c r="F86" s="67">
        <f t="shared" si="12"/>
        <v>0</v>
      </c>
      <c r="G86" s="67">
        <f t="shared" si="13"/>
        <v>0</v>
      </c>
      <c r="H86" s="67">
        <f t="shared" si="14"/>
        <v>0</v>
      </c>
      <c r="I86" s="67">
        <f t="shared" si="15"/>
        <v>0</v>
      </c>
      <c r="J86" s="67">
        <f t="shared" si="16"/>
        <v>0</v>
      </c>
      <c r="K86" s="100">
        <f t="shared" si="18"/>
        <v>0</v>
      </c>
      <c r="O86" s="96">
        <f>Amnt_Deposited!B81</f>
        <v>2067</v>
      </c>
      <c r="P86" s="99">
        <f>Amnt_Deposited!P81</f>
        <v>0</v>
      </c>
      <c r="Q86" s="283">
        <f>MCF!R85</f>
        <v>1</v>
      </c>
      <c r="R86" s="67">
        <f t="shared" si="17"/>
        <v>0</v>
      </c>
      <c r="S86" s="67">
        <f t="shared" si="19"/>
        <v>0</v>
      </c>
      <c r="T86" s="67">
        <f t="shared" si="20"/>
        <v>0</v>
      </c>
      <c r="U86" s="67">
        <f t="shared" si="21"/>
        <v>0</v>
      </c>
      <c r="V86" s="67">
        <f t="shared" si="22"/>
        <v>0</v>
      </c>
      <c r="W86" s="100">
        <f t="shared" si="23"/>
        <v>0</v>
      </c>
    </row>
    <row r="87" spans="2:23">
      <c r="B87" s="96">
        <f>Amnt_Deposited!B82</f>
        <v>2068</v>
      </c>
      <c r="C87" s="99">
        <f>Amnt_Deposited!P82</f>
        <v>0</v>
      </c>
      <c r="D87" s="417">
        <f>Dry_Matter_Content!P74</f>
        <v>0</v>
      </c>
      <c r="E87" s="283">
        <f>MCF!R86</f>
        <v>1</v>
      </c>
      <c r="F87" s="67">
        <f t="shared" si="12"/>
        <v>0</v>
      </c>
      <c r="G87" s="67">
        <f t="shared" si="13"/>
        <v>0</v>
      </c>
      <c r="H87" s="67">
        <f t="shared" si="14"/>
        <v>0</v>
      </c>
      <c r="I87" s="67">
        <f t="shared" si="15"/>
        <v>0</v>
      </c>
      <c r="J87" s="67">
        <f t="shared" si="16"/>
        <v>0</v>
      </c>
      <c r="K87" s="100">
        <f t="shared" si="18"/>
        <v>0</v>
      </c>
      <c r="O87" s="96">
        <f>Amnt_Deposited!B82</f>
        <v>2068</v>
      </c>
      <c r="P87" s="99">
        <f>Amnt_Deposited!P82</f>
        <v>0</v>
      </c>
      <c r="Q87" s="283">
        <f>MCF!R86</f>
        <v>1</v>
      </c>
      <c r="R87" s="67">
        <f t="shared" si="17"/>
        <v>0</v>
      </c>
      <c r="S87" s="67">
        <f t="shared" si="19"/>
        <v>0</v>
      </c>
      <c r="T87" s="67">
        <f t="shared" si="20"/>
        <v>0</v>
      </c>
      <c r="U87" s="67">
        <f t="shared" si="21"/>
        <v>0</v>
      </c>
      <c r="V87" s="67">
        <f t="shared" si="22"/>
        <v>0</v>
      </c>
      <c r="W87" s="100">
        <f t="shared" si="23"/>
        <v>0</v>
      </c>
    </row>
    <row r="88" spans="2:23">
      <c r="B88" s="96">
        <f>Amnt_Deposited!B83</f>
        <v>2069</v>
      </c>
      <c r="C88" s="99">
        <f>Amnt_Deposited!P83</f>
        <v>0</v>
      </c>
      <c r="D88" s="417">
        <f>Dry_Matter_Content!P75</f>
        <v>0</v>
      </c>
      <c r="E88" s="283">
        <f>MCF!R87</f>
        <v>1</v>
      </c>
      <c r="F88" s="67">
        <f t="shared" si="12"/>
        <v>0</v>
      </c>
      <c r="G88" s="67">
        <f t="shared" si="13"/>
        <v>0</v>
      </c>
      <c r="H88" s="67">
        <f t="shared" si="14"/>
        <v>0</v>
      </c>
      <c r="I88" s="67">
        <f t="shared" si="15"/>
        <v>0</v>
      </c>
      <c r="J88" s="67">
        <f t="shared" si="16"/>
        <v>0</v>
      </c>
      <c r="K88" s="100">
        <f t="shared" si="18"/>
        <v>0</v>
      </c>
      <c r="O88" s="96">
        <f>Amnt_Deposited!B83</f>
        <v>2069</v>
      </c>
      <c r="P88" s="99">
        <f>Amnt_Deposited!P83</f>
        <v>0</v>
      </c>
      <c r="Q88" s="283">
        <f>MCF!R87</f>
        <v>1</v>
      </c>
      <c r="R88" s="67">
        <f t="shared" si="17"/>
        <v>0</v>
      </c>
      <c r="S88" s="67">
        <f t="shared" si="19"/>
        <v>0</v>
      </c>
      <c r="T88" s="67">
        <f t="shared" si="20"/>
        <v>0</v>
      </c>
      <c r="U88" s="67">
        <f t="shared" si="21"/>
        <v>0</v>
      </c>
      <c r="V88" s="67">
        <f t="shared" si="22"/>
        <v>0</v>
      </c>
      <c r="W88" s="100">
        <f t="shared" si="23"/>
        <v>0</v>
      </c>
    </row>
    <row r="89" spans="2:23">
      <c r="B89" s="96">
        <f>Amnt_Deposited!B84</f>
        <v>2070</v>
      </c>
      <c r="C89" s="99">
        <f>Amnt_Deposited!P84</f>
        <v>0</v>
      </c>
      <c r="D89" s="417">
        <f>Dry_Matter_Content!P76</f>
        <v>0</v>
      </c>
      <c r="E89" s="283">
        <f>MCF!R88</f>
        <v>1</v>
      </c>
      <c r="F89" s="67">
        <f t="shared" si="12"/>
        <v>0</v>
      </c>
      <c r="G89" s="67">
        <f t="shared" si="13"/>
        <v>0</v>
      </c>
      <c r="H89" s="67">
        <f t="shared" si="14"/>
        <v>0</v>
      </c>
      <c r="I89" s="67">
        <f t="shared" si="15"/>
        <v>0</v>
      </c>
      <c r="J89" s="67">
        <f t="shared" si="16"/>
        <v>0</v>
      </c>
      <c r="K89" s="100">
        <f t="shared" si="18"/>
        <v>0</v>
      </c>
      <c r="O89" s="96">
        <f>Amnt_Deposited!B84</f>
        <v>2070</v>
      </c>
      <c r="P89" s="99">
        <f>Amnt_Deposited!P84</f>
        <v>0</v>
      </c>
      <c r="Q89" s="283">
        <f>MCF!R88</f>
        <v>1</v>
      </c>
      <c r="R89" s="67">
        <f t="shared" si="17"/>
        <v>0</v>
      </c>
      <c r="S89" s="67">
        <f t="shared" si="19"/>
        <v>0</v>
      </c>
      <c r="T89" s="67">
        <f t="shared" si="20"/>
        <v>0</v>
      </c>
      <c r="U89" s="67">
        <f t="shared" si="21"/>
        <v>0</v>
      </c>
      <c r="V89" s="67">
        <f t="shared" si="22"/>
        <v>0</v>
      </c>
      <c r="W89" s="100">
        <f t="shared" si="23"/>
        <v>0</v>
      </c>
    </row>
    <row r="90" spans="2:23">
      <c r="B90" s="96">
        <f>Amnt_Deposited!B85</f>
        <v>2071</v>
      </c>
      <c r="C90" s="99">
        <f>Amnt_Deposited!P85</f>
        <v>0</v>
      </c>
      <c r="D90" s="417">
        <f>Dry_Matter_Content!P77</f>
        <v>0</v>
      </c>
      <c r="E90" s="283">
        <f>MCF!R89</f>
        <v>1</v>
      </c>
      <c r="F90" s="67">
        <f t="shared" si="12"/>
        <v>0</v>
      </c>
      <c r="G90" s="67">
        <f t="shared" si="13"/>
        <v>0</v>
      </c>
      <c r="H90" s="67">
        <f t="shared" si="14"/>
        <v>0</v>
      </c>
      <c r="I90" s="67">
        <f t="shared" si="15"/>
        <v>0</v>
      </c>
      <c r="J90" s="67">
        <f t="shared" si="16"/>
        <v>0</v>
      </c>
      <c r="K90" s="100">
        <f t="shared" si="18"/>
        <v>0</v>
      </c>
      <c r="O90" s="96">
        <f>Amnt_Deposited!B85</f>
        <v>2071</v>
      </c>
      <c r="P90" s="99">
        <f>Amnt_Deposited!P85</f>
        <v>0</v>
      </c>
      <c r="Q90" s="283">
        <f>MCF!R89</f>
        <v>1</v>
      </c>
      <c r="R90" s="67">
        <f t="shared" si="17"/>
        <v>0</v>
      </c>
      <c r="S90" s="67">
        <f t="shared" si="19"/>
        <v>0</v>
      </c>
      <c r="T90" s="67">
        <f t="shared" si="20"/>
        <v>0</v>
      </c>
      <c r="U90" s="67">
        <f t="shared" si="21"/>
        <v>0</v>
      </c>
      <c r="V90" s="67">
        <f t="shared" si="22"/>
        <v>0</v>
      </c>
      <c r="W90" s="100">
        <f t="shared" si="23"/>
        <v>0</v>
      </c>
    </row>
    <row r="91" spans="2:23">
      <c r="B91" s="96">
        <f>Amnt_Deposited!B86</f>
        <v>2072</v>
      </c>
      <c r="C91" s="99">
        <f>Amnt_Deposited!P86</f>
        <v>0</v>
      </c>
      <c r="D91" s="417">
        <f>Dry_Matter_Content!P78</f>
        <v>0</v>
      </c>
      <c r="E91" s="283">
        <f>MCF!R90</f>
        <v>1</v>
      </c>
      <c r="F91" s="67">
        <f t="shared" si="12"/>
        <v>0</v>
      </c>
      <c r="G91" s="67">
        <f t="shared" si="13"/>
        <v>0</v>
      </c>
      <c r="H91" s="67">
        <f t="shared" si="14"/>
        <v>0</v>
      </c>
      <c r="I91" s="67">
        <f t="shared" si="15"/>
        <v>0</v>
      </c>
      <c r="J91" s="67">
        <f t="shared" si="16"/>
        <v>0</v>
      </c>
      <c r="K91" s="100">
        <f t="shared" si="18"/>
        <v>0</v>
      </c>
      <c r="O91" s="96">
        <f>Amnt_Deposited!B86</f>
        <v>2072</v>
      </c>
      <c r="P91" s="99">
        <f>Amnt_Deposited!P86</f>
        <v>0</v>
      </c>
      <c r="Q91" s="283">
        <f>MCF!R90</f>
        <v>1</v>
      </c>
      <c r="R91" s="67">
        <f t="shared" si="17"/>
        <v>0</v>
      </c>
      <c r="S91" s="67">
        <f t="shared" si="19"/>
        <v>0</v>
      </c>
      <c r="T91" s="67">
        <f t="shared" si="20"/>
        <v>0</v>
      </c>
      <c r="U91" s="67">
        <f t="shared" si="21"/>
        <v>0</v>
      </c>
      <c r="V91" s="67">
        <f t="shared" si="22"/>
        <v>0</v>
      </c>
      <c r="W91" s="100">
        <f t="shared" si="23"/>
        <v>0</v>
      </c>
    </row>
    <row r="92" spans="2:23">
      <c r="B92" s="96">
        <f>Amnt_Deposited!B87</f>
        <v>2073</v>
      </c>
      <c r="C92" s="99">
        <f>Amnt_Deposited!P87</f>
        <v>0</v>
      </c>
      <c r="D92" s="417">
        <f>Dry_Matter_Content!P79</f>
        <v>0</v>
      </c>
      <c r="E92" s="283">
        <f>MCF!R91</f>
        <v>1</v>
      </c>
      <c r="F92" s="67">
        <f t="shared" si="12"/>
        <v>0</v>
      </c>
      <c r="G92" s="67">
        <f t="shared" si="13"/>
        <v>0</v>
      </c>
      <c r="H92" s="67">
        <f t="shared" si="14"/>
        <v>0</v>
      </c>
      <c r="I92" s="67">
        <f t="shared" si="15"/>
        <v>0</v>
      </c>
      <c r="J92" s="67">
        <f t="shared" si="16"/>
        <v>0</v>
      </c>
      <c r="K92" s="100">
        <f t="shared" si="18"/>
        <v>0</v>
      </c>
      <c r="O92" s="96">
        <f>Amnt_Deposited!B87</f>
        <v>2073</v>
      </c>
      <c r="P92" s="99">
        <f>Amnt_Deposited!P87</f>
        <v>0</v>
      </c>
      <c r="Q92" s="283">
        <f>MCF!R91</f>
        <v>1</v>
      </c>
      <c r="R92" s="67">
        <f t="shared" si="17"/>
        <v>0</v>
      </c>
      <c r="S92" s="67">
        <f t="shared" si="19"/>
        <v>0</v>
      </c>
      <c r="T92" s="67">
        <f t="shared" si="20"/>
        <v>0</v>
      </c>
      <c r="U92" s="67">
        <f t="shared" si="21"/>
        <v>0</v>
      </c>
      <c r="V92" s="67">
        <f t="shared" si="22"/>
        <v>0</v>
      </c>
      <c r="W92" s="100">
        <f t="shared" si="23"/>
        <v>0</v>
      </c>
    </row>
    <row r="93" spans="2:23">
      <c r="B93" s="96">
        <f>Amnt_Deposited!B88</f>
        <v>2074</v>
      </c>
      <c r="C93" s="99">
        <f>Amnt_Deposited!P88</f>
        <v>0</v>
      </c>
      <c r="D93" s="417">
        <f>Dry_Matter_Content!P80</f>
        <v>0</v>
      </c>
      <c r="E93" s="283">
        <f>MCF!R92</f>
        <v>1</v>
      </c>
      <c r="F93" s="67">
        <f t="shared" si="12"/>
        <v>0</v>
      </c>
      <c r="G93" s="67">
        <f t="shared" si="13"/>
        <v>0</v>
      </c>
      <c r="H93" s="67">
        <f t="shared" si="14"/>
        <v>0</v>
      </c>
      <c r="I93" s="67">
        <f t="shared" si="15"/>
        <v>0</v>
      </c>
      <c r="J93" s="67">
        <f t="shared" si="16"/>
        <v>0</v>
      </c>
      <c r="K93" s="100">
        <f t="shared" si="18"/>
        <v>0</v>
      </c>
      <c r="O93" s="96">
        <f>Amnt_Deposited!B88</f>
        <v>2074</v>
      </c>
      <c r="P93" s="99">
        <f>Amnt_Deposited!P88</f>
        <v>0</v>
      </c>
      <c r="Q93" s="283">
        <f>MCF!R92</f>
        <v>1</v>
      </c>
      <c r="R93" s="67">
        <f t="shared" si="17"/>
        <v>0</v>
      </c>
      <c r="S93" s="67">
        <f t="shared" si="19"/>
        <v>0</v>
      </c>
      <c r="T93" s="67">
        <f t="shared" si="20"/>
        <v>0</v>
      </c>
      <c r="U93" s="67">
        <f t="shared" si="21"/>
        <v>0</v>
      </c>
      <c r="V93" s="67">
        <f t="shared" si="22"/>
        <v>0</v>
      </c>
      <c r="W93" s="100">
        <f t="shared" si="23"/>
        <v>0</v>
      </c>
    </row>
    <row r="94" spans="2:23">
      <c r="B94" s="96">
        <f>Amnt_Deposited!B89</f>
        <v>2075</v>
      </c>
      <c r="C94" s="99">
        <f>Amnt_Deposited!P89</f>
        <v>0</v>
      </c>
      <c r="D94" s="417">
        <f>Dry_Matter_Content!P81</f>
        <v>0</v>
      </c>
      <c r="E94" s="283">
        <f>MCF!R93</f>
        <v>1</v>
      </c>
      <c r="F94" s="67">
        <f t="shared" si="12"/>
        <v>0</v>
      </c>
      <c r="G94" s="67">
        <f t="shared" si="13"/>
        <v>0</v>
      </c>
      <c r="H94" s="67">
        <f t="shared" si="14"/>
        <v>0</v>
      </c>
      <c r="I94" s="67">
        <f t="shared" si="15"/>
        <v>0</v>
      </c>
      <c r="J94" s="67">
        <f t="shared" si="16"/>
        <v>0</v>
      </c>
      <c r="K94" s="100">
        <f t="shared" si="18"/>
        <v>0</v>
      </c>
      <c r="O94" s="96">
        <f>Amnt_Deposited!B89</f>
        <v>2075</v>
      </c>
      <c r="P94" s="99">
        <f>Amnt_Deposited!P89</f>
        <v>0</v>
      </c>
      <c r="Q94" s="283">
        <f>MCF!R93</f>
        <v>1</v>
      </c>
      <c r="R94" s="67">
        <f t="shared" si="17"/>
        <v>0</v>
      </c>
      <c r="S94" s="67">
        <f t="shared" si="19"/>
        <v>0</v>
      </c>
      <c r="T94" s="67">
        <f t="shared" si="20"/>
        <v>0</v>
      </c>
      <c r="U94" s="67">
        <f t="shared" si="21"/>
        <v>0</v>
      </c>
      <c r="V94" s="67">
        <f t="shared" si="22"/>
        <v>0</v>
      </c>
      <c r="W94" s="100">
        <f t="shared" si="23"/>
        <v>0</v>
      </c>
    </row>
    <row r="95" spans="2:23">
      <c r="B95" s="96">
        <f>Amnt_Deposited!B90</f>
        <v>2076</v>
      </c>
      <c r="C95" s="99">
        <f>Amnt_Deposited!P90</f>
        <v>0</v>
      </c>
      <c r="D95" s="417">
        <f>Dry_Matter_Content!P82</f>
        <v>0</v>
      </c>
      <c r="E95" s="283">
        <f>MCF!R94</f>
        <v>1</v>
      </c>
      <c r="F95" s="67">
        <f t="shared" si="12"/>
        <v>0</v>
      </c>
      <c r="G95" s="67">
        <f t="shared" si="13"/>
        <v>0</v>
      </c>
      <c r="H95" s="67">
        <f t="shared" si="14"/>
        <v>0</v>
      </c>
      <c r="I95" s="67">
        <f t="shared" si="15"/>
        <v>0</v>
      </c>
      <c r="J95" s="67">
        <f t="shared" si="16"/>
        <v>0</v>
      </c>
      <c r="K95" s="100">
        <f t="shared" si="18"/>
        <v>0</v>
      </c>
      <c r="O95" s="96">
        <f>Amnt_Deposited!B90</f>
        <v>2076</v>
      </c>
      <c r="P95" s="99">
        <f>Amnt_Deposited!P90</f>
        <v>0</v>
      </c>
      <c r="Q95" s="283">
        <f>MCF!R94</f>
        <v>1</v>
      </c>
      <c r="R95" s="67">
        <f t="shared" si="17"/>
        <v>0</v>
      </c>
      <c r="S95" s="67">
        <f t="shared" si="19"/>
        <v>0</v>
      </c>
      <c r="T95" s="67">
        <f t="shared" si="20"/>
        <v>0</v>
      </c>
      <c r="U95" s="67">
        <f t="shared" si="21"/>
        <v>0</v>
      </c>
      <c r="V95" s="67">
        <f t="shared" si="22"/>
        <v>0</v>
      </c>
      <c r="W95" s="100">
        <f t="shared" si="23"/>
        <v>0</v>
      </c>
    </row>
    <row r="96" spans="2:23">
      <c r="B96" s="96">
        <f>Amnt_Deposited!B91</f>
        <v>2077</v>
      </c>
      <c r="C96" s="99">
        <f>Amnt_Deposited!P91</f>
        <v>0</v>
      </c>
      <c r="D96" s="417">
        <f>Dry_Matter_Content!P83</f>
        <v>0</v>
      </c>
      <c r="E96" s="283">
        <f>MCF!R95</f>
        <v>1</v>
      </c>
      <c r="F96" s="67">
        <f t="shared" si="12"/>
        <v>0</v>
      </c>
      <c r="G96" s="67">
        <f t="shared" si="13"/>
        <v>0</v>
      </c>
      <c r="H96" s="67">
        <f t="shared" si="14"/>
        <v>0</v>
      </c>
      <c r="I96" s="67">
        <f t="shared" si="15"/>
        <v>0</v>
      </c>
      <c r="J96" s="67">
        <f t="shared" si="16"/>
        <v>0</v>
      </c>
      <c r="K96" s="100">
        <f t="shared" si="18"/>
        <v>0</v>
      </c>
      <c r="O96" s="96">
        <f>Amnt_Deposited!B91</f>
        <v>2077</v>
      </c>
      <c r="P96" s="99">
        <f>Amnt_Deposited!P91</f>
        <v>0</v>
      </c>
      <c r="Q96" s="283">
        <f>MCF!R95</f>
        <v>1</v>
      </c>
      <c r="R96" s="67">
        <f t="shared" si="17"/>
        <v>0</v>
      </c>
      <c r="S96" s="67">
        <f t="shared" si="19"/>
        <v>0</v>
      </c>
      <c r="T96" s="67">
        <f t="shared" si="20"/>
        <v>0</v>
      </c>
      <c r="U96" s="67">
        <f t="shared" si="21"/>
        <v>0</v>
      </c>
      <c r="V96" s="67">
        <f t="shared" si="22"/>
        <v>0</v>
      </c>
      <c r="W96" s="100">
        <f t="shared" si="23"/>
        <v>0</v>
      </c>
    </row>
    <row r="97" spans="2:23">
      <c r="B97" s="96">
        <f>Amnt_Deposited!B92</f>
        <v>2078</v>
      </c>
      <c r="C97" s="99">
        <f>Amnt_Deposited!P92</f>
        <v>0</v>
      </c>
      <c r="D97" s="417">
        <f>Dry_Matter_Content!P84</f>
        <v>0</v>
      </c>
      <c r="E97" s="283">
        <f>MCF!R96</f>
        <v>1</v>
      </c>
      <c r="F97" s="67">
        <f t="shared" si="12"/>
        <v>0</v>
      </c>
      <c r="G97" s="67">
        <f t="shared" si="13"/>
        <v>0</v>
      </c>
      <c r="H97" s="67">
        <f t="shared" si="14"/>
        <v>0</v>
      </c>
      <c r="I97" s="67">
        <f t="shared" si="15"/>
        <v>0</v>
      </c>
      <c r="J97" s="67">
        <f t="shared" si="16"/>
        <v>0</v>
      </c>
      <c r="K97" s="100">
        <f t="shared" si="18"/>
        <v>0</v>
      </c>
      <c r="O97" s="96">
        <f>Amnt_Deposited!B92</f>
        <v>2078</v>
      </c>
      <c r="P97" s="99">
        <f>Amnt_Deposited!P92</f>
        <v>0</v>
      </c>
      <c r="Q97" s="283">
        <f>MCF!R96</f>
        <v>1</v>
      </c>
      <c r="R97" s="67">
        <f t="shared" si="17"/>
        <v>0</v>
      </c>
      <c r="S97" s="67">
        <f t="shared" si="19"/>
        <v>0</v>
      </c>
      <c r="T97" s="67">
        <f t="shared" si="20"/>
        <v>0</v>
      </c>
      <c r="U97" s="67">
        <f t="shared" si="21"/>
        <v>0</v>
      </c>
      <c r="V97" s="67">
        <f t="shared" si="22"/>
        <v>0</v>
      </c>
      <c r="W97" s="100">
        <f t="shared" si="23"/>
        <v>0</v>
      </c>
    </row>
    <row r="98" spans="2:23">
      <c r="B98" s="96">
        <f>Amnt_Deposited!B93</f>
        <v>2079</v>
      </c>
      <c r="C98" s="99">
        <f>Amnt_Deposited!P93</f>
        <v>0</v>
      </c>
      <c r="D98" s="417">
        <f>Dry_Matter_Content!P85</f>
        <v>0</v>
      </c>
      <c r="E98" s="283">
        <f>MCF!R97</f>
        <v>1</v>
      </c>
      <c r="F98" s="67">
        <f t="shared" si="12"/>
        <v>0</v>
      </c>
      <c r="G98" s="67">
        <f t="shared" si="13"/>
        <v>0</v>
      </c>
      <c r="H98" s="67">
        <f t="shared" si="14"/>
        <v>0</v>
      </c>
      <c r="I98" s="67">
        <f t="shared" si="15"/>
        <v>0</v>
      </c>
      <c r="J98" s="67">
        <f t="shared" si="16"/>
        <v>0</v>
      </c>
      <c r="K98" s="100">
        <f t="shared" si="18"/>
        <v>0</v>
      </c>
      <c r="O98" s="96">
        <f>Amnt_Deposited!B93</f>
        <v>2079</v>
      </c>
      <c r="P98" s="99">
        <f>Amnt_Deposited!P93</f>
        <v>0</v>
      </c>
      <c r="Q98" s="283">
        <f>MCF!R97</f>
        <v>1</v>
      </c>
      <c r="R98" s="67">
        <f t="shared" si="17"/>
        <v>0</v>
      </c>
      <c r="S98" s="67">
        <f t="shared" si="19"/>
        <v>0</v>
      </c>
      <c r="T98" s="67">
        <f t="shared" si="20"/>
        <v>0</v>
      </c>
      <c r="U98" s="67">
        <f t="shared" si="21"/>
        <v>0</v>
      </c>
      <c r="V98" s="67">
        <f t="shared" si="22"/>
        <v>0</v>
      </c>
      <c r="W98" s="100">
        <f t="shared" si="23"/>
        <v>0</v>
      </c>
    </row>
    <row r="99" spans="2:23" ht="13.5" thickBot="1">
      <c r="B99" s="97">
        <f>Amnt_Deposited!B94</f>
        <v>2080</v>
      </c>
      <c r="C99" s="99">
        <f>Amnt_Deposited!P94</f>
        <v>0</v>
      </c>
      <c r="D99" s="417">
        <f>Dry_Matter_Content!P86</f>
        <v>0</v>
      </c>
      <c r="E99" s="284">
        <f>MCF!R98</f>
        <v>1</v>
      </c>
      <c r="F99" s="68">
        <f t="shared" si="12"/>
        <v>0</v>
      </c>
      <c r="G99" s="68">
        <f t="shared" si="13"/>
        <v>0</v>
      </c>
      <c r="H99" s="68">
        <f t="shared" si="14"/>
        <v>0</v>
      </c>
      <c r="I99" s="68">
        <f t="shared" si="15"/>
        <v>0</v>
      </c>
      <c r="J99" s="68">
        <f t="shared" si="16"/>
        <v>0</v>
      </c>
      <c r="K99" s="102">
        <f t="shared" si="18"/>
        <v>0</v>
      </c>
      <c r="O99" s="97">
        <f>Amnt_Deposited!B94</f>
        <v>2080</v>
      </c>
      <c r="P99" s="99">
        <f>Amnt_Deposited!P94</f>
        <v>0</v>
      </c>
      <c r="Q99" s="284">
        <f>MCF!R98</f>
        <v>1</v>
      </c>
      <c r="R99" s="68">
        <f t="shared" si="17"/>
        <v>0</v>
      </c>
      <c r="S99" s="68">
        <f>R99*$W$12</f>
        <v>0</v>
      </c>
      <c r="T99" s="68">
        <f>R99*(1-$W$12)</f>
        <v>0</v>
      </c>
      <c r="U99" s="68">
        <f>S99+U98*$W$10</f>
        <v>0</v>
      </c>
      <c r="V99" s="68">
        <f>U98*(1-$W$10)+T99</f>
        <v>0</v>
      </c>
      <c r="W99" s="102">
        <f t="shared" si="23"/>
        <v>0</v>
      </c>
    </row>
  </sheetData>
  <pageMargins left="0.75" right="0.75" top="1" bottom="1" header="0.5" footer="0.5"/>
  <headerFooter alignWithMargins="0"/>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Instructions</vt:lpstr>
      <vt:lpstr>Parameters</vt:lpstr>
      <vt:lpstr>MCF</vt:lpstr>
      <vt:lpstr>Activity</vt:lpstr>
      <vt:lpstr>Dry_Matter_Content</vt:lpstr>
      <vt:lpstr>Amnt_Deposited</vt:lpstr>
      <vt:lpstr>Recovery_OX</vt:lpstr>
      <vt:lpstr>Results</vt:lpstr>
      <vt:lpstr>HWP</vt:lpstr>
      <vt:lpstr>Stored_C</vt:lpstr>
      <vt:lpstr>Theory</vt:lpstr>
      <vt:lpstr>Defaults</vt:lpstr>
      <vt:lpstr>Food</vt:lpstr>
      <vt:lpstr>Paper</vt:lpstr>
      <vt:lpstr>Nappies</vt:lpstr>
      <vt:lpstr>Garden</vt:lpstr>
      <vt:lpstr>Wood</vt:lpstr>
      <vt:lpstr>Textiles</vt:lpstr>
      <vt:lpstr>Sludge</vt:lpstr>
      <vt:lpstr>MSW</vt:lpstr>
      <vt:lpstr>Industry</vt:lpstr>
      <vt:lpstr>CH4_fraction</vt:lpstr>
      <vt:lpstr>city</vt:lpstr>
      <vt:lpstr>conv</vt:lpstr>
      <vt:lpstr>country</vt:lpstr>
      <vt:lpstr>DOC_table</vt:lpstr>
      <vt:lpstr>DOCF</vt:lpstr>
      <vt:lpstr>half_life</vt:lpstr>
      <vt:lpstr>ox</vt:lpstr>
      <vt:lpstr>Instructions!Print_Area</vt:lpstr>
      <vt:lpstr>Parameters!Print_Area</vt:lpstr>
      <vt:lpstr>Theory!Print_Area</vt:lpstr>
      <vt:lpstr>province</vt:lpstr>
      <vt:lpstr>Regional_data</vt:lpstr>
      <vt:lpstr>Select2</vt:lpstr>
      <vt:lpstr>Select3</vt:lpstr>
      <vt:lpstr>selected</vt:lpstr>
      <vt:lpstr>year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Resalto Pradewa</dc:creator>
  <cp:lastModifiedBy>Iwied</cp:lastModifiedBy>
  <cp:lastPrinted>2012-09-21T09:20:05Z</cp:lastPrinted>
  <dcterms:created xsi:type="dcterms:W3CDTF">2004-11-09T12:47:45Z</dcterms:created>
  <dcterms:modified xsi:type="dcterms:W3CDTF">2017-09-14T15:28:38Z</dcterms:modified>
</cp:coreProperties>
</file>