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erau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25" i="6" l="1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F48" i="1" l="1"/>
  <c r="F40" i="1"/>
  <c r="F47" i="1"/>
  <c r="F63" i="1" s="1"/>
  <c r="F46" i="1"/>
  <c r="F62" i="1" s="1"/>
  <c r="F45" i="1"/>
  <c r="F61" i="1" s="1"/>
  <c r="F44" i="1"/>
  <c r="F43" i="1"/>
  <c r="F42" i="1"/>
  <c r="F58" i="1" s="1"/>
  <c r="F41" i="1"/>
  <c r="H41" i="1"/>
  <c r="E41" i="1"/>
  <c r="G41" i="1"/>
  <c r="C41" i="1"/>
  <c r="D41" i="1"/>
  <c r="D40" i="1"/>
  <c r="H40" i="1"/>
  <c r="G40" i="1"/>
  <c r="E40" i="1"/>
  <c r="C40" i="1"/>
  <c r="G47" i="1"/>
  <c r="E47" i="1"/>
  <c r="C47" i="1"/>
  <c r="D47" i="1"/>
  <c r="H47" i="1"/>
  <c r="G43" i="1"/>
  <c r="E43" i="1"/>
  <c r="C43" i="1"/>
  <c r="D43" i="1"/>
  <c r="H43" i="1"/>
  <c r="H45" i="1"/>
  <c r="D45" i="1"/>
  <c r="G45" i="1"/>
  <c r="E45" i="1"/>
  <c r="C45" i="1"/>
  <c r="D48" i="1"/>
  <c r="G48" i="1"/>
  <c r="H48" i="1"/>
  <c r="E48" i="1"/>
  <c r="C48" i="1"/>
  <c r="D44" i="1"/>
  <c r="H44" i="1"/>
  <c r="E44" i="1"/>
  <c r="C44" i="1"/>
  <c r="G44" i="1"/>
  <c r="G46" i="1"/>
  <c r="E46" i="1"/>
  <c r="C46" i="1"/>
  <c r="H46" i="1"/>
  <c r="D46" i="1"/>
  <c r="G42" i="1"/>
  <c r="E42" i="1"/>
  <c r="C42" i="1"/>
  <c r="D42" i="1"/>
  <c r="H42" i="1"/>
  <c r="B46" i="1" l="1"/>
  <c r="B67" i="1" s="1"/>
  <c r="B42" i="1"/>
  <c r="B47" i="1"/>
  <c r="B68" i="1" s="1"/>
  <c r="B45" i="1"/>
  <c r="B43" i="1"/>
  <c r="F59" i="1"/>
  <c r="B40" i="1"/>
  <c r="B61" i="1" s="1"/>
  <c r="F56" i="1"/>
  <c r="B41" i="1"/>
  <c r="F57" i="1"/>
  <c r="B44" i="1"/>
  <c r="F60" i="1"/>
  <c r="B48" i="1"/>
  <c r="F64" i="1"/>
  <c r="J40" i="1"/>
  <c r="J47" i="1"/>
  <c r="J46" i="1"/>
  <c r="M15" i="1"/>
  <c r="M14" i="1" s="1"/>
  <c r="M13" i="1" s="1"/>
  <c r="M12" i="1" s="1"/>
  <c r="M11" i="1" s="1"/>
  <c r="M10" i="1" s="1"/>
  <c r="M9" i="1" s="1"/>
  <c r="M8" i="1" s="1"/>
  <c r="M7" i="1" s="1"/>
  <c r="J48" i="1" l="1"/>
  <c r="B69" i="1"/>
  <c r="J43" i="1"/>
  <c r="B64" i="1"/>
  <c r="J45" i="1"/>
  <c r="B66" i="1"/>
  <c r="J44" i="1"/>
  <c r="B65" i="1"/>
  <c r="J42" i="1"/>
  <c r="B63" i="1"/>
  <c r="J41" i="1"/>
  <c r="B62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F30" i="1" s="1"/>
  <c r="D7" i="4"/>
  <c r="E7" i="4" s="1"/>
  <c r="I41" i="2" s="1"/>
  <c r="D8" i="4"/>
  <c r="E8" i="4" s="1"/>
  <c r="I32" i="1" s="1"/>
  <c r="D9" i="4"/>
  <c r="E9" i="4" s="1"/>
  <c r="I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L7" i="4"/>
  <c r="L8" i="4" s="1"/>
  <c r="J7" i="4"/>
  <c r="J8" i="4" s="1"/>
  <c r="B29" i="1" l="1"/>
  <c r="B50" i="1" s="1"/>
  <c r="F29" i="1"/>
  <c r="C32" i="1"/>
  <c r="F32" i="1"/>
  <c r="C33" i="1"/>
  <c r="F33" i="1"/>
  <c r="I39" i="2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F31" i="1" s="1"/>
  <c r="I40" i="2"/>
  <c r="I36" i="1"/>
  <c r="I35" i="1"/>
  <c r="E32" i="1"/>
  <c r="I42" i="2"/>
  <c r="B30" i="1"/>
  <c r="B51" i="1" s="1"/>
  <c r="E30" i="1"/>
  <c r="I34" i="1"/>
  <c r="F34" i="1" s="1"/>
  <c r="I37" i="1"/>
  <c r="I47" i="2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F36" i="1" l="1"/>
  <c r="C37" i="1"/>
  <c r="F37" i="1"/>
  <c r="C39" i="1"/>
  <c r="F39" i="1"/>
  <c r="F55" i="1" s="1"/>
  <c r="B39" i="1"/>
  <c r="B60" i="1" s="1"/>
  <c r="C38" i="1"/>
  <c r="F38" i="1"/>
  <c r="F35" i="1"/>
  <c r="F51" i="1" s="1"/>
  <c r="J32" i="1"/>
  <c r="J30" i="1"/>
  <c r="J33" i="1"/>
  <c r="E29" i="1"/>
  <c r="C34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H31" i="1"/>
  <c r="D36" i="1"/>
  <c r="B31" i="1"/>
  <c r="B52" i="1" s="1"/>
  <c r="E34" i="1"/>
  <c r="D34" i="1"/>
  <c r="B34" i="1"/>
  <c r="B55" i="1" s="1"/>
  <c r="D38" i="1"/>
  <c r="E38" i="1"/>
  <c r="G38" i="1"/>
  <c r="D37" i="1"/>
  <c r="E37" i="1"/>
  <c r="G37" i="1"/>
  <c r="H37" i="1"/>
  <c r="H29" i="1"/>
  <c r="C29" i="1"/>
  <c r="G29" i="1"/>
  <c r="H38" i="1"/>
  <c r="E39" i="1"/>
  <c r="G39" i="1"/>
  <c r="H39" i="1"/>
  <c r="D39" i="1"/>
  <c r="I7" i="1"/>
  <c r="I8" i="1"/>
  <c r="I9" i="1"/>
  <c r="I10" i="1"/>
  <c r="I11" i="1"/>
  <c r="I12" i="1"/>
  <c r="I13" i="1"/>
  <c r="I14" i="1"/>
  <c r="I15" i="1"/>
  <c r="I16" i="1"/>
  <c r="B37" i="1" l="1"/>
  <c r="B58" i="1" s="1"/>
  <c r="F53" i="1"/>
  <c r="B38" i="1"/>
  <c r="B59" i="1" s="1"/>
  <c r="F54" i="1"/>
  <c r="B35" i="1"/>
  <c r="B56" i="1" s="1"/>
  <c r="B36" i="1"/>
  <c r="F52" i="1"/>
  <c r="J29" i="1"/>
  <c r="J39" i="1"/>
  <c r="J31" i="1"/>
  <c r="J38" i="1"/>
  <c r="J34" i="1"/>
  <c r="J35" i="1"/>
  <c r="F65" i="1" l="1"/>
  <c r="F66" i="1" s="1"/>
  <c r="J37" i="1"/>
  <c r="J36" i="1"/>
  <c r="B57" i="1"/>
  <c r="B70" i="1" s="1"/>
  <c r="B71" i="1" s="1"/>
  <c r="C9" i="3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<sst xmlns="http://schemas.openxmlformats.org/spreadsheetml/2006/main" count="302" uniqueCount="155">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</sst>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_-* #,##0.0_-;\-* #,##0.0_-;_-* &quot;-&quot;??_-;_-@_-"/>
    <numFmt numFmtId="172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72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171" fontId="54" fillId="0" borderId="1" xfId="1" applyNumberFormat="1" applyFont="1" applyBorder="1" applyAlignment="1">
      <alignment vertical="center"/>
    </xf>
    <xf numFmtId="171" fontId="54" fillId="0" borderId="1" xfId="0" applyNumberFormat="1" applyFont="1" applyBorder="1" applyAlignment="1">
      <alignment vertical="center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72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 vertical="center" wrapText="1"/>
    </xf>
    <xf numFmtId="0" fontId="15" fillId="17" borderId="7" xfId="0" applyFont="1" applyFill="1" applyBorder="1" applyAlignment="1">
      <alignment horizontal="center" vertical="center" wrapText="1"/>
    </xf>
    <xf numFmtId="0" fontId="15" fillId="17" borderId="8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8.8882709399999996E-2</c:v>
                </c:pt>
                <c:pt idx="1">
                  <c:v>9.1554170399999996E-2</c:v>
                </c:pt>
                <c:pt idx="2">
                  <c:v>9.4331725200000008E-2</c:v>
                </c:pt>
                <c:pt idx="3">
                  <c:v>9.712027170000001E-2</c:v>
                </c:pt>
                <c:pt idx="4">
                  <c:v>9.9829964700000023E-2</c:v>
                </c:pt>
                <c:pt idx="5">
                  <c:v>0.1026663012</c:v>
                </c:pt>
                <c:pt idx="6">
                  <c:v>0.10926453612888001</c:v>
                </c:pt>
                <c:pt idx="7">
                  <c:v>0.11546427066268022</c:v>
                </c:pt>
                <c:pt idx="8">
                  <c:v>0.12192863994543643</c:v>
                </c:pt>
                <c:pt idx="9">
                  <c:v>0.12866769242346396</c:v>
                </c:pt>
                <c:pt idx="10">
                  <c:v>0.13569183435494334</c:v>
                </c:pt>
                <c:pt idx="11">
                  <c:v>0.14301184204334616</c:v>
                </c:pt>
                <c:pt idx="12">
                  <c:v>0.15063887447753305</c:v>
                </c:pt>
                <c:pt idx="13">
                  <c:v>0.15858448639176898</c:v>
                </c:pt>
                <c:pt idx="14">
                  <c:v>0.16686064175932191</c:v>
                </c:pt>
                <c:pt idx="15">
                  <c:v>0.17547972773375364</c:v>
                </c:pt>
                <c:pt idx="16">
                  <c:v>0.18445456905245899</c:v>
                </c:pt>
                <c:pt idx="17">
                  <c:v>0.19379844291747883</c:v>
                </c:pt>
                <c:pt idx="18">
                  <c:v>0.20352509436909194</c:v>
                </c:pt>
                <c:pt idx="19">
                  <c:v>0.21356812920000004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0.14776060069368907</c:v>
                </c:pt>
                <c:pt idx="8">
                  <c:v>0.26743794887355404</c:v>
                </c:pt>
                <c:pt idx="9">
                  <c:v>0.36959909575742883</c:v>
                </c:pt>
                <c:pt idx="10">
                  <c:v>0.46153151633328066</c:v>
                </c:pt>
                <c:pt idx="11">
                  <c:v>0.54832927954245425</c:v>
                </c:pt>
                <c:pt idx="12">
                  <c:v>0.63362346849008255</c:v>
                </c:pt>
                <c:pt idx="13">
                  <c:v>0.72007403305438988</c:v>
                </c:pt>
                <c:pt idx="14">
                  <c:v>0.80970166199664451</c:v>
                </c:pt>
                <c:pt idx="15">
                  <c:v>0.9041123864122399</c:v>
                </c:pt>
                <c:pt idx="16">
                  <c:v>1.0046502783580069</c:v>
                </c:pt>
                <c:pt idx="17">
                  <c:v>1.1125019771447193</c:v>
                </c:pt>
                <c:pt idx="18">
                  <c:v>1.2287689770052403</c:v>
                </c:pt>
                <c:pt idx="19">
                  <c:v>1.3545183806166929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11.412117170536265</c:v>
                </c:pt>
                <c:pt idx="1">
                  <c:v>11.61994138512082</c:v>
                </c:pt>
                <c:pt idx="2">
                  <c:v>11.895432556618609</c:v>
                </c:pt>
                <c:pt idx="3">
                  <c:v>12.219861498058858</c:v>
                </c:pt>
                <c:pt idx="4">
                  <c:v>12.577363833967523</c:v>
                </c:pt>
                <c:pt idx="5">
                  <c:v>12.954037371747537</c:v>
                </c:pt>
                <c:pt idx="6">
                  <c:v>13.347991123740456</c:v>
                </c:pt>
                <c:pt idx="7">
                  <c:v>13.633391820783482</c:v>
                </c:pt>
                <c:pt idx="8">
                  <c:v>14.046686311415371</c:v>
                </c:pt>
                <c:pt idx="9">
                  <c:v>14.555350560933638</c:v>
                </c:pt>
                <c:pt idx="10">
                  <c:v>15.137410314191808</c:v>
                </c:pt>
                <c:pt idx="11">
                  <c:v>15.777995147927223</c:v>
                </c:pt>
                <c:pt idx="12">
                  <c:v>16.467020626179483</c:v>
                </c:pt>
                <c:pt idx="13">
                  <c:v>17.197627509401734</c:v>
                </c:pt>
                <c:pt idx="14">
                  <c:v>17.96512912681894</c:v>
                </c:pt>
                <c:pt idx="15">
                  <c:v>18.766299930618437</c:v>
                </c:pt>
                <c:pt idx="16">
                  <c:v>19.598893175364928</c:v>
                </c:pt>
                <c:pt idx="17">
                  <c:v>20.461312499465215</c:v>
                </c:pt>
                <c:pt idx="18">
                  <c:v>21.352386889121135</c:v>
                </c:pt>
                <c:pt idx="19">
                  <c:v>22.27121507556862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0.478282992495</c:v>
                </c:pt>
                <c:pt idx="1">
                  <c:v>0.49265827841999993</c:v>
                </c:pt>
                <c:pt idx="2">
                  <c:v>0.50760446120999991</c:v>
                </c:pt>
                <c:pt idx="3">
                  <c:v>0.52260979097249982</c:v>
                </c:pt>
                <c:pt idx="4">
                  <c:v>0.53719080549749987</c:v>
                </c:pt>
                <c:pt idx="5">
                  <c:v>0.55245329600999993</c:v>
                </c:pt>
                <c:pt idx="6">
                  <c:v>0.57166628996400015</c:v>
                </c:pt>
                <c:pt idx="7">
                  <c:v>0.58736312498324983</c:v>
                </c:pt>
                <c:pt idx="8">
                  <c:v>0.60305996000249995</c:v>
                </c:pt>
                <c:pt idx="9">
                  <c:v>0.61875679502174985</c:v>
                </c:pt>
                <c:pt idx="10">
                  <c:v>0.63445363004099997</c:v>
                </c:pt>
                <c:pt idx="11">
                  <c:v>0.65015046506024976</c:v>
                </c:pt>
                <c:pt idx="12">
                  <c:v>0.66584730007949988</c:v>
                </c:pt>
                <c:pt idx="13">
                  <c:v>0.68154413509874989</c:v>
                </c:pt>
                <c:pt idx="14">
                  <c:v>0.69724097011800001</c:v>
                </c:pt>
                <c:pt idx="15">
                  <c:v>0.71293780513724991</c:v>
                </c:pt>
                <c:pt idx="16">
                  <c:v>0.72863464015649981</c:v>
                </c:pt>
                <c:pt idx="17">
                  <c:v>0.74433147517574971</c:v>
                </c:pt>
                <c:pt idx="18">
                  <c:v>0.76002831019499983</c:v>
                </c:pt>
                <c:pt idx="19">
                  <c:v>0.77572514521425007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402224"/>
        <c:axId val="305402616"/>
        <c:axId val="0"/>
      </c:bar3DChart>
      <c:catAx>
        <c:axId val="3054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402616"/>
        <c:crosses val="autoZero"/>
        <c:auto val="1"/>
        <c:lblAlgn val="ctr"/>
        <c:lblOffset val="100"/>
        <c:noMultiLvlLbl val="0"/>
      </c:catAx>
      <c:valAx>
        <c:axId val="30540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540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2.0470559717771435</c:v>
                </c:pt>
                <c:pt idx="1">
                  <c:v>2.0326158864000003</c:v>
                </c:pt>
                <c:pt idx="2">
                  <c:v>2.0646649448228573</c:v>
                </c:pt>
                <c:pt idx="3">
                  <c:v>2.172887993037143</c:v>
                </c:pt>
                <c:pt idx="4">
                  <c:v>2.2335124052371436</c:v>
                </c:pt>
                <c:pt idx="5">
                  <c:v>2.2969702335276194</c:v>
                </c:pt>
                <c:pt idx="6">
                  <c:v>2.3768533214339054</c:v>
                </c:pt>
                <c:pt idx="7">
                  <c:v>2.4421170515269517</c:v>
                </c:pt>
                <c:pt idx="8">
                  <c:v>2.5073807816200002</c:v>
                </c:pt>
                <c:pt idx="9">
                  <c:v>2.5726445117130474</c:v>
                </c:pt>
                <c:pt idx="10">
                  <c:v>2.6379082418060955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4.0803597986255999</c:v>
                </c:pt>
                <c:pt idx="1">
                  <c:v>4.2029991976896008</c:v>
                </c:pt>
                <c:pt idx="2">
                  <c:v>4.3305090702047995</c:v>
                </c:pt>
                <c:pt idx="3">
                  <c:v>4.4585235413208002</c:v>
                </c:pt>
                <c:pt idx="4">
                  <c:v>4.5829180659528008</c:v>
                </c:pt>
                <c:pt idx="5">
                  <c:v>4.7131264440287994</c:v>
                </c:pt>
                <c:pt idx="6">
                  <c:v>4.8770376208243205</c:v>
                </c:pt>
                <c:pt idx="7">
                  <c:v>5.0109515077557605</c:v>
                </c:pt>
                <c:pt idx="8">
                  <c:v>5.1448653946871996</c:v>
                </c:pt>
                <c:pt idx="9">
                  <c:v>5.2787792816186396</c:v>
                </c:pt>
                <c:pt idx="10">
                  <c:v>5.4126931685500796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403792"/>
        <c:axId val="305404184"/>
        <c:axId val="0"/>
      </c:bar3DChart>
      <c:catAx>
        <c:axId val="3054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4184"/>
        <c:crosses val="autoZero"/>
        <c:auto val="1"/>
        <c:lblAlgn val="ctr"/>
        <c:lblOffset val="100"/>
        <c:noMultiLvlLbl val="0"/>
      </c:catAx>
      <c:valAx>
        <c:axId val="30540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3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6127.4157704027439</c:v>
                </c:pt>
                <c:pt idx="1">
                  <c:v>6235.6150840896016</c:v>
                </c:pt>
                <c:pt idx="2">
                  <c:v>6395.1740150276564</c:v>
                </c:pt>
                <c:pt idx="3">
                  <c:v>6631.4115343579424</c:v>
                </c:pt>
                <c:pt idx="4">
                  <c:v>6816.430471189944</c:v>
                </c:pt>
                <c:pt idx="5">
                  <c:v>7010.0966775564193</c:v>
                </c:pt>
                <c:pt idx="6">
                  <c:v>7253.8909422582256</c:v>
                </c:pt>
                <c:pt idx="7">
                  <c:v>7453.0685592827122</c:v>
                </c:pt>
                <c:pt idx="8">
                  <c:v>7652.2461763071997</c:v>
                </c:pt>
                <c:pt idx="9">
                  <c:v>7851.4237933316872</c:v>
                </c:pt>
                <c:pt idx="10">
                  <c:v>8050.6014103561756</c:v>
                </c:pt>
                <c:pt idx="11">
                  <c:v>8249.7790273806622</c:v>
                </c:pt>
                <c:pt idx="12">
                  <c:v>8448.9566444051488</c:v>
                </c:pt>
                <c:pt idx="13">
                  <c:v>8648.1342614296373</c:v>
                </c:pt>
                <c:pt idx="14">
                  <c:v>8808.1544315055544</c:v>
                </c:pt>
                <c:pt idx="15">
                  <c:v>9007.3320485300428</c:v>
                </c:pt>
                <c:pt idx="16">
                  <c:v>9206.5096655545294</c:v>
                </c:pt>
                <c:pt idx="17">
                  <c:v>9405.687282579016</c:v>
                </c:pt>
                <c:pt idx="18">
                  <c:v>9604.8648996035045</c:v>
                </c:pt>
                <c:pt idx="19">
                  <c:v>9804.0425166279929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405360"/>
        <c:axId val="307503280"/>
      </c:lineChart>
      <c:catAx>
        <c:axId val="3054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3280"/>
        <c:crosses val="autoZero"/>
        <c:auto val="1"/>
        <c:lblAlgn val="ctr"/>
        <c:lblOffset val="100"/>
        <c:noMultiLvlLbl val="0"/>
      </c:catAx>
      <c:valAx>
        <c:axId val="307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20072.102185773274</c:v>
                </c:pt>
                <c:pt idx="1">
                  <c:v>20444.350167027445</c:v>
                </c:pt>
                <c:pt idx="2">
                  <c:v>20932.927622787003</c:v>
                </c:pt>
                <c:pt idx="3">
                  <c:v>21505.216848314001</c:v>
                </c:pt>
                <c:pt idx="4">
                  <c:v>22133.530055041836</c:v>
                </c:pt>
                <c:pt idx="5">
                  <c:v>22795.417700532762</c:v>
                </c:pt>
                <c:pt idx="6">
                  <c:v>23494.552099462129</c:v>
                </c:pt>
                <c:pt idx="7">
                  <c:v>23895.041209132563</c:v>
                </c:pt>
                <c:pt idx="8">
                  <c:v>24405.293738748427</c:v>
                </c:pt>
                <c:pt idx="9">
                  <c:v>24993.397886305109</c:v>
                </c:pt>
                <c:pt idx="10">
                  <c:v>25637.874252229034</c:v>
                </c:pt>
                <c:pt idx="11">
                  <c:v>26324.236024061025</c:v>
                </c:pt>
                <c:pt idx="12">
                  <c:v>27042.676648083288</c:v>
                </c:pt>
                <c:pt idx="13">
                  <c:v>27786.513677403975</c:v>
                </c:pt>
                <c:pt idx="14">
                  <c:v>28551.139781486785</c:v>
                </c:pt>
                <c:pt idx="15">
                  <c:v>29333.313893018541</c:v>
                </c:pt>
                <c:pt idx="16">
                  <c:v>30130.680439423184</c:v>
                </c:pt>
                <c:pt idx="17">
                  <c:v>30941.441463873209</c:v>
                </c:pt>
                <c:pt idx="18">
                  <c:v>31764.131154239371</c:v>
                </c:pt>
                <c:pt idx="19">
                  <c:v>32597.378247102915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04064"/>
        <c:axId val="307504456"/>
      </c:lineChart>
      <c:catAx>
        <c:axId val="3075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4456"/>
        <c:crosses val="autoZero"/>
        <c:auto val="1"/>
        <c:lblAlgn val="ctr"/>
        <c:lblOffset val="100"/>
        <c:noMultiLvlLbl val="0"/>
      </c:catAx>
      <c:valAx>
        <c:axId val="3075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118581</xdr:rowOff>
    </xdr:from>
    <xdr:to>
      <xdr:col>18</xdr:col>
      <xdr:colOff>537883</xdr:colOff>
      <xdr:row>49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IPCC%204A-TPA%20-%205_Peng%20biologi%20sampah_pembakaran%20sampah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ERAU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G14">
            <v>185986</v>
          </cell>
        </row>
        <row r="15">
          <cell r="G15">
            <v>191576</v>
          </cell>
        </row>
        <row r="16">
          <cell r="G16">
            <v>197388</v>
          </cell>
        </row>
        <row r="17">
          <cell r="G17">
            <v>203223</v>
          </cell>
        </row>
        <row r="18">
          <cell r="G18">
            <v>208893</v>
          </cell>
        </row>
        <row r="19">
          <cell r="G19">
            <v>214828</v>
          </cell>
        </row>
        <row r="20">
          <cell r="G20">
            <v>222299.2</v>
          </cell>
        </row>
        <row r="21">
          <cell r="G21">
            <v>228403.09999999998</v>
          </cell>
        </row>
        <row r="22">
          <cell r="G22">
            <v>234507</v>
          </cell>
        </row>
        <row r="23">
          <cell r="G23">
            <v>240610.9</v>
          </cell>
        </row>
        <row r="24">
          <cell r="G24">
            <v>246714.8</v>
          </cell>
        </row>
        <row r="25">
          <cell r="G25">
            <v>252818.69999999998</v>
          </cell>
        </row>
        <row r="26">
          <cell r="G26">
            <v>258922.59999999998</v>
          </cell>
        </row>
        <row r="27">
          <cell r="G27">
            <v>265026.5</v>
          </cell>
        </row>
        <row r="28">
          <cell r="G28">
            <v>271130.40000000002</v>
          </cell>
        </row>
        <row r="29">
          <cell r="G29">
            <v>277234.3</v>
          </cell>
        </row>
        <row r="30">
          <cell r="G30">
            <v>283338.19999999995</v>
          </cell>
        </row>
        <row r="31">
          <cell r="G31">
            <v>289442.09999999998</v>
          </cell>
        </row>
        <row r="32">
          <cell r="G32">
            <v>295546</v>
          </cell>
        </row>
        <row r="33">
          <cell r="G33">
            <v>301649.90000000002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0.54343415097791736</v>
          </cell>
        </row>
        <row r="29">
          <cell r="O29">
            <v>0.55333054214861044</v>
          </cell>
        </row>
        <row r="30">
          <cell r="O30">
            <v>0.56644916936279088</v>
          </cell>
        </row>
        <row r="31">
          <cell r="O31">
            <v>0.58189816657423132</v>
          </cell>
        </row>
        <row r="32">
          <cell r="O32">
            <v>0.59892208733178676</v>
          </cell>
        </row>
        <row r="33">
          <cell r="O33">
            <v>0.6168589224641684</v>
          </cell>
        </row>
        <row r="34">
          <cell r="O34">
            <v>0.63561862494002175</v>
          </cell>
        </row>
        <row r="35">
          <cell r="O35">
            <v>0.64920913432302296</v>
          </cell>
        </row>
        <row r="36">
          <cell r="O36">
            <v>0.66888982435311295</v>
          </cell>
        </row>
        <row r="37">
          <cell r="O37">
            <v>0.69311193147303041</v>
          </cell>
        </row>
        <row r="38">
          <cell r="O38">
            <v>0.72082906258056223</v>
          </cell>
        </row>
        <row r="39">
          <cell r="O39">
            <v>0.7513331022822487</v>
          </cell>
        </row>
        <row r="40">
          <cell r="O40">
            <v>0.78414383934188014</v>
          </cell>
        </row>
        <row r="41">
          <cell r="O41">
            <v>0.81893464330484445</v>
          </cell>
        </row>
        <row r="42">
          <cell r="O42">
            <v>0.85548233937233042</v>
          </cell>
        </row>
        <row r="43">
          <cell r="O43">
            <v>0.89363333002944934</v>
          </cell>
        </row>
        <row r="44">
          <cell r="O44">
            <v>0.93328062739832995</v>
          </cell>
        </row>
        <row r="45">
          <cell r="O45">
            <v>0.97434821426024831</v>
          </cell>
        </row>
        <row r="46">
          <cell r="O46">
            <v>1.0167803280533874</v>
          </cell>
        </row>
        <row r="47">
          <cell r="O47">
            <v>1.0605340512175534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0.38537234825438149</v>
          </cell>
        </row>
        <row r="29">
          <cell r="O29">
            <v>0.39239030157555377</v>
          </cell>
        </row>
        <row r="30">
          <cell r="O30">
            <v>0.40169327998849486</v>
          </cell>
        </row>
        <row r="31">
          <cell r="O31">
            <v>0.41264882321822116</v>
          </cell>
        </row>
        <row r="32">
          <cell r="O32">
            <v>0.42472121194651485</v>
          </cell>
        </row>
        <row r="33">
          <cell r="O33">
            <v>0.43744098721786784</v>
          </cell>
        </row>
        <row r="34">
          <cell r="O34">
            <v>0.45074429283946643</v>
          </cell>
        </row>
        <row r="35">
          <cell r="O35">
            <v>0.46221821873318314</v>
          </cell>
        </row>
        <row r="36">
          <cell r="O36">
            <v>0.47147889410755567</v>
          </cell>
        </row>
        <row r="37">
          <cell r="O37">
            <v>0.47905818731827082</v>
          </cell>
        </row>
        <row r="38">
          <cell r="O38">
            <v>0.48532618999878857</v>
          </cell>
        </row>
        <row r="39">
          <cell r="O39">
            <v>0.49054323088441237</v>
          </cell>
        </row>
        <row r="40">
          <cell r="O40">
            <v>0.49489491980175493</v>
          </cell>
        </row>
        <row r="41">
          <cell r="O41">
            <v>0.49851578950314812</v>
          </cell>
        </row>
        <row r="42">
          <cell r="O42">
            <v>0.50150527165653191</v>
          </cell>
        </row>
        <row r="43">
          <cell r="O43">
            <v>0.50393851504482567</v>
          </cell>
        </row>
        <row r="44">
          <cell r="O44">
            <v>0.50587373015272885</v>
          </cell>
        </row>
        <row r="45">
          <cell r="O45">
            <v>0.50735719159330883</v>
          </cell>
        </row>
        <row r="46">
          <cell r="O46">
            <v>0.50842665893139938</v>
          </cell>
        </row>
        <row r="47">
          <cell r="O47">
            <v>0.50911372751127337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7.0362190806518609E-3</v>
          </cell>
        </row>
        <row r="36">
          <cell r="O36">
            <v>1.2735140422550192E-2</v>
          </cell>
        </row>
        <row r="37">
          <cell r="O37">
            <v>1.7599956940829945E-2</v>
          </cell>
        </row>
        <row r="38">
          <cell r="O38">
            <v>2.1977691253965745E-2</v>
          </cell>
        </row>
        <row r="39">
          <cell r="O39">
            <v>2.6110918073450201E-2</v>
          </cell>
        </row>
        <row r="40">
          <cell r="O40">
            <v>3.0172546118575359E-2</v>
          </cell>
        </row>
        <row r="41">
          <cell r="O41">
            <v>3.4289239669256663E-2</v>
          </cell>
        </row>
        <row r="42">
          <cell r="O42">
            <v>3.8557221999840213E-2</v>
          </cell>
        </row>
        <row r="43">
          <cell r="O43">
            <v>4.3052970781535235E-2</v>
          </cell>
        </row>
        <row r="44">
          <cell r="O44">
            <v>4.7840489445619382E-2</v>
          </cell>
        </row>
        <row r="45">
          <cell r="O45">
            <v>5.2976284625939014E-2</v>
          </cell>
        </row>
        <row r="46">
          <cell r="O46">
            <v>5.8512808428820971E-2</v>
          </cell>
        </row>
        <row r="47">
          <cell r="O47">
            <v>6.4500875267461566E-2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2.0086487999999999E-3</v>
          </cell>
          <cell r="D6">
            <v>1.5064865999999999E-4</v>
          </cell>
        </row>
        <row r="7">
          <cell r="B7">
            <v>2.0690208000000002E-3</v>
          </cell>
          <cell r="D7">
            <v>1.5517655999999999E-4</v>
          </cell>
        </row>
        <row r="8">
          <cell r="B8">
            <v>2.1317904000000003E-3</v>
          </cell>
          <cell r="D8">
            <v>1.5988428000000002E-4</v>
          </cell>
        </row>
        <row r="9">
          <cell r="B9">
            <v>2.1948084000000005E-3</v>
          </cell>
          <cell r="D9">
            <v>1.6461063000000001E-4</v>
          </cell>
        </row>
        <row r="10">
          <cell r="B10">
            <v>2.2560444000000006E-3</v>
          </cell>
          <cell r="D10">
            <v>1.6920333000000002E-4</v>
          </cell>
        </row>
        <row r="11">
          <cell r="B11">
            <v>2.3201424000000004E-3</v>
          </cell>
          <cell r="D11">
            <v>1.7401068000000002E-4</v>
          </cell>
        </row>
        <row r="12">
          <cell r="B12">
            <v>2.4692550537600004E-3</v>
          </cell>
          <cell r="D12">
            <v>1.8519412903200003E-4</v>
          </cell>
        </row>
        <row r="13">
          <cell r="B13">
            <v>2.6093620488741296E-3</v>
          </cell>
          <cell r="D13">
            <v>1.9570215366555971E-4</v>
          </cell>
        </row>
        <row r="14">
          <cell r="B14">
            <v>2.7554494902923485E-3</v>
          </cell>
          <cell r="D14">
            <v>2.0665871177192612E-4</v>
          </cell>
        </row>
        <row r="15">
          <cell r="B15">
            <v>2.9077444615472079E-3</v>
          </cell>
          <cell r="D15">
            <v>2.1808083461604058E-4</v>
          </cell>
        </row>
        <row r="16">
          <cell r="B16">
            <v>3.0664821323151039E-3</v>
          </cell>
          <cell r="D16">
            <v>2.2998615992363277E-4</v>
          </cell>
        </row>
        <row r="17">
          <cell r="B17">
            <v>3.2319060348778789E-3</v>
          </cell>
          <cell r="D17">
            <v>2.4239295261584091E-4</v>
          </cell>
        </row>
        <row r="18">
          <cell r="B18">
            <v>3.4042683497747584E-3</v>
          </cell>
          <cell r="D18">
            <v>2.5532012623310688E-4</v>
          </cell>
        </row>
        <row r="19">
          <cell r="B19">
            <v>3.5838302009439317E-3</v>
          </cell>
          <cell r="D19">
            <v>2.6878726507079489E-4</v>
          </cell>
        </row>
        <row r="20">
          <cell r="B20">
            <v>3.7708619606626427E-3</v>
          </cell>
          <cell r="D20">
            <v>2.8281464704969821E-4</v>
          </cell>
        </row>
        <row r="21">
          <cell r="B21">
            <v>3.9656435646046023E-3</v>
          </cell>
          <cell r="D21">
            <v>2.9742326734534514E-4</v>
          </cell>
        </row>
        <row r="22">
          <cell r="B22">
            <v>4.1684648373437059E-3</v>
          </cell>
          <cell r="D22">
            <v>3.1263486280077793E-4</v>
          </cell>
        </row>
        <row r="23">
          <cell r="B23">
            <v>4.3796258286435893E-3</v>
          </cell>
          <cell r="D23">
            <v>3.2847193714826919E-4</v>
          </cell>
        </row>
        <row r="24">
          <cell r="B24">
            <v>4.5994371608834338E-3</v>
          </cell>
          <cell r="D24">
            <v>3.449577870662575E-4</v>
          </cell>
        </row>
        <row r="25">
          <cell r="B25">
            <v>4.826398400000001E-3</v>
          </cell>
          <cell r="D25">
            <v>3.6197988000000007E-4</v>
          </cell>
        </row>
        <row r="32">
          <cell r="B32">
            <v>1.6988193722499999E-2</v>
          </cell>
          <cell r="D32">
            <v>3.9203523975000001E-4</v>
          </cell>
        </row>
        <row r="33">
          <cell r="B33">
            <v>1.7498791309999998E-2</v>
          </cell>
          <cell r="D33">
            <v>4.0381826099999995E-4</v>
          </cell>
        </row>
        <row r="34">
          <cell r="B34">
            <v>1.8029666654999998E-2</v>
          </cell>
          <cell r="D34">
            <v>4.1606923049999992E-4</v>
          </cell>
        </row>
        <row r="35">
          <cell r="B35">
            <v>1.8562642848749995E-2</v>
          </cell>
          <cell r="D35">
            <v>4.2836868112499992E-4</v>
          </cell>
        </row>
        <row r="36">
          <cell r="B36">
            <v>1.9080547736249995E-2</v>
          </cell>
          <cell r="D36">
            <v>4.4032033237499993E-4</v>
          </cell>
        </row>
        <row r="37">
          <cell r="B37">
            <v>1.9622658054999995E-2</v>
          </cell>
          <cell r="D37">
            <v>4.5283057049999993E-4</v>
          </cell>
        </row>
        <row r="38">
          <cell r="B38">
            <v>2.0305086802000005E-2</v>
          </cell>
          <cell r="D38">
            <v>4.6857892620000014E-4</v>
          </cell>
        </row>
        <row r="39">
          <cell r="B39">
            <v>2.0862624657874997E-2</v>
          </cell>
          <cell r="D39">
            <v>4.8144518441249986E-4</v>
          </cell>
        </row>
        <row r="40">
          <cell r="B40">
            <v>2.1420162513749997E-2</v>
          </cell>
          <cell r="D40">
            <v>4.9431144262500001E-4</v>
          </cell>
        </row>
        <row r="41">
          <cell r="B41">
            <v>2.1977700369624997E-2</v>
          </cell>
          <cell r="D41">
            <v>5.0717770083749994E-4</v>
          </cell>
        </row>
        <row r="42">
          <cell r="B42">
            <v>2.2535238225499996E-2</v>
          </cell>
          <cell r="D42">
            <v>5.2004395904999999E-4</v>
          </cell>
        </row>
        <row r="43">
          <cell r="B43">
            <v>2.3092776081374992E-2</v>
          </cell>
          <cell r="D43">
            <v>5.3291021726249981E-4</v>
          </cell>
        </row>
        <row r="44">
          <cell r="B44">
            <v>2.3650313937249996E-2</v>
          </cell>
          <cell r="D44">
            <v>5.4577647547499985E-4</v>
          </cell>
        </row>
        <row r="45">
          <cell r="B45">
            <v>2.4207851793124999E-2</v>
          </cell>
          <cell r="D45">
            <v>5.586427336875E-4</v>
          </cell>
        </row>
        <row r="46">
          <cell r="B46">
            <v>2.4765389649000002E-2</v>
          </cell>
          <cell r="D46">
            <v>5.7150899189999994E-4</v>
          </cell>
        </row>
        <row r="47">
          <cell r="B47">
            <v>2.5322927504874998E-2</v>
          </cell>
          <cell r="D47">
            <v>5.8437525011249987E-4</v>
          </cell>
        </row>
        <row r="48">
          <cell r="B48">
            <v>2.5880465360749994E-2</v>
          </cell>
          <cell r="D48">
            <v>5.9724150832499981E-4</v>
          </cell>
        </row>
        <row r="49">
          <cell r="B49">
            <v>2.6438003216624994E-2</v>
          </cell>
          <cell r="D49">
            <v>6.1010776653749985E-4</v>
          </cell>
        </row>
        <row r="50">
          <cell r="B50">
            <v>2.6995541072499993E-2</v>
          </cell>
          <cell r="D50">
            <v>6.2297402474999989E-4</v>
          </cell>
        </row>
        <row r="51">
          <cell r="B51">
            <v>2.7553078928375004E-2</v>
          </cell>
          <cell r="D51">
            <v>6.3584028296250004E-4</v>
          </cell>
        </row>
        <row r="59">
          <cell r="B59">
            <v>0.1943028475536</v>
          </cell>
          <cell r="D59">
            <v>6.6034063605714304E-3</v>
          </cell>
        </row>
        <row r="60">
          <cell r="B60">
            <v>0.20014281893760003</v>
          </cell>
          <cell r="D60">
            <v>6.5568254400000013E-3</v>
          </cell>
        </row>
        <row r="61">
          <cell r="B61">
            <v>0.20621471762879998</v>
          </cell>
          <cell r="D61">
            <v>6.6602094994285726E-3</v>
          </cell>
        </row>
        <row r="62">
          <cell r="B62">
            <v>0.2123106448248</v>
          </cell>
          <cell r="D62">
            <v>7.0093161065714294E-3</v>
          </cell>
        </row>
        <row r="63">
          <cell r="B63">
            <v>0.21823419361680002</v>
          </cell>
          <cell r="D63">
            <v>7.2048787265714303E-3</v>
          </cell>
        </row>
        <row r="64">
          <cell r="B64">
            <v>0.22443459257279999</v>
          </cell>
          <cell r="D64">
            <v>7.4095813984761914E-3</v>
          </cell>
        </row>
        <row r="65">
          <cell r="B65">
            <v>0.23223988670592002</v>
          </cell>
          <cell r="D65">
            <v>7.6672687788190497E-3</v>
          </cell>
        </row>
        <row r="66">
          <cell r="B66">
            <v>0.23861673846456002</v>
          </cell>
          <cell r="D66">
            <v>7.8777969404095222E-3</v>
          </cell>
        </row>
        <row r="67">
          <cell r="B67">
            <v>0.2449935902232</v>
          </cell>
          <cell r="D67">
            <v>8.0883251020000008E-3</v>
          </cell>
        </row>
        <row r="68">
          <cell r="B68">
            <v>0.25137044198184</v>
          </cell>
          <cell r="D68">
            <v>8.298853263590476E-3</v>
          </cell>
        </row>
        <row r="69">
          <cell r="B69">
            <v>0.25774729374048</v>
          </cell>
          <cell r="D69">
            <v>8.5093814251809528E-3</v>
          </cell>
        </row>
        <row r="70">
          <cell r="B70">
            <v>0.26412414549912</v>
          </cell>
          <cell r="D70">
            <v>8.719909586771428E-3</v>
          </cell>
        </row>
        <row r="71">
          <cell r="B71">
            <v>0.27050099725775995</v>
          </cell>
          <cell r="D71">
            <v>8.9304377483619031E-3</v>
          </cell>
        </row>
        <row r="72">
          <cell r="B72">
            <v>0.2768778490164</v>
          </cell>
          <cell r="D72">
            <v>9.1409659099523817E-3</v>
          </cell>
        </row>
        <row r="73">
          <cell r="B73">
            <v>0.28200103965504003</v>
          </cell>
          <cell r="D73">
            <v>9.3101051572571456E-3</v>
          </cell>
        </row>
        <row r="74">
          <cell r="B74">
            <v>0.28837789141368003</v>
          </cell>
          <cell r="D74">
            <v>9.520633318847619E-3</v>
          </cell>
        </row>
        <row r="75">
          <cell r="B75">
            <v>0.29475474317231998</v>
          </cell>
          <cell r="D75">
            <v>9.7311614804380959E-3</v>
          </cell>
        </row>
        <row r="76">
          <cell r="B76">
            <v>0.30113159493095992</v>
          </cell>
          <cell r="D76">
            <v>9.9416896420285727E-3</v>
          </cell>
        </row>
        <row r="77">
          <cell r="B77">
            <v>0.30750844668959998</v>
          </cell>
          <cell r="D77">
            <v>1.0152217803619048E-2</v>
          </cell>
        </row>
        <row r="78">
          <cell r="B78">
            <v>0.31388529844823998</v>
          </cell>
          <cell r="D78">
            <v>1.0362745965209525E-2</v>
          </cell>
        </row>
      </sheetData>
      <sheetData sheetId="4"/>
      <sheetData sheetId="5">
        <row r="14">
          <cell r="M14">
            <v>0.46663608269131296</v>
          </cell>
        </row>
        <row r="15">
          <cell r="M15">
            <v>0.4807928085473801</v>
          </cell>
        </row>
        <row r="16">
          <cell r="M16">
            <v>0.49500555723460493</v>
          </cell>
        </row>
        <row r="17">
          <cell r="M17">
            <v>0.50881640300265396</v>
          </cell>
        </row>
        <row r="18">
          <cell r="M18">
            <v>0.52327272921665224</v>
          </cell>
        </row>
        <row r="19">
          <cell r="M19">
            <v>0.5414708933969431</v>
          </cell>
        </row>
        <row r="20">
          <cell r="M20">
            <v>0.55633862205366136</v>
          </cell>
        </row>
        <row r="21">
          <cell r="M21">
            <v>0.57120635071037984</v>
          </cell>
        </row>
        <row r="22">
          <cell r="M22">
            <v>0.58607407936709832</v>
          </cell>
        </row>
        <row r="23">
          <cell r="M23">
            <v>0.60094180802381714</v>
          </cell>
        </row>
        <row r="24">
          <cell r="M24">
            <v>0.61580953668053529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1655706</v>
          </cell>
        </row>
        <row r="13">
          <cell r="G13">
            <v>3695172</v>
          </cell>
        </row>
        <row r="14">
          <cell r="G14">
            <v>4598922</v>
          </cell>
        </row>
        <row r="15">
          <cell r="G15">
            <v>5517132</v>
          </cell>
        </row>
        <row r="16">
          <cell r="G16">
            <v>7523346</v>
          </cell>
        </row>
        <row r="17">
          <cell r="G17">
            <v>7326858</v>
          </cell>
        </row>
        <row r="18">
          <cell r="G18">
            <v>10115021.433</v>
          </cell>
        </row>
        <row r="19">
          <cell r="G19">
            <v>11480218.752</v>
          </cell>
        </row>
        <row r="20">
          <cell r="G20">
            <v>12892218.956999999</v>
          </cell>
        </row>
        <row r="21">
          <cell r="G21">
            <v>14351022.048</v>
          </cell>
        </row>
        <row r="22">
          <cell r="G22">
            <v>16429430.359999999</v>
          </cell>
        </row>
        <row r="23">
          <cell r="G23">
            <v>18576500.352000002</v>
          </cell>
        </row>
        <row r="24">
          <cell r="G24">
            <v>20792232.024</v>
          </cell>
        </row>
        <row r="25">
          <cell r="G25">
            <v>23076625.376000002</v>
          </cell>
        </row>
        <row r="26">
          <cell r="G26">
            <v>25429680.408000004</v>
          </cell>
        </row>
        <row r="27">
          <cell r="G27">
            <v>27851397.120000001</v>
          </cell>
        </row>
        <row r="28">
          <cell r="G28">
            <v>30341775.512000002</v>
          </cell>
        </row>
        <row r="29">
          <cell r="G29">
            <v>32900815.583999999</v>
          </cell>
        </row>
        <row r="30">
          <cell r="G30">
            <v>35528517.336000003</v>
          </cell>
        </row>
        <row r="31">
          <cell r="G31">
            <v>36116647.008000009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6" zoomScale="85" zoomScaleNormal="85" workbookViewId="0">
      <selection activeCell="B5" sqref="B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82" t="s">
        <v>11</v>
      </c>
      <c r="B3" s="182" t="s">
        <v>125</v>
      </c>
      <c r="C3" s="78" t="s">
        <v>12</v>
      </c>
      <c r="D3" s="181" t="s">
        <v>12</v>
      </c>
      <c r="E3" s="181"/>
      <c r="G3" s="81" t="s">
        <v>16</v>
      </c>
      <c r="H3" s="81"/>
      <c r="I3" s="81"/>
    </row>
    <row r="4" spans="1:14" x14ac:dyDescent="0.25">
      <c r="A4" s="183"/>
      <c r="B4" s="183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8">
        <v>2011</v>
      </c>
      <c r="B5" s="89">
        <f>[1]Sheet3!G14</f>
        <v>185986</v>
      </c>
      <c r="C5" s="165">
        <v>0.2</v>
      </c>
      <c r="D5" s="150">
        <f t="shared" ref="D5:D24" si="0">C5*B5</f>
        <v>37197.200000000004</v>
      </c>
      <c r="E5" s="150">
        <f>D5/1000</f>
        <v>37.197200000000002</v>
      </c>
    </row>
    <row r="6" spans="1:14" x14ac:dyDescent="0.25">
      <c r="A6" s="88">
        <v>2012</v>
      </c>
      <c r="B6" s="89">
        <f>[1]Sheet3!G15</f>
        <v>191576</v>
      </c>
      <c r="C6" s="165">
        <v>0.2</v>
      </c>
      <c r="D6" s="150">
        <f t="shared" si="0"/>
        <v>38315.200000000004</v>
      </c>
      <c r="E6" s="150">
        <f t="shared" ref="E6:E24" si="1">D6/1000</f>
        <v>38.315200000000004</v>
      </c>
      <c r="G6" s="82" t="s">
        <v>37</v>
      </c>
      <c r="H6" s="82"/>
      <c r="I6" s="82"/>
      <c r="J6" s="83">
        <v>2</v>
      </c>
      <c r="K6" s="84" t="s">
        <v>33</v>
      </c>
      <c r="L6" s="83">
        <v>3</v>
      </c>
      <c r="M6" s="82" t="s">
        <v>38</v>
      </c>
      <c r="N6" s="82"/>
    </row>
    <row r="7" spans="1:14" x14ac:dyDescent="0.25">
      <c r="A7" s="88">
        <v>2013</v>
      </c>
      <c r="B7" s="89">
        <f>[1]Sheet3!G16</f>
        <v>197388</v>
      </c>
      <c r="C7" s="165">
        <v>0.2</v>
      </c>
      <c r="D7" s="150">
        <f t="shared" si="0"/>
        <v>39477.600000000006</v>
      </c>
      <c r="E7" s="150">
        <f t="shared" si="1"/>
        <v>39.477600000000002</v>
      </c>
      <c r="G7" s="82"/>
      <c r="H7" s="82"/>
      <c r="I7" s="82"/>
      <c r="J7" s="83">
        <f>(2*250)/1000</f>
        <v>0.5</v>
      </c>
      <c r="K7" s="84" t="s">
        <v>33</v>
      </c>
      <c r="L7" s="83">
        <f>(3*250)/1000</f>
        <v>0.75</v>
      </c>
      <c r="M7" s="82" t="s">
        <v>13</v>
      </c>
      <c r="N7" s="82"/>
    </row>
    <row r="8" spans="1:14" x14ac:dyDescent="0.25">
      <c r="A8" s="88">
        <v>2014</v>
      </c>
      <c r="B8" s="89">
        <f>[1]Sheet3!G17</f>
        <v>203223</v>
      </c>
      <c r="C8" s="165">
        <v>0.2</v>
      </c>
      <c r="D8" s="150">
        <f t="shared" si="0"/>
        <v>40644.600000000006</v>
      </c>
      <c r="E8" s="150">
        <f t="shared" si="1"/>
        <v>40.644600000000004</v>
      </c>
      <c r="G8" s="82"/>
      <c r="H8" s="82"/>
      <c r="I8" s="82"/>
      <c r="J8" s="85">
        <f>J7*(365/1000)</f>
        <v>0.1825</v>
      </c>
      <c r="K8" s="86" t="s">
        <v>33</v>
      </c>
      <c r="L8" s="85">
        <f>L7*(365/1000)</f>
        <v>0.27374999999999999</v>
      </c>
      <c r="M8" s="82" t="s">
        <v>39</v>
      </c>
      <c r="N8" s="82"/>
    </row>
    <row r="9" spans="1:14" x14ac:dyDescent="0.25">
      <c r="A9" s="88">
        <v>2015</v>
      </c>
      <c r="B9" s="89">
        <f>[1]Sheet3!G18</f>
        <v>208893</v>
      </c>
      <c r="C9" s="165">
        <v>0.2</v>
      </c>
      <c r="D9" s="150">
        <f t="shared" si="0"/>
        <v>41778.600000000006</v>
      </c>
      <c r="E9" s="150">
        <f t="shared" si="1"/>
        <v>41.778600000000004</v>
      </c>
    </row>
    <row r="10" spans="1:14" x14ac:dyDescent="0.25">
      <c r="A10" s="88">
        <v>2016</v>
      </c>
      <c r="B10" s="89">
        <f>[1]Sheet3!G19</f>
        <v>214828</v>
      </c>
      <c r="C10" s="165">
        <v>0.2</v>
      </c>
      <c r="D10" s="150">
        <f t="shared" si="0"/>
        <v>42965.600000000006</v>
      </c>
      <c r="E10" s="150">
        <f t="shared" si="1"/>
        <v>42.965600000000009</v>
      </c>
      <c r="G10" s="87" t="s">
        <v>34</v>
      </c>
      <c r="H10" s="87"/>
      <c r="I10" s="87" t="s">
        <v>35</v>
      </c>
      <c r="J10" s="87"/>
      <c r="K10" s="87"/>
    </row>
    <row r="11" spans="1:14" x14ac:dyDescent="0.25">
      <c r="A11" s="88">
        <v>2017</v>
      </c>
      <c r="B11" s="89">
        <f>[1]Sheet3!G20</f>
        <v>222299.2</v>
      </c>
      <c r="C11" s="165">
        <v>0.2</v>
      </c>
      <c r="D11" s="150">
        <f t="shared" si="0"/>
        <v>44459.840000000004</v>
      </c>
      <c r="E11" s="150">
        <f t="shared" si="1"/>
        <v>44.459840000000007</v>
      </c>
      <c r="G11" s="87"/>
      <c r="H11" s="87"/>
      <c r="I11" s="87" t="s">
        <v>36</v>
      </c>
      <c r="J11" s="87"/>
      <c r="K11" s="87"/>
    </row>
    <row r="12" spans="1:14" x14ac:dyDescent="0.25">
      <c r="A12" s="88">
        <v>2018</v>
      </c>
      <c r="B12" s="89">
        <f>[1]Sheet3!G21</f>
        <v>228403.09999999998</v>
      </c>
      <c r="C12" s="165">
        <v>0.2</v>
      </c>
      <c r="D12" s="150">
        <f t="shared" si="0"/>
        <v>45680.619999999995</v>
      </c>
      <c r="E12" s="150">
        <f t="shared" si="1"/>
        <v>45.680619999999998</v>
      </c>
    </row>
    <row r="13" spans="1:14" x14ac:dyDescent="0.25">
      <c r="A13" s="88">
        <v>2019</v>
      </c>
      <c r="B13" s="89">
        <f>[1]Sheet3!G22</f>
        <v>234507</v>
      </c>
      <c r="C13" s="165">
        <v>0.2</v>
      </c>
      <c r="D13" s="150">
        <f t="shared" si="0"/>
        <v>46901.4</v>
      </c>
      <c r="E13" s="150">
        <f t="shared" si="1"/>
        <v>46.901400000000002</v>
      </c>
    </row>
    <row r="14" spans="1:14" x14ac:dyDescent="0.25">
      <c r="A14" s="88">
        <v>2020</v>
      </c>
      <c r="B14" s="89">
        <f>[1]Sheet3!G23</f>
        <v>240610.9</v>
      </c>
      <c r="C14" s="165">
        <v>0.2</v>
      </c>
      <c r="D14" s="150">
        <f t="shared" si="0"/>
        <v>48122.18</v>
      </c>
      <c r="E14" s="150">
        <f t="shared" si="1"/>
        <v>48.12218</v>
      </c>
    </row>
    <row r="15" spans="1:14" x14ac:dyDescent="0.25">
      <c r="A15" s="88">
        <v>2021</v>
      </c>
      <c r="B15" s="89">
        <f>[1]Sheet3!G24</f>
        <v>246714.8</v>
      </c>
      <c r="C15" s="165">
        <v>0.2</v>
      </c>
      <c r="D15" s="150">
        <f t="shared" si="0"/>
        <v>49342.96</v>
      </c>
      <c r="E15" s="150">
        <f t="shared" si="1"/>
        <v>49.342959999999998</v>
      </c>
    </row>
    <row r="16" spans="1:14" x14ac:dyDescent="0.25">
      <c r="A16" s="88">
        <v>2022</v>
      </c>
      <c r="B16" s="89">
        <f>[1]Sheet3!G25</f>
        <v>252818.69999999998</v>
      </c>
      <c r="C16" s="165">
        <v>0.2</v>
      </c>
      <c r="D16" s="150">
        <f t="shared" si="0"/>
        <v>50563.74</v>
      </c>
      <c r="E16" s="150">
        <f t="shared" si="1"/>
        <v>50.563739999999996</v>
      </c>
    </row>
    <row r="17" spans="1:10" x14ac:dyDescent="0.25">
      <c r="A17" s="88">
        <v>2023</v>
      </c>
      <c r="B17" s="89">
        <f>[1]Sheet3!G26</f>
        <v>258922.59999999998</v>
      </c>
      <c r="C17" s="165">
        <v>0.2</v>
      </c>
      <c r="D17" s="150">
        <f t="shared" si="0"/>
        <v>51784.52</v>
      </c>
      <c r="E17" s="150">
        <f t="shared" si="1"/>
        <v>51.784519999999993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[1]Sheet3!G27</f>
        <v>265026.5</v>
      </c>
      <c r="C18" s="165">
        <v>0.2</v>
      </c>
      <c r="D18" s="150">
        <f t="shared" si="0"/>
        <v>53005.3</v>
      </c>
      <c r="E18" s="150">
        <f t="shared" si="1"/>
        <v>53.005300000000005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[1]Sheet3!G28</f>
        <v>271130.40000000002</v>
      </c>
      <c r="C19" s="165">
        <v>0.2</v>
      </c>
      <c r="D19" s="150">
        <f t="shared" si="0"/>
        <v>54226.080000000009</v>
      </c>
      <c r="E19" s="150">
        <f t="shared" si="1"/>
        <v>54.22608000000001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[1]Sheet3!G29</f>
        <v>277234.3</v>
      </c>
      <c r="C20" s="165">
        <v>0.2</v>
      </c>
      <c r="D20" s="150">
        <f t="shared" si="0"/>
        <v>55446.86</v>
      </c>
      <c r="E20" s="150">
        <f t="shared" si="1"/>
        <v>55.446860000000001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[1]Sheet3!G30</f>
        <v>283338.19999999995</v>
      </c>
      <c r="C21" s="165">
        <v>0.2</v>
      </c>
      <c r="D21" s="150">
        <f t="shared" si="0"/>
        <v>56667.639999999992</v>
      </c>
      <c r="E21" s="150">
        <f t="shared" si="1"/>
        <v>56.667639999999992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[1]Sheet3!G31</f>
        <v>289442.09999999998</v>
      </c>
      <c r="C22" s="165">
        <v>0.2</v>
      </c>
      <c r="D22" s="150">
        <f t="shared" si="0"/>
        <v>57888.42</v>
      </c>
      <c r="E22" s="150">
        <f t="shared" si="1"/>
        <v>57.888419999999996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[1]Sheet3!G32</f>
        <v>295546</v>
      </c>
      <c r="C23" s="165">
        <v>0.2</v>
      </c>
      <c r="D23" s="150">
        <f t="shared" si="0"/>
        <v>59109.200000000004</v>
      </c>
      <c r="E23" s="150">
        <f t="shared" si="1"/>
        <v>59.109200000000001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[1]Sheet3!G33</f>
        <v>301649.90000000002</v>
      </c>
      <c r="C24" s="165">
        <v>0.2</v>
      </c>
      <c r="D24" s="150">
        <f t="shared" si="0"/>
        <v>60329.98000000001</v>
      </c>
      <c r="E24" s="150">
        <f t="shared" si="1"/>
        <v>60.329980000000013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9" zoomScale="85" zoomScaleNormal="85" workbookViewId="0">
      <selection activeCell="B72" sqref="B72"/>
    </sheetView>
  </sheetViews>
  <sheetFormatPr defaultRowHeight="12.75" x14ac:dyDescent="0.25"/>
  <cols>
    <col min="1" max="1" width="9.140625" style="144"/>
    <col min="2" max="2" width="15.5703125" style="144" customWidth="1"/>
    <col min="3" max="3" width="11" style="144" customWidth="1"/>
    <col min="4" max="6" width="9.140625" style="144"/>
    <col min="7" max="7" width="12.28515625" style="144" customWidth="1"/>
    <col min="8" max="8" width="9.140625" style="144"/>
    <col min="9" max="9" width="16.85546875" style="144" customWidth="1"/>
    <col min="10" max="11" width="9.140625" style="144"/>
    <col min="12" max="12" width="9" style="151" bestFit="1" customWidth="1"/>
    <col min="13" max="13" width="12" style="151" bestFit="1" customWidth="1"/>
    <col min="14" max="14" width="2.42578125" style="151" customWidth="1"/>
    <col min="15" max="15" width="7.140625" style="151" customWidth="1"/>
    <col min="16" max="19" width="9.140625" style="151"/>
    <col min="20" max="20" width="1.42578125" style="151" customWidth="1"/>
    <col min="21" max="21" width="7.140625" style="151" customWidth="1"/>
    <col min="22" max="22" width="50.28515625" style="151" customWidth="1"/>
    <col min="23" max="25" width="9.140625" style="151"/>
    <col min="26" max="16384" width="9.140625" style="144"/>
  </cols>
  <sheetData>
    <row r="2" spans="1:21" x14ac:dyDescent="0.25">
      <c r="A2" s="184" t="s">
        <v>9</v>
      </c>
      <c r="B2" s="184"/>
      <c r="C2" s="184"/>
      <c r="D2" s="184"/>
      <c r="E2" s="184"/>
      <c r="F2" s="184"/>
      <c r="G2" s="184"/>
      <c r="H2" s="184"/>
      <c r="I2" s="184"/>
    </row>
    <row r="3" spans="1:21" x14ac:dyDescent="0.25">
      <c r="A3" s="152" t="s">
        <v>124</v>
      </c>
    </row>
    <row r="4" spans="1:21" x14ac:dyDescent="0.25">
      <c r="A4" s="185" t="s">
        <v>8</v>
      </c>
      <c r="B4" s="185" t="s">
        <v>0</v>
      </c>
      <c r="C4" s="185"/>
      <c r="D4" s="185"/>
      <c r="E4" s="185"/>
      <c r="F4" s="185"/>
      <c r="G4" s="185"/>
      <c r="H4" s="185"/>
      <c r="I4" s="189" t="s">
        <v>10</v>
      </c>
    </row>
    <row r="5" spans="1:21" ht="25.5" x14ac:dyDescent="0.25">
      <c r="A5" s="185"/>
      <c r="B5" s="149" t="s">
        <v>1</v>
      </c>
      <c r="C5" s="149" t="s">
        <v>2</v>
      </c>
      <c r="D5" s="149" t="s">
        <v>149</v>
      </c>
      <c r="E5" s="149" t="s">
        <v>4</v>
      </c>
      <c r="F5" s="176" t="s">
        <v>153</v>
      </c>
      <c r="G5" s="149" t="s">
        <v>128</v>
      </c>
      <c r="H5" s="149" t="s">
        <v>7</v>
      </c>
      <c r="I5" s="190"/>
      <c r="P5" s="153"/>
    </row>
    <row r="6" spans="1:21" ht="17.25" customHeight="1" x14ac:dyDescent="0.25">
      <c r="A6" s="154">
        <v>2011</v>
      </c>
      <c r="B6" s="175">
        <v>0.31609999999999999</v>
      </c>
      <c r="C6" s="175">
        <f>4%+9.35%+8.46%+6.21%</f>
        <v>0.2802</v>
      </c>
      <c r="D6" s="175">
        <v>1.35E-2</v>
      </c>
      <c r="E6" s="175">
        <v>0.39019999999999999</v>
      </c>
      <c r="F6" s="168">
        <v>0</v>
      </c>
      <c r="G6" s="168"/>
      <c r="H6" s="168"/>
      <c r="I6" s="155">
        <f>SUM(B6:H6)</f>
        <v>1</v>
      </c>
      <c r="L6" s="91"/>
    </row>
    <row r="7" spans="1:21" x14ac:dyDescent="0.25">
      <c r="A7" s="154">
        <v>2012</v>
      </c>
      <c r="B7" s="175">
        <v>0.31609999999999999</v>
      </c>
      <c r="C7" s="175">
        <f t="shared" ref="C7:C11" si="0">4%+9.35%+8.46%+6.21%</f>
        <v>0.2802</v>
      </c>
      <c r="D7" s="175">
        <v>1.35E-2</v>
      </c>
      <c r="E7" s="175">
        <v>0.39019999999999999</v>
      </c>
      <c r="F7" s="168">
        <v>0</v>
      </c>
      <c r="G7" s="168"/>
      <c r="H7" s="168"/>
      <c r="I7" s="155">
        <f t="shared" ref="I7:I25" si="1">SUM(B7:H7)</f>
        <v>1</v>
      </c>
      <c r="L7" s="151">
        <v>2000</v>
      </c>
      <c r="M7" s="151">
        <f>M8-(M8*0.024)</f>
        <v>0</v>
      </c>
      <c r="N7" s="92"/>
      <c r="O7" s="93"/>
      <c r="P7" s="153"/>
      <c r="S7" s="156"/>
      <c r="T7" s="157"/>
      <c r="U7" s="156"/>
    </row>
    <row r="8" spans="1:21" x14ac:dyDescent="0.25">
      <c r="A8" s="154">
        <v>2013</v>
      </c>
      <c r="B8" s="175">
        <v>0.31609999999999999</v>
      </c>
      <c r="C8" s="175">
        <f t="shared" si="0"/>
        <v>0.2802</v>
      </c>
      <c r="D8" s="175">
        <v>1.35E-2</v>
      </c>
      <c r="E8" s="175">
        <v>0.39019999999999999</v>
      </c>
      <c r="F8" s="168">
        <v>0</v>
      </c>
      <c r="G8" s="168"/>
      <c r="H8" s="168"/>
      <c r="I8" s="155">
        <f t="shared" si="1"/>
        <v>1</v>
      </c>
      <c r="L8" s="151">
        <v>2001</v>
      </c>
      <c r="M8" s="151">
        <f t="shared" ref="M8:M10" si="2">M9-(M9*0.024)</f>
        <v>0</v>
      </c>
      <c r="N8" s="93"/>
      <c r="O8" s="93"/>
      <c r="P8" s="153"/>
      <c r="S8" s="158"/>
      <c r="T8" s="158"/>
      <c r="U8" s="158"/>
    </row>
    <row r="9" spans="1:21" x14ac:dyDescent="0.25">
      <c r="A9" s="154">
        <v>2014</v>
      </c>
      <c r="B9" s="175">
        <v>0.31609999999999999</v>
      </c>
      <c r="C9" s="175">
        <f t="shared" si="0"/>
        <v>0.2802</v>
      </c>
      <c r="D9" s="175">
        <v>1.35E-2</v>
      </c>
      <c r="E9" s="175">
        <v>0.39019999999999999</v>
      </c>
      <c r="F9" s="168">
        <v>0</v>
      </c>
      <c r="G9" s="168"/>
      <c r="H9" s="168"/>
      <c r="I9" s="155">
        <f t="shared" si="1"/>
        <v>1</v>
      </c>
      <c r="L9" s="151">
        <v>2002</v>
      </c>
      <c r="M9" s="151">
        <f t="shared" si="2"/>
        <v>0</v>
      </c>
      <c r="N9" s="93"/>
      <c r="O9" s="93"/>
      <c r="P9" s="153"/>
    </row>
    <row r="10" spans="1:21" x14ac:dyDescent="0.25">
      <c r="A10" s="154">
        <v>2015</v>
      </c>
      <c r="B10" s="175">
        <v>0.31609999999999999</v>
      </c>
      <c r="C10" s="175">
        <f t="shared" si="0"/>
        <v>0.2802</v>
      </c>
      <c r="D10" s="175">
        <v>1.35E-2</v>
      </c>
      <c r="E10" s="175">
        <v>0.39019999999999999</v>
      </c>
      <c r="F10" s="168">
        <v>0</v>
      </c>
      <c r="G10" s="168"/>
      <c r="H10" s="168"/>
      <c r="I10" s="155">
        <f t="shared" si="1"/>
        <v>1</v>
      </c>
      <c r="L10" s="151">
        <v>2003</v>
      </c>
      <c r="M10" s="151">
        <f t="shared" si="2"/>
        <v>0</v>
      </c>
      <c r="N10" s="92"/>
      <c r="O10" s="93"/>
      <c r="P10" s="153"/>
    </row>
    <row r="11" spans="1:21" x14ac:dyDescent="0.25">
      <c r="A11" s="154">
        <v>2016</v>
      </c>
      <c r="B11" s="175">
        <v>0.31609999999999999</v>
      </c>
      <c r="C11" s="175">
        <f t="shared" si="0"/>
        <v>0.2802</v>
      </c>
      <c r="D11" s="175">
        <v>1.35E-2</v>
      </c>
      <c r="E11" s="175">
        <v>0.39019999999999999</v>
      </c>
      <c r="F11" s="168">
        <v>0</v>
      </c>
      <c r="G11" s="168"/>
      <c r="H11" s="168"/>
      <c r="I11" s="155">
        <f t="shared" si="1"/>
        <v>1</v>
      </c>
      <c r="L11" s="151">
        <v>2004</v>
      </c>
      <c r="M11" s="151">
        <f>M12-(M12*0.024)</f>
        <v>0</v>
      </c>
    </row>
    <row r="12" spans="1:21" x14ac:dyDescent="0.25">
      <c r="A12" s="154">
        <v>2017</v>
      </c>
      <c r="B12" s="175">
        <f>B11*1.0255</f>
        <v>0.32416054999999999</v>
      </c>
      <c r="C12" s="175">
        <f>C11*(1-0.0238)</f>
        <v>0.27353124000000001</v>
      </c>
      <c r="D12" s="175">
        <f t="shared" ref="D12:D24" si="3">D11*1.0285</f>
        <v>1.388475E-2</v>
      </c>
      <c r="E12" s="175">
        <f>E11*(1-0.0119)</f>
        <v>0.38555661999999996</v>
      </c>
      <c r="F12" s="168">
        <v>0.02</v>
      </c>
      <c r="G12" s="168"/>
      <c r="H12" s="168"/>
      <c r="I12" s="155">
        <f t="shared" si="1"/>
        <v>1.01713316</v>
      </c>
      <c r="L12" s="151">
        <v>2005</v>
      </c>
      <c r="M12" s="151">
        <f>M13-(M13*O29)</f>
        <v>0</v>
      </c>
    </row>
    <row r="13" spans="1:21" x14ac:dyDescent="0.25">
      <c r="A13" s="154">
        <v>2018</v>
      </c>
      <c r="B13" s="175">
        <f t="shared" ref="B13:B24" si="4">B12*1.0255</f>
        <v>0.332426644025</v>
      </c>
      <c r="C13" s="175">
        <f t="shared" ref="C13:C24" si="5">C12*(1-0.0238)</f>
        <v>0.26702119648799999</v>
      </c>
      <c r="D13" s="175">
        <f t="shared" si="3"/>
        <v>1.4280465374999999E-2</v>
      </c>
      <c r="E13" s="175">
        <f t="shared" ref="E13:E24" si="6">E12*(1-0.0119)</f>
        <v>0.38096849622199996</v>
      </c>
      <c r="F13" s="168">
        <f>F12*1.073</f>
        <v>2.146E-2</v>
      </c>
      <c r="G13" s="168"/>
      <c r="H13" s="168"/>
      <c r="I13" s="155">
        <f t="shared" si="1"/>
        <v>1.01615680211</v>
      </c>
      <c r="L13" s="151">
        <v>2006</v>
      </c>
      <c r="M13" s="151">
        <f>M14-(M14*O29)</f>
        <v>0</v>
      </c>
    </row>
    <row r="14" spans="1:21" x14ac:dyDescent="0.25">
      <c r="A14" s="154">
        <v>2019</v>
      </c>
      <c r="B14" s="175">
        <f t="shared" si="4"/>
        <v>0.34090352344763752</v>
      </c>
      <c r="C14" s="175">
        <f t="shared" si="5"/>
        <v>0.26066609201158558</v>
      </c>
      <c r="D14" s="175">
        <f t="shared" si="3"/>
        <v>1.4687458638187498E-2</v>
      </c>
      <c r="E14" s="175">
        <f t="shared" si="6"/>
        <v>0.37643497111695817</v>
      </c>
      <c r="F14" s="168">
        <f t="shared" ref="F14:F24" si="7">F13*1.073</f>
        <v>2.3026579999999998E-2</v>
      </c>
      <c r="G14" s="168"/>
      <c r="H14" s="168"/>
      <c r="I14" s="155">
        <f t="shared" si="1"/>
        <v>1.0157186252143688</v>
      </c>
      <c r="L14" s="151">
        <v>2007</v>
      </c>
      <c r="M14" s="151">
        <f>M15-(M15*O29)</f>
        <v>0</v>
      </c>
      <c r="P14" s="153"/>
    </row>
    <row r="15" spans="1:21" x14ac:dyDescent="0.25">
      <c r="A15" s="154">
        <v>2020</v>
      </c>
      <c r="B15" s="175">
        <f t="shared" si="4"/>
        <v>0.34959656329555233</v>
      </c>
      <c r="C15" s="175">
        <f t="shared" si="5"/>
        <v>0.25446223902170984</v>
      </c>
      <c r="D15" s="175">
        <f t="shared" si="3"/>
        <v>1.5106051209375842E-2</v>
      </c>
      <c r="E15" s="175">
        <f t="shared" si="6"/>
        <v>0.37195539496066637</v>
      </c>
      <c r="F15" s="168">
        <f t="shared" si="7"/>
        <v>2.4707520339999997E-2</v>
      </c>
      <c r="G15" s="168"/>
      <c r="H15" s="168"/>
      <c r="I15" s="155">
        <f t="shared" si="1"/>
        <v>1.0158277688273043</v>
      </c>
      <c r="L15" s="151">
        <v>2008</v>
      </c>
      <c r="M15" s="151">
        <f>M27-(M27*O29)</f>
        <v>0</v>
      </c>
      <c r="S15" s="156"/>
    </row>
    <row r="16" spans="1:21" x14ac:dyDescent="0.25">
      <c r="A16" s="154">
        <v>2021</v>
      </c>
      <c r="B16" s="175">
        <f t="shared" si="4"/>
        <v>0.35851127565958896</v>
      </c>
      <c r="C16" s="175">
        <f t="shared" si="5"/>
        <v>0.24840603773299313</v>
      </c>
      <c r="D16" s="175">
        <f t="shared" si="3"/>
        <v>1.5536573668843054E-2</v>
      </c>
      <c r="E16" s="175">
        <f t="shared" si="6"/>
        <v>0.36752912576063446</v>
      </c>
      <c r="F16" s="168">
        <f t="shared" si="7"/>
        <v>2.6511169324819995E-2</v>
      </c>
      <c r="G16" s="168"/>
      <c r="H16" s="168"/>
      <c r="I16" s="155">
        <f t="shared" si="1"/>
        <v>1.0164941821468796</v>
      </c>
      <c r="S16" s="156"/>
    </row>
    <row r="17" spans="1:19" x14ac:dyDescent="0.25">
      <c r="A17" s="154">
        <v>2022</v>
      </c>
      <c r="B17" s="175">
        <f t="shared" si="4"/>
        <v>0.36765331318890848</v>
      </c>
      <c r="C17" s="175">
        <f t="shared" si="5"/>
        <v>0.24249397403494788</v>
      </c>
      <c r="D17" s="175">
        <f t="shared" si="3"/>
        <v>1.5979366018405081E-2</v>
      </c>
      <c r="E17" s="175">
        <f t="shared" si="6"/>
        <v>0.36315552916408289</v>
      </c>
      <c r="F17" s="168">
        <f t="shared" si="7"/>
        <v>2.8446484685531855E-2</v>
      </c>
      <c r="G17" s="168"/>
      <c r="H17" s="168"/>
      <c r="I17" s="155">
        <f t="shared" si="1"/>
        <v>1.0177286670918761</v>
      </c>
      <c r="S17" s="156"/>
    </row>
    <row r="18" spans="1:19" x14ac:dyDescent="0.25">
      <c r="A18" s="154">
        <v>2023</v>
      </c>
      <c r="B18" s="175">
        <f t="shared" si="4"/>
        <v>0.37702847267522566</v>
      </c>
      <c r="C18" s="175">
        <f t="shared" si="5"/>
        <v>0.23672261745291612</v>
      </c>
      <c r="D18" s="175">
        <f t="shared" si="3"/>
        <v>1.6434777949929626E-2</v>
      </c>
      <c r="E18" s="175">
        <f t="shared" si="6"/>
        <v>0.35883397836703029</v>
      </c>
      <c r="F18" s="168">
        <f t="shared" si="7"/>
        <v>3.052307806757568E-2</v>
      </c>
      <c r="G18" s="168"/>
      <c r="H18" s="168"/>
      <c r="I18" s="155">
        <f t="shared" si="1"/>
        <v>1.0195429245126773</v>
      </c>
      <c r="S18" s="156"/>
    </row>
    <row r="19" spans="1:19" x14ac:dyDescent="0.25">
      <c r="A19" s="154">
        <v>2024</v>
      </c>
      <c r="B19" s="175">
        <f t="shared" si="4"/>
        <v>0.38664269872844392</v>
      </c>
      <c r="C19" s="175">
        <f t="shared" si="5"/>
        <v>0.2310886191575367</v>
      </c>
      <c r="D19" s="175">
        <f t="shared" si="3"/>
        <v>1.690316912150262E-2</v>
      </c>
      <c r="E19" s="175">
        <f t="shared" si="6"/>
        <v>0.35456385402446261</v>
      </c>
      <c r="F19" s="168">
        <f t="shared" si="7"/>
        <v>3.27512627665087E-2</v>
      </c>
      <c r="G19" s="168"/>
      <c r="H19" s="168"/>
      <c r="I19" s="155">
        <f t="shared" si="1"/>
        <v>1.0219496037984546</v>
      </c>
      <c r="S19" s="156"/>
    </row>
    <row r="20" spans="1:19" x14ac:dyDescent="0.25">
      <c r="A20" s="154">
        <v>2025</v>
      </c>
      <c r="B20" s="175">
        <f t="shared" si="4"/>
        <v>0.39650208754601929</v>
      </c>
      <c r="C20" s="175">
        <f t="shared" si="5"/>
        <v>0.22558871002158731</v>
      </c>
      <c r="D20" s="175">
        <f t="shared" si="3"/>
        <v>1.7384909441465445E-2</v>
      </c>
      <c r="E20" s="175">
        <f t="shared" si="6"/>
        <v>0.35034454416157151</v>
      </c>
      <c r="F20" s="168">
        <f t="shared" si="7"/>
        <v>3.5142104948463836E-2</v>
      </c>
      <c r="G20" s="168"/>
      <c r="H20" s="168"/>
      <c r="I20" s="155">
        <f t="shared" si="1"/>
        <v>1.0249623561191075</v>
      </c>
      <c r="S20" s="156"/>
    </row>
    <row r="21" spans="1:19" x14ac:dyDescent="0.25">
      <c r="A21" s="154">
        <v>2026</v>
      </c>
      <c r="B21" s="175">
        <f t="shared" si="4"/>
        <v>0.40661289077844281</v>
      </c>
      <c r="C21" s="175">
        <f t="shared" si="5"/>
        <v>0.22021969872307354</v>
      </c>
      <c r="D21" s="175">
        <f t="shared" si="3"/>
        <v>1.7880379360547208E-2</v>
      </c>
      <c r="E21" s="175">
        <f t="shared" si="6"/>
        <v>0.34617544408604878</v>
      </c>
      <c r="F21" s="168">
        <f t="shared" si="7"/>
        <v>3.7707478609701695E-2</v>
      </c>
      <c r="G21" s="168"/>
      <c r="H21" s="168"/>
      <c r="I21" s="155">
        <f t="shared" si="1"/>
        <v>1.0285958915578139</v>
      </c>
      <c r="S21" s="156"/>
    </row>
    <row r="22" spans="1:19" x14ac:dyDescent="0.25">
      <c r="A22" s="154">
        <v>2027</v>
      </c>
      <c r="B22" s="175">
        <f t="shared" si="4"/>
        <v>0.41698151949329315</v>
      </c>
      <c r="C22" s="175">
        <f t="shared" si="5"/>
        <v>0.21497846989346436</v>
      </c>
      <c r="D22" s="175">
        <f t="shared" si="3"/>
        <v>1.8389970172322804E-2</v>
      </c>
      <c r="E22" s="175">
        <f t="shared" si="6"/>
        <v>0.34205595630142477</v>
      </c>
      <c r="F22" s="168">
        <f t="shared" si="7"/>
        <v>4.0460124548209915E-2</v>
      </c>
      <c r="G22" s="168"/>
      <c r="H22" s="168"/>
      <c r="I22" s="155">
        <f t="shared" si="1"/>
        <v>1.0328660404087151</v>
      </c>
      <c r="S22" s="156"/>
    </row>
    <row r="23" spans="1:19" x14ac:dyDescent="0.25">
      <c r="A23" s="154">
        <v>2028</v>
      </c>
      <c r="B23" s="175">
        <f t="shared" si="4"/>
        <v>0.42761454824037215</v>
      </c>
      <c r="C23" s="175">
        <f t="shared" si="5"/>
        <v>0.20986198230999989</v>
      </c>
      <c r="D23" s="175">
        <f t="shared" si="3"/>
        <v>1.8914084322234005E-2</v>
      </c>
      <c r="E23" s="175">
        <f t="shared" si="6"/>
        <v>0.33798549042143783</v>
      </c>
      <c r="F23" s="168">
        <f t="shared" si="7"/>
        <v>4.3413713640229237E-2</v>
      </c>
      <c r="G23" s="168"/>
      <c r="H23" s="168"/>
      <c r="I23" s="155">
        <f t="shared" si="1"/>
        <v>1.0377898189342731</v>
      </c>
      <c r="S23" s="156"/>
    </row>
    <row r="24" spans="1:19" x14ac:dyDescent="0.25">
      <c r="A24" s="154">
        <v>2029</v>
      </c>
      <c r="B24" s="175">
        <f t="shared" si="4"/>
        <v>0.43851871922050167</v>
      </c>
      <c r="C24" s="175">
        <f t="shared" si="5"/>
        <v>0.20486726713102188</v>
      </c>
      <c r="D24" s="175">
        <f t="shared" si="3"/>
        <v>1.9453135725417674E-2</v>
      </c>
      <c r="E24" s="175">
        <f t="shared" si="6"/>
        <v>0.33396346308542268</v>
      </c>
      <c r="F24" s="168">
        <f t="shared" si="7"/>
        <v>4.6582914735965972E-2</v>
      </c>
      <c r="G24" s="168"/>
      <c r="H24" s="168"/>
      <c r="I24" s="155">
        <f t="shared" si="1"/>
        <v>1.0433854998983298</v>
      </c>
      <c r="S24" s="156"/>
    </row>
    <row r="25" spans="1:19" x14ac:dyDescent="0.25">
      <c r="A25" s="154">
        <v>2030</v>
      </c>
      <c r="B25" s="175">
        <v>0.45</v>
      </c>
      <c r="C25" s="175">
        <v>0.2</v>
      </c>
      <c r="D25" s="175">
        <v>0.02</v>
      </c>
      <c r="E25" s="175">
        <v>0.33</v>
      </c>
      <c r="F25" s="168">
        <v>0.05</v>
      </c>
      <c r="G25" s="168"/>
      <c r="H25" s="168"/>
      <c r="I25" s="155">
        <f t="shared" si="1"/>
        <v>1.05</v>
      </c>
      <c r="S25" s="156"/>
    </row>
    <row r="26" spans="1:19" ht="14.25" customHeight="1" x14ac:dyDescent="0.25">
      <c r="B26" s="169">
        <f>((B25/B11)^(1/14)-1)</f>
        <v>2.5548696592848197E-2</v>
      </c>
      <c r="C26" s="169">
        <f t="shared" ref="C26:H26" si="8">((C25/C11)^(1/14)-1)</f>
        <v>-2.379701072791307E-2</v>
      </c>
      <c r="D26" s="169">
        <f t="shared" si="8"/>
        <v>2.8472272495493778E-2</v>
      </c>
      <c r="E26" s="169">
        <f>((E25/E11)^(1/14)-1)</f>
        <v>-1.1897711048976523E-2</v>
      </c>
      <c r="F26" s="169" t="e">
        <f t="shared" si="8"/>
        <v>#DIV/0!</v>
      </c>
      <c r="G26" s="169" t="e">
        <f t="shared" si="8"/>
        <v>#DIV/0!</v>
      </c>
      <c r="H26" s="169" t="e">
        <f t="shared" si="8"/>
        <v>#DIV/0!</v>
      </c>
    </row>
    <row r="27" spans="1:19" x14ac:dyDescent="0.25">
      <c r="A27" s="185" t="s">
        <v>11</v>
      </c>
      <c r="B27" s="186" t="s">
        <v>150</v>
      </c>
      <c r="C27" s="187"/>
      <c r="D27" s="187"/>
      <c r="E27" s="187"/>
      <c r="F27" s="187"/>
      <c r="G27" s="187"/>
      <c r="H27" s="188"/>
      <c r="I27" s="189" t="s">
        <v>40</v>
      </c>
    </row>
    <row r="28" spans="1:19" ht="25.5" x14ac:dyDescent="0.25">
      <c r="A28" s="185"/>
      <c r="B28" s="149" t="s">
        <v>1</v>
      </c>
      <c r="C28" s="149" t="s">
        <v>2</v>
      </c>
      <c r="D28" s="149" t="s">
        <v>149</v>
      </c>
      <c r="E28" s="143" t="s">
        <v>4</v>
      </c>
      <c r="F28" s="176" t="s">
        <v>153</v>
      </c>
      <c r="G28" s="149" t="s">
        <v>128</v>
      </c>
      <c r="H28" s="143" t="s">
        <v>7</v>
      </c>
      <c r="I28" s="190"/>
    </row>
    <row r="29" spans="1:19" x14ac:dyDescent="0.25">
      <c r="A29" s="154">
        <v>2011</v>
      </c>
      <c r="B29" s="159">
        <f t="shared" ref="B29:H29" si="9">$I$29*B6</f>
        <v>11.75803492</v>
      </c>
      <c r="C29" s="159">
        <f t="shared" si="9"/>
        <v>10.422655440000002</v>
      </c>
      <c r="D29" s="159">
        <f t="shared" si="9"/>
        <v>0.5021622</v>
      </c>
      <c r="E29" s="160">
        <f t="shared" si="9"/>
        <v>14.51434744</v>
      </c>
      <c r="F29" s="177">
        <f>$I$29*F6</f>
        <v>0</v>
      </c>
      <c r="G29" s="159">
        <f t="shared" si="9"/>
        <v>0</v>
      </c>
      <c r="H29" s="161">
        <f t="shared" si="9"/>
        <v>0</v>
      </c>
      <c r="I29" s="162">
        <f>'timbulan sampah'!E5</f>
        <v>37.197200000000002</v>
      </c>
      <c r="J29" s="163">
        <f>SUM(B29:H29)</f>
        <v>37.197200000000002</v>
      </c>
    </row>
    <row r="30" spans="1:19" x14ac:dyDescent="0.25">
      <c r="A30" s="154">
        <v>2012</v>
      </c>
      <c r="B30" s="159">
        <f t="shared" ref="B30:H30" si="10">$I$30*B7</f>
        <v>12.111434720000002</v>
      </c>
      <c r="C30" s="159">
        <f t="shared" si="10"/>
        <v>10.735919040000001</v>
      </c>
      <c r="D30" s="159">
        <f t="shared" si="10"/>
        <v>0.51725520000000003</v>
      </c>
      <c r="E30" s="160">
        <f t="shared" si="10"/>
        <v>14.950591040000001</v>
      </c>
      <c r="F30" s="177">
        <f t="shared" si="10"/>
        <v>0</v>
      </c>
      <c r="G30" s="159">
        <f t="shared" si="10"/>
        <v>0</v>
      </c>
      <c r="H30" s="161">
        <f t="shared" si="10"/>
        <v>0</v>
      </c>
      <c r="I30" s="162">
        <f>'timbulan sampah'!E6</f>
        <v>38.315200000000004</v>
      </c>
      <c r="J30" s="163">
        <f t="shared" ref="J30:J48" si="11">SUM(B30:H30)</f>
        <v>38.315200000000004</v>
      </c>
    </row>
    <row r="31" spans="1:19" x14ac:dyDescent="0.25">
      <c r="A31" s="154">
        <v>2013</v>
      </c>
      <c r="B31" s="159">
        <f t="shared" ref="B31:H31" si="12">$I$31*B8</f>
        <v>12.478869360000001</v>
      </c>
      <c r="C31" s="159">
        <f t="shared" si="12"/>
        <v>11.061623520000001</v>
      </c>
      <c r="D31" s="159">
        <f t="shared" si="12"/>
        <v>0.53294760000000008</v>
      </c>
      <c r="E31" s="160">
        <f t="shared" si="12"/>
        <v>15.40415952</v>
      </c>
      <c r="F31" s="177">
        <f t="shared" si="12"/>
        <v>0</v>
      </c>
      <c r="G31" s="159">
        <f t="shared" si="12"/>
        <v>0</v>
      </c>
      <c r="H31" s="161">
        <f t="shared" si="12"/>
        <v>0</v>
      </c>
      <c r="I31" s="162">
        <f>'timbulan sampah'!E7</f>
        <v>39.477600000000002</v>
      </c>
      <c r="J31" s="163">
        <f t="shared" si="11"/>
        <v>39.477600000000002</v>
      </c>
    </row>
    <row r="32" spans="1:19" x14ac:dyDescent="0.25">
      <c r="A32" s="154">
        <v>2014</v>
      </c>
      <c r="B32" s="159">
        <f t="shared" ref="B32:H32" si="13">$I$32*B9</f>
        <v>12.84775806</v>
      </c>
      <c r="C32" s="159">
        <f t="shared" si="13"/>
        <v>11.38861692</v>
      </c>
      <c r="D32" s="159">
        <f t="shared" si="13"/>
        <v>0.54870210000000008</v>
      </c>
      <c r="E32" s="160">
        <f t="shared" si="13"/>
        <v>15.859522920000002</v>
      </c>
      <c r="F32" s="177">
        <f t="shared" si="13"/>
        <v>0</v>
      </c>
      <c r="G32" s="159">
        <f t="shared" si="13"/>
        <v>0</v>
      </c>
      <c r="H32" s="161">
        <f t="shared" si="13"/>
        <v>0</v>
      </c>
      <c r="I32" s="162">
        <f>'timbulan sampah'!E8</f>
        <v>40.644600000000004</v>
      </c>
      <c r="J32" s="163">
        <f t="shared" si="11"/>
        <v>40.644600000000004</v>
      </c>
      <c r="P32" s="153"/>
    </row>
    <row r="33" spans="1:16" x14ac:dyDescent="0.25">
      <c r="A33" s="154">
        <v>2015</v>
      </c>
      <c r="B33" s="159">
        <f t="shared" ref="B33:H33" si="14">$I$33*B10</f>
        <v>13.206215460000001</v>
      </c>
      <c r="C33" s="159">
        <f t="shared" si="14"/>
        <v>11.706363720000001</v>
      </c>
      <c r="D33" s="159">
        <f t="shared" si="14"/>
        <v>0.5640111000000001</v>
      </c>
      <c r="E33" s="160">
        <f t="shared" si="14"/>
        <v>16.302009720000001</v>
      </c>
      <c r="F33" s="177">
        <f t="shared" si="14"/>
        <v>0</v>
      </c>
      <c r="G33" s="159">
        <f t="shared" si="14"/>
        <v>0</v>
      </c>
      <c r="H33" s="161">
        <f t="shared" si="14"/>
        <v>0</v>
      </c>
      <c r="I33" s="162">
        <f>'timbulan sampah'!E9</f>
        <v>41.778600000000004</v>
      </c>
      <c r="J33" s="163">
        <f t="shared" si="11"/>
        <v>41.778600000000004</v>
      </c>
      <c r="P33" s="153"/>
    </row>
    <row r="34" spans="1:16" x14ac:dyDescent="0.25">
      <c r="A34" s="154">
        <v>2016</v>
      </c>
      <c r="B34" s="159">
        <f t="shared" ref="B34:H34" si="15">$I$34*B11</f>
        <v>13.581426160000003</v>
      </c>
      <c r="C34" s="159">
        <f t="shared" si="15"/>
        <v>12.038961120000003</v>
      </c>
      <c r="D34" s="159">
        <f t="shared" si="15"/>
        <v>0.5800356000000001</v>
      </c>
      <c r="E34" s="160">
        <f t="shared" si="15"/>
        <v>16.765177120000004</v>
      </c>
      <c r="F34" s="177">
        <f t="shared" si="15"/>
        <v>0</v>
      </c>
      <c r="G34" s="159">
        <f t="shared" si="15"/>
        <v>0</v>
      </c>
      <c r="H34" s="161">
        <f t="shared" si="15"/>
        <v>0</v>
      </c>
      <c r="I34" s="162">
        <f>'timbulan sampah'!E10</f>
        <v>42.965600000000009</v>
      </c>
      <c r="J34" s="163">
        <f t="shared" si="11"/>
        <v>42.965600000000009</v>
      </c>
    </row>
    <row r="35" spans="1:16" x14ac:dyDescent="0.25">
      <c r="A35" s="154">
        <v>2017</v>
      </c>
      <c r="B35" s="159">
        <f>(I35*B12)-F35</f>
        <v>13.522929387312001</v>
      </c>
      <c r="C35" s="159">
        <f t="shared" ref="C35:H35" si="16">$I$35*C12</f>
        <v>12.161155165401603</v>
      </c>
      <c r="D35" s="159">
        <f t="shared" si="16"/>
        <v>0.61731376344000011</v>
      </c>
      <c r="E35" s="160">
        <f t="shared" si="16"/>
        <v>17.141785636140799</v>
      </c>
      <c r="F35" s="177">
        <f>$I$35*F12</f>
        <v>0.88919680000000012</v>
      </c>
      <c r="G35" s="159">
        <f t="shared" si="16"/>
        <v>0</v>
      </c>
      <c r="H35" s="161">
        <f t="shared" si="16"/>
        <v>0</v>
      </c>
      <c r="I35" s="162">
        <f>'timbulan sampah'!E11</f>
        <v>44.459840000000007</v>
      </c>
      <c r="J35" s="163">
        <f t="shared" si="11"/>
        <v>44.332380752294405</v>
      </c>
    </row>
    <row r="36" spans="1:16" x14ac:dyDescent="0.25">
      <c r="A36" s="154">
        <v>2018</v>
      </c>
      <c r="B36" s="159">
        <f t="shared" ref="B36:B48" si="17">(I36*B13)-F36</f>
        <v>14.205149098381295</v>
      </c>
      <c r="C36" s="159">
        <f t="shared" ref="C36:H36" si="18">$I$36*C13</f>
        <v>12.197693808713661</v>
      </c>
      <c r="D36" s="159">
        <f t="shared" si="18"/>
        <v>0.6523405122185324</v>
      </c>
      <c r="E36" s="160">
        <f t="shared" si="18"/>
        <v>17.402877107888614</v>
      </c>
      <c r="F36" s="177">
        <f>$I$36*F13</f>
        <v>0.98030610519999994</v>
      </c>
      <c r="G36" s="159">
        <f t="shared" si="18"/>
        <v>0</v>
      </c>
      <c r="H36" s="161">
        <f t="shared" si="18"/>
        <v>0</v>
      </c>
      <c r="I36" s="162">
        <f>'timbulan sampah'!E12</f>
        <v>45.680619999999998</v>
      </c>
      <c r="J36" s="163">
        <f t="shared" si="11"/>
        <v>45.438366632402108</v>
      </c>
    </row>
    <row r="37" spans="1:16" x14ac:dyDescent="0.25">
      <c r="A37" s="154">
        <v>2019</v>
      </c>
      <c r="B37" s="159">
        <f t="shared" si="17"/>
        <v>14.908873675415027</v>
      </c>
      <c r="C37" s="159">
        <f t="shared" ref="C37:H37" si="19">$I$37*C14</f>
        <v>12.225604647872181</v>
      </c>
      <c r="D37" s="159">
        <f t="shared" si="19"/>
        <v>0.68886237257308713</v>
      </c>
      <c r="E37" s="160">
        <f t="shared" si="19"/>
        <v>17.655327154344903</v>
      </c>
      <c r="F37" s="177">
        <f>$I$37*F14</f>
        <v>1.079978839212</v>
      </c>
      <c r="G37" s="159">
        <f t="shared" si="19"/>
        <v>0</v>
      </c>
      <c r="H37" s="161">
        <f t="shared" si="19"/>
        <v>0</v>
      </c>
      <c r="I37" s="162">
        <f>'timbulan sampah'!E13</f>
        <v>46.901400000000002</v>
      </c>
      <c r="J37" s="163">
        <f t="shared" si="11"/>
        <v>46.558646689417202</v>
      </c>
    </row>
    <row r="38" spans="1:16" x14ac:dyDescent="0.25">
      <c r="A38" s="154">
        <v>2020</v>
      </c>
      <c r="B38" s="159">
        <f t="shared" si="17"/>
        <v>15.634369005134822</v>
      </c>
      <c r="C38" s="159">
        <f t="shared" ref="C38:H38" si="20">$I$38*C15</f>
        <v>12.245277669405745</v>
      </c>
      <c r="D38" s="159">
        <f t="shared" si="20"/>
        <v>0.72693611538680192</v>
      </c>
      <c r="E38" s="160">
        <f t="shared" si="20"/>
        <v>17.89930446826828</v>
      </c>
      <c r="F38" s="177">
        <f>$I$38*F15</f>
        <v>1.188979741155141</v>
      </c>
      <c r="G38" s="159">
        <f t="shared" si="20"/>
        <v>0</v>
      </c>
      <c r="H38" s="161">
        <f t="shared" si="20"/>
        <v>0</v>
      </c>
      <c r="I38" s="162">
        <f>'timbulan sampah'!E14</f>
        <v>48.12218</v>
      </c>
      <c r="J38" s="163">
        <f t="shared" si="11"/>
        <v>47.694866999350793</v>
      </c>
    </row>
    <row r="39" spans="1:16" x14ac:dyDescent="0.25">
      <c r="A39" s="154">
        <v>2021</v>
      </c>
      <c r="B39" s="159">
        <f t="shared" si="17"/>
        <v>16.381867966872253</v>
      </c>
      <c r="C39" s="159">
        <f t="shared" ref="C39:H39" si="21">$I$39*C16</f>
        <v>12.25708918361757</v>
      </c>
      <c r="D39" s="159">
        <f t="shared" si="21"/>
        <v>0.76662053307877598</v>
      </c>
      <c r="E39" s="160">
        <f t="shared" si="21"/>
        <v>18.134974951241954</v>
      </c>
      <c r="F39" s="177">
        <f>$I$39*F16</f>
        <v>1.30813956754782</v>
      </c>
      <c r="G39" s="159">
        <f t="shared" si="21"/>
        <v>0</v>
      </c>
      <c r="H39" s="161">
        <f t="shared" si="21"/>
        <v>0</v>
      </c>
      <c r="I39" s="162">
        <f>'timbulan sampah'!E15</f>
        <v>49.342959999999998</v>
      </c>
      <c r="J39" s="163">
        <f t="shared" si="11"/>
        <v>48.848692202358372</v>
      </c>
    </row>
    <row r="40" spans="1:16" x14ac:dyDescent="0.25">
      <c r="A40" s="154">
        <v>2022</v>
      </c>
      <c r="B40" s="159">
        <f t="shared" si="17"/>
        <v>17.151565882669324</v>
      </c>
      <c r="C40" s="159">
        <f t="shared" ref="C40:H40" si="22">$I$40*C17</f>
        <v>12.261402254669854</v>
      </c>
      <c r="D40" s="159">
        <f t="shared" si="22"/>
        <v>0.80797650871946969</v>
      </c>
      <c r="E40" s="160">
        <f t="shared" si="22"/>
        <v>18.362501756215103</v>
      </c>
      <c r="F40" s="177">
        <f>$I$40*F17</f>
        <v>1.4383606555532142</v>
      </c>
      <c r="G40" s="159">
        <f t="shared" si="22"/>
        <v>0</v>
      </c>
      <c r="H40" s="161">
        <f t="shared" si="22"/>
        <v>0</v>
      </c>
      <c r="I40" s="162">
        <f>'timbulan sampah'!E16</f>
        <v>50.563739999999996</v>
      </c>
      <c r="J40" s="163">
        <f t="shared" si="11"/>
        <v>50.021807057826962</v>
      </c>
    </row>
    <row r="41" spans="1:16" x14ac:dyDescent="0.25">
      <c r="A41" s="154">
        <v>2023</v>
      </c>
      <c r="B41" s="159">
        <f t="shared" si="17"/>
        <v>17.943615537167737</v>
      </c>
      <c r="C41" s="159">
        <f t="shared" ref="C41:H41" si="23">$I$41*C18</f>
        <v>12.258567117942881</v>
      </c>
      <c r="D41" s="159">
        <f t="shared" si="23"/>
        <v>0.85106708744368964</v>
      </c>
      <c r="E41" s="160">
        <f t="shared" si="23"/>
        <v>18.582045329427046</v>
      </c>
      <c r="F41" s="177">
        <f>$I$41*F18</f>
        <v>1.5806229466519339</v>
      </c>
      <c r="G41" s="159">
        <f t="shared" si="23"/>
        <v>0</v>
      </c>
      <c r="H41" s="161">
        <f t="shared" si="23"/>
        <v>0</v>
      </c>
      <c r="I41" s="162">
        <f>'timbulan sampah'!E17</f>
        <v>51.784519999999993</v>
      </c>
      <c r="J41" s="163">
        <f>SUM(B41:H41)</f>
        <v>51.215918018633289</v>
      </c>
    </row>
    <row r="42" spans="1:16" x14ac:dyDescent="0.25">
      <c r="A42" s="154">
        <v>2024</v>
      </c>
      <c r="B42" s="159">
        <f t="shared" si="17"/>
        <v>18.758121730593167</v>
      </c>
      <c r="C42" s="159">
        <f t="shared" ref="C42:H42" si="24">$I$42*C19</f>
        <v>12.248921585030981</v>
      </c>
      <c r="D42" s="159">
        <f t="shared" si="24"/>
        <v>0.89595755023598289</v>
      </c>
      <c r="E42" s="160">
        <f t="shared" si="24"/>
        <v>18.79376345172285</v>
      </c>
      <c r="F42" s="177">
        <f>$I$42*F19</f>
        <v>1.7359905083176237</v>
      </c>
      <c r="G42" s="159">
        <f t="shared" si="24"/>
        <v>0</v>
      </c>
      <c r="H42" s="161">
        <f t="shared" si="24"/>
        <v>0</v>
      </c>
      <c r="I42" s="162">
        <f>'timbulan sampah'!E18</f>
        <v>53.005300000000005</v>
      </c>
      <c r="J42" s="163">
        <f t="shared" si="11"/>
        <v>52.432754825900602</v>
      </c>
    </row>
    <row r="43" spans="1:16" x14ac:dyDescent="0.25">
      <c r="A43" s="154">
        <v>2025</v>
      </c>
      <c r="B43" s="159">
        <f t="shared" si="17"/>
        <v>19.595135325133654</v>
      </c>
      <c r="C43" s="159">
        <f t="shared" ref="C43:H43" si="25">$I$43*C20</f>
        <v>12.232791436727398</v>
      </c>
      <c r="D43" s="159">
        <f t="shared" si="25"/>
        <v>0.9427154901656607</v>
      </c>
      <c r="E43" s="160">
        <f t="shared" si="25"/>
        <v>18.997811279268912</v>
      </c>
      <c r="F43" s="177">
        <f>$I$43*F20</f>
        <v>1.9056185943037962</v>
      </c>
      <c r="G43" s="159">
        <f t="shared" si="25"/>
        <v>0</v>
      </c>
      <c r="H43" s="161">
        <f t="shared" si="25"/>
        <v>0</v>
      </c>
      <c r="I43" s="162">
        <f>'timbulan sampah'!E19</f>
        <v>54.22608000000001</v>
      </c>
      <c r="J43" s="163">
        <f t="shared" si="11"/>
        <v>53.674072125599416</v>
      </c>
    </row>
    <row r="44" spans="1:16" x14ac:dyDescent="0.25">
      <c r="A44" s="154">
        <v>2026</v>
      </c>
      <c r="B44" s="159">
        <f t="shared" si="17"/>
        <v>20.454646741762485</v>
      </c>
      <c r="C44" s="159">
        <f t="shared" ref="C44:H44" si="26">$I$44*C21</f>
        <v>12.210490804340438</v>
      </c>
      <c r="D44" s="159">
        <f t="shared" si="26"/>
        <v>0.99141089115115055</v>
      </c>
      <c r="E44" s="160">
        <f t="shared" si="26"/>
        <v>19.194341383676974</v>
      </c>
      <c r="F44" s="177">
        <f>$I$44*F21</f>
        <v>2.0907612874251247</v>
      </c>
      <c r="G44" s="159">
        <f t="shared" si="26"/>
        <v>0</v>
      </c>
      <c r="H44" s="161">
        <f t="shared" si="26"/>
        <v>0</v>
      </c>
      <c r="I44" s="162">
        <f>'timbulan sampah'!E20</f>
        <v>55.446860000000001</v>
      </c>
      <c r="J44" s="163">
        <f t="shared" si="11"/>
        <v>54.941651108356169</v>
      </c>
    </row>
    <row r="45" spans="1:16" x14ac:dyDescent="0.25">
      <c r="A45" s="154">
        <v>2027</v>
      </c>
      <c r="B45" s="159">
        <f t="shared" si="17"/>
        <v>21.33657886104579</v>
      </c>
      <c r="C45" s="159">
        <f t="shared" ref="C45:H45" si="27">$I$45*C22</f>
        <v>12.182322539673676</v>
      </c>
      <c r="D45" s="159">
        <f t="shared" si="27"/>
        <v>1.0421162093359264</v>
      </c>
      <c r="E45" s="160">
        <f t="shared" si="27"/>
        <v>19.383503791544868</v>
      </c>
      <c r="F45" s="177">
        <f>$I$45*F22</f>
        <v>2.2927797722531218</v>
      </c>
      <c r="G45" s="159">
        <f t="shared" si="27"/>
        <v>0</v>
      </c>
      <c r="H45" s="161">
        <f t="shared" si="27"/>
        <v>0</v>
      </c>
      <c r="I45" s="162">
        <f>'timbulan sampah'!E21</f>
        <v>56.667639999999992</v>
      </c>
      <c r="J45" s="163">
        <f t="shared" si="11"/>
        <v>56.237301173853375</v>
      </c>
    </row>
    <row r="46" spans="1:16" x14ac:dyDescent="0.25">
      <c r="A46" s="154">
        <v>2028</v>
      </c>
      <c r="B46" s="159">
        <f t="shared" si="17"/>
        <v>22.240779277683604</v>
      </c>
      <c r="C46" s="159">
        <f t="shared" ref="C46:H46" si="28">$I$46*C23</f>
        <v>12.148578573993843</v>
      </c>
      <c r="D46" s="159">
        <f t="shared" si="28"/>
        <v>1.0949064571608973</v>
      </c>
      <c r="E46" s="160">
        <f t="shared" si="28"/>
        <v>19.565446023422169</v>
      </c>
      <c r="F46" s="177">
        <f>$I$46*F23</f>
        <v>2.5131512889653189</v>
      </c>
      <c r="G46" s="159">
        <f t="shared" si="28"/>
        <v>0</v>
      </c>
      <c r="H46" s="160">
        <f t="shared" si="28"/>
        <v>0</v>
      </c>
      <c r="I46" s="162">
        <f>'timbulan sampah'!E22</f>
        <v>57.888419999999996</v>
      </c>
      <c r="J46" s="163">
        <f t="shared" si="11"/>
        <v>57.562861621225828</v>
      </c>
    </row>
    <row r="47" spans="1:16" x14ac:dyDescent="0.25">
      <c r="A47" s="154">
        <v>2029</v>
      </c>
      <c r="B47" s="159">
        <f t="shared" si="17"/>
        <v>23.16701185443732</v>
      </c>
      <c r="C47" s="159">
        <f t="shared" ref="C47:H47" si="29">$I$47*C24</f>
        <v>12.109540266300998</v>
      </c>
      <c r="D47" s="159">
        <f t="shared" si="29"/>
        <v>1.1498592902208584</v>
      </c>
      <c r="E47" s="160">
        <f t="shared" si="29"/>
        <v>19.740313132208868</v>
      </c>
      <c r="F47" s="177">
        <f>$I$47*F24</f>
        <v>2.75347882371116</v>
      </c>
      <c r="G47" s="159">
        <f t="shared" si="29"/>
        <v>0</v>
      </c>
      <c r="H47" s="160">
        <f t="shared" si="29"/>
        <v>0</v>
      </c>
      <c r="I47" s="162">
        <f>'timbulan sampah'!E23</f>
        <v>59.109200000000001</v>
      </c>
      <c r="J47" s="163">
        <f t="shared" si="11"/>
        <v>58.920203366879207</v>
      </c>
    </row>
    <row r="48" spans="1:16" x14ac:dyDescent="0.25">
      <c r="A48" s="154">
        <v>2030</v>
      </c>
      <c r="B48" s="159">
        <f t="shared" si="17"/>
        <v>24.131992000000007</v>
      </c>
      <c r="C48" s="159">
        <f t="shared" ref="C48:H48" si="30">$I$48*C25</f>
        <v>12.065996000000004</v>
      </c>
      <c r="D48" s="159">
        <f t="shared" si="30"/>
        <v>1.2065996000000003</v>
      </c>
      <c r="E48" s="160">
        <f t="shared" si="30"/>
        <v>19.908893400000004</v>
      </c>
      <c r="F48" s="177">
        <f>$I$48*F25</f>
        <v>3.0164990000000009</v>
      </c>
      <c r="G48" s="159">
        <f t="shared" si="30"/>
        <v>0</v>
      </c>
      <c r="H48" s="160">
        <f t="shared" si="30"/>
        <v>0</v>
      </c>
      <c r="I48" s="162">
        <f>'timbulan sampah'!E24</f>
        <v>60.329980000000013</v>
      </c>
      <c r="J48" s="163">
        <f t="shared" si="11"/>
        <v>60.329980000000013</v>
      </c>
    </row>
    <row r="50" spans="2:6" x14ac:dyDescent="0.25">
      <c r="B50" s="178">
        <f>B29*1000</f>
        <v>11758.03492</v>
      </c>
    </row>
    <row r="51" spans="2:6" x14ac:dyDescent="0.25">
      <c r="B51" s="178">
        <f t="shared" ref="B51:B69" si="31">B30*1000</f>
        <v>12111.434720000001</v>
      </c>
      <c r="E51" s="154">
        <v>2017</v>
      </c>
      <c r="F51" s="178">
        <f>F35*1000</f>
        <v>889.19680000000017</v>
      </c>
    </row>
    <row r="52" spans="2:6" x14ac:dyDescent="0.25">
      <c r="B52" s="178">
        <f t="shared" si="31"/>
        <v>12478.869360000001</v>
      </c>
      <c r="E52" s="154">
        <v>2018</v>
      </c>
      <c r="F52" s="178">
        <f t="shared" ref="F52:F64" si="32">F36*1000</f>
        <v>980.30610519999993</v>
      </c>
    </row>
    <row r="53" spans="2:6" x14ac:dyDescent="0.25">
      <c r="B53" s="178">
        <f t="shared" si="31"/>
        <v>12847.75806</v>
      </c>
      <c r="E53" s="154">
        <v>2019</v>
      </c>
      <c r="F53" s="178">
        <f t="shared" si="32"/>
        <v>1079.9788392119999</v>
      </c>
    </row>
    <row r="54" spans="2:6" x14ac:dyDescent="0.25">
      <c r="B54" s="178">
        <f t="shared" si="31"/>
        <v>13206.215460000001</v>
      </c>
      <c r="E54" s="154">
        <v>2020</v>
      </c>
      <c r="F54" s="178">
        <f t="shared" si="32"/>
        <v>1188.979741155141</v>
      </c>
    </row>
    <row r="55" spans="2:6" x14ac:dyDescent="0.25">
      <c r="B55" s="178">
        <f t="shared" si="31"/>
        <v>13581.426160000003</v>
      </c>
      <c r="E55" s="154">
        <v>2021</v>
      </c>
      <c r="F55" s="178">
        <f t="shared" si="32"/>
        <v>1308.13956754782</v>
      </c>
    </row>
    <row r="56" spans="2:6" x14ac:dyDescent="0.25">
      <c r="B56" s="178">
        <f t="shared" si="31"/>
        <v>13522.929387312</v>
      </c>
      <c r="E56" s="154">
        <v>2022</v>
      </c>
      <c r="F56" s="178">
        <f t="shared" si="32"/>
        <v>1438.3606555532142</v>
      </c>
    </row>
    <row r="57" spans="2:6" x14ac:dyDescent="0.25">
      <c r="B57" s="178">
        <f t="shared" si="31"/>
        <v>14205.149098381295</v>
      </c>
      <c r="E57" s="154">
        <v>2023</v>
      </c>
      <c r="F57" s="178">
        <f t="shared" si="32"/>
        <v>1580.6229466519339</v>
      </c>
    </row>
    <row r="58" spans="2:6" x14ac:dyDescent="0.25">
      <c r="B58" s="178">
        <f t="shared" si="31"/>
        <v>14908.873675415027</v>
      </c>
      <c r="E58" s="154">
        <v>2024</v>
      </c>
      <c r="F58" s="178">
        <f t="shared" si="32"/>
        <v>1735.9905083176236</v>
      </c>
    </row>
    <row r="59" spans="2:6" x14ac:dyDescent="0.25">
      <c r="B59" s="178">
        <f t="shared" si="31"/>
        <v>15634.369005134822</v>
      </c>
      <c r="E59" s="154">
        <v>2025</v>
      </c>
      <c r="F59" s="178">
        <f t="shared" si="32"/>
        <v>1905.6185943037963</v>
      </c>
    </row>
    <row r="60" spans="2:6" x14ac:dyDescent="0.25">
      <c r="B60" s="178">
        <f t="shared" si="31"/>
        <v>16381.867966872253</v>
      </c>
      <c r="E60" s="154">
        <v>2026</v>
      </c>
      <c r="F60" s="178">
        <f t="shared" si="32"/>
        <v>2090.7612874251245</v>
      </c>
    </row>
    <row r="61" spans="2:6" x14ac:dyDescent="0.25">
      <c r="B61" s="178">
        <f t="shared" si="31"/>
        <v>17151.565882669325</v>
      </c>
      <c r="E61" s="154">
        <v>2027</v>
      </c>
      <c r="F61" s="178">
        <f t="shared" si="32"/>
        <v>2292.7797722531218</v>
      </c>
    </row>
    <row r="62" spans="2:6" x14ac:dyDescent="0.25">
      <c r="B62" s="178">
        <f t="shared" si="31"/>
        <v>17943.615537167738</v>
      </c>
      <c r="E62" s="154">
        <v>2028</v>
      </c>
      <c r="F62" s="178">
        <f t="shared" si="32"/>
        <v>2513.1512889653191</v>
      </c>
    </row>
    <row r="63" spans="2:6" x14ac:dyDescent="0.25">
      <c r="B63" s="178">
        <f t="shared" si="31"/>
        <v>18758.121730593168</v>
      </c>
      <c r="E63" s="154">
        <v>2029</v>
      </c>
      <c r="F63" s="178">
        <f t="shared" si="32"/>
        <v>2753.4788237111602</v>
      </c>
    </row>
    <row r="64" spans="2:6" x14ac:dyDescent="0.25">
      <c r="B64" s="178">
        <f t="shared" si="31"/>
        <v>19595.135325133655</v>
      </c>
      <c r="E64" s="154">
        <v>2030</v>
      </c>
      <c r="F64" s="178">
        <f t="shared" si="32"/>
        <v>3016.4990000000007</v>
      </c>
    </row>
    <row r="65" spans="2:6" x14ac:dyDescent="0.25">
      <c r="B65" s="178">
        <f t="shared" si="31"/>
        <v>20454.646741762484</v>
      </c>
      <c r="F65" s="179">
        <f>SUM(F51:F64)</f>
        <v>24773.863930296255</v>
      </c>
    </row>
    <row r="66" spans="2:6" x14ac:dyDescent="0.25">
      <c r="B66" s="178">
        <f t="shared" si="31"/>
        <v>21336.578861045789</v>
      </c>
      <c r="F66" s="179">
        <f>F65/14</f>
        <v>1769.5617093068754</v>
      </c>
    </row>
    <row r="67" spans="2:6" x14ac:dyDescent="0.25">
      <c r="B67" s="178">
        <f t="shared" si="31"/>
        <v>22240.779277683603</v>
      </c>
    </row>
    <row r="68" spans="2:6" x14ac:dyDescent="0.25">
      <c r="B68" s="178">
        <f t="shared" si="31"/>
        <v>23167.011854437318</v>
      </c>
    </row>
    <row r="69" spans="2:6" x14ac:dyDescent="0.25">
      <c r="B69" s="178">
        <f t="shared" si="31"/>
        <v>24131.992000000006</v>
      </c>
    </row>
    <row r="70" spans="2:6" x14ac:dyDescent="0.25">
      <c r="B70" s="179">
        <f>SUM(B50:B69)</f>
        <v>335416.3750236085</v>
      </c>
    </row>
    <row r="71" spans="2:6" x14ac:dyDescent="0.25">
      <c r="B71" s="180">
        <f>B70/20</f>
        <v>16770.818751180424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M78" sqref="M78"/>
    </sheetView>
  </sheetViews>
  <sheetFormatPr defaultRowHeight="15" x14ac:dyDescent="0.25"/>
  <cols>
    <col min="1" max="1" width="9.42578125" style="94" bestFit="1" customWidth="1"/>
    <col min="2" max="2" width="11.5703125" style="94" bestFit="1" customWidth="1"/>
    <col min="3" max="3" width="11" style="94" bestFit="1" customWidth="1"/>
    <col min="4" max="4" width="12.7109375" style="94" bestFit="1" customWidth="1"/>
    <col min="5" max="5" width="12.42578125" style="94" customWidth="1"/>
    <col min="6" max="6" width="15.28515625" style="94" customWidth="1"/>
    <col min="7" max="7" width="14.7109375" style="94" customWidth="1"/>
    <col min="8" max="8" width="9.42578125" style="94" bestFit="1" customWidth="1"/>
    <col min="9" max="9" width="13.42578125" style="94" customWidth="1"/>
    <col min="10" max="10" width="10.28515625" style="94" bestFit="1" customWidth="1"/>
    <col min="11" max="14" width="9.42578125" style="94" bestFit="1" customWidth="1"/>
    <col min="15" max="15" width="9.140625" style="94"/>
    <col min="16" max="19" width="9.42578125" style="94" bestFit="1" customWidth="1"/>
    <col min="20" max="23" width="9.140625" style="94"/>
    <col min="24" max="24" width="9.5703125" style="94" bestFit="1" customWidth="1"/>
    <col min="25" max="16384" width="9.140625" style="94"/>
  </cols>
  <sheetData>
    <row r="2" spans="1:24" x14ac:dyDescent="0.25">
      <c r="A2" s="101" t="s">
        <v>117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126</v>
      </c>
    </row>
    <row r="6" spans="1:24" ht="35.25" customHeight="1" x14ac:dyDescent="0.25">
      <c r="A6" s="191" t="s">
        <v>11</v>
      </c>
      <c r="B6" s="195" t="s">
        <v>118</v>
      </c>
      <c r="C6" s="195"/>
      <c r="D6" s="195"/>
      <c r="E6" s="105" t="s">
        <v>114</v>
      </c>
      <c r="F6" s="191" t="s">
        <v>11</v>
      </c>
      <c r="G6" s="195" t="s">
        <v>111</v>
      </c>
      <c r="H6" s="195"/>
      <c r="I6" s="195"/>
      <c r="J6" s="95" t="s">
        <v>115</v>
      </c>
      <c r="K6" s="191" t="s">
        <v>11</v>
      </c>
      <c r="L6" s="195" t="s">
        <v>112</v>
      </c>
      <c r="M6" s="195"/>
      <c r="N6" s="195"/>
      <c r="O6" s="95" t="s">
        <v>115</v>
      </c>
      <c r="P6" s="191" t="s">
        <v>11</v>
      </c>
      <c r="Q6" s="192" t="s">
        <v>154</v>
      </c>
      <c r="R6" s="193"/>
      <c r="S6" s="194"/>
      <c r="X6" s="96"/>
    </row>
    <row r="7" spans="1:24" ht="18" x14ac:dyDescent="0.25">
      <c r="A7" s="191"/>
      <c r="B7" s="191" t="s">
        <v>129</v>
      </c>
      <c r="C7" s="191"/>
      <c r="D7" s="195" t="s">
        <v>130</v>
      </c>
      <c r="E7" s="106"/>
      <c r="F7" s="191"/>
      <c r="G7" s="191" t="s">
        <v>129</v>
      </c>
      <c r="H7" s="191"/>
      <c r="I7" s="195" t="s">
        <v>130</v>
      </c>
      <c r="K7" s="191"/>
      <c r="L7" s="191" t="s">
        <v>129</v>
      </c>
      <c r="M7" s="191"/>
      <c r="N7" s="195" t="s">
        <v>130</v>
      </c>
      <c r="P7" s="191"/>
      <c r="Q7" s="191" t="s">
        <v>129</v>
      </c>
      <c r="R7" s="191"/>
      <c r="S7" s="195" t="s">
        <v>130</v>
      </c>
      <c r="X7" s="96"/>
    </row>
    <row r="8" spans="1:24" ht="18" x14ac:dyDescent="0.25">
      <c r="A8" s="191"/>
      <c r="B8" s="107" t="s">
        <v>131</v>
      </c>
      <c r="C8" s="107" t="s">
        <v>132</v>
      </c>
      <c r="D8" s="195"/>
      <c r="E8" s="108"/>
      <c r="F8" s="191"/>
      <c r="G8" s="107" t="s">
        <v>131</v>
      </c>
      <c r="H8" s="107" t="s">
        <v>132</v>
      </c>
      <c r="I8" s="195"/>
      <c r="K8" s="191"/>
      <c r="L8" s="107" t="s">
        <v>131</v>
      </c>
      <c r="M8" s="107" t="s">
        <v>132</v>
      </c>
      <c r="N8" s="195"/>
      <c r="P8" s="191"/>
      <c r="Q8" s="107" t="s">
        <v>131</v>
      </c>
      <c r="R8" s="107" t="s">
        <v>132</v>
      </c>
      <c r="S8" s="195"/>
    </row>
    <row r="9" spans="1:24" x14ac:dyDescent="0.25">
      <c r="A9" s="88">
        <v>2011</v>
      </c>
      <c r="B9" s="170">
        <f>[2]Results!O28</f>
        <v>0.54343415097791736</v>
      </c>
      <c r="C9" s="134">
        <f>B9*21</f>
        <v>11.412117170536265</v>
      </c>
      <c r="D9" s="171">
        <f t="shared" ref="D9:D14" si="0">E9+C9</f>
        <v>11.412117170536265</v>
      </c>
      <c r="E9" s="111"/>
      <c r="F9" s="88">
        <v>2011</v>
      </c>
      <c r="G9" s="170">
        <f>[3]Results!O28</f>
        <v>0</v>
      </c>
      <c r="H9" s="134">
        <f>G9*21</f>
        <v>0</v>
      </c>
      <c r="I9" s="171">
        <f t="shared" ref="I9:I14" si="1">J9+H9</f>
        <v>0</v>
      </c>
      <c r="K9" s="88">
        <v>2011</v>
      </c>
      <c r="L9" s="172">
        <f>[4]Results!O28</f>
        <v>0.38537234825438149</v>
      </c>
      <c r="M9" s="134">
        <f>L9*21</f>
        <v>8.0928193133420105</v>
      </c>
      <c r="N9" s="171">
        <f>O9+M9</f>
        <v>8.0928193133420105</v>
      </c>
      <c r="P9" s="88">
        <v>2011</v>
      </c>
      <c r="Q9" s="172">
        <f>[5]Results!O28</f>
        <v>0</v>
      </c>
      <c r="R9" s="134">
        <f>Q9*21</f>
        <v>0</v>
      </c>
      <c r="S9" s="171">
        <f>T9+R9</f>
        <v>0</v>
      </c>
    </row>
    <row r="10" spans="1:24" x14ac:dyDescent="0.25">
      <c r="A10" s="88">
        <v>2012</v>
      </c>
      <c r="B10" s="170">
        <f>[2]Results!O29</f>
        <v>0.55333054214861044</v>
      </c>
      <c r="C10" s="134">
        <f t="shared" ref="C10:C14" si="2">B10*21</f>
        <v>11.61994138512082</v>
      </c>
      <c r="D10" s="171">
        <f t="shared" si="0"/>
        <v>11.61994138512082</v>
      </c>
      <c r="E10" s="111"/>
      <c r="F10" s="88">
        <v>2012</v>
      </c>
      <c r="G10" s="170">
        <f>[3]Results!O29</f>
        <v>0</v>
      </c>
      <c r="H10" s="134">
        <f t="shared" ref="H10:H14" si="3">G10*21</f>
        <v>0</v>
      </c>
      <c r="I10" s="171">
        <f t="shared" si="1"/>
        <v>0</v>
      </c>
      <c r="K10" s="88">
        <v>2012</v>
      </c>
      <c r="L10" s="172">
        <f>[4]Results!O29</f>
        <v>0.39239030157555377</v>
      </c>
      <c r="M10" s="134">
        <f t="shared" ref="M10:M14" si="4">L10*21</f>
        <v>8.2401963330866295</v>
      </c>
      <c r="N10" s="171">
        <f t="shared" ref="N10:N14" si="5">O10+M10</f>
        <v>8.2401963330866295</v>
      </c>
      <c r="P10" s="88">
        <v>2012</v>
      </c>
      <c r="Q10" s="172">
        <f>[5]Results!O29</f>
        <v>0</v>
      </c>
      <c r="R10" s="134">
        <f t="shared" ref="R10:R14" si="6">Q10*21</f>
        <v>0</v>
      </c>
      <c r="S10" s="171">
        <f t="shared" ref="S10:S14" si="7">T10+R10</f>
        <v>0</v>
      </c>
    </row>
    <row r="11" spans="1:24" x14ac:dyDescent="0.25">
      <c r="A11" s="88">
        <v>2013</v>
      </c>
      <c r="B11" s="170">
        <f>[2]Results!O30</f>
        <v>0.56644916936279088</v>
      </c>
      <c r="C11" s="134">
        <f t="shared" si="2"/>
        <v>11.895432556618609</v>
      </c>
      <c r="D11" s="171">
        <f t="shared" si="0"/>
        <v>11.895432556618609</v>
      </c>
      <c r="E11" s="111"/>
      <c r="F11" s="88">
        <v>2013</v>
      </c>
      <c r="G11" s="170">
        <f>[3]Results!O30</f>
        <v>0</v>
      </c>
      <c r="H11" s="134">
        <f t="shared" si="3"/>
        <v>0</v>
      </c>
      <c r="I11" s="171">
        <f t="shared" si="1"/>
        <v>0</v>
      </c>
      <c r="K11" s="88">
        <v>2013</v>
      </c>
      <c r="L11" s="172">
        <f>[4]Results!O30</f>
        <v>0.40169327998849486</v>
      </c>
      <c r="M11" s="134">
        <f t="shared" si="4"/>
        <v>8.4355588797583927</v>
      </c>
      <c r="N11" s="171">
        <f t="shared" si="5"/>
        <v>8.4355588797583927</v>
      </c>
      <c r="P11" s="88">
        <v>2013</v>
      </c>
      <c r="Q11" s="172">
        <f>[5]Results!O30</f>
        <v>0</v>
      </c>
      <c r="R11" s="134">
        <f t="shared" si="6"/>
        <v>0</v>
      </c>
      <c r="S11" s="171">
        <f t="shared" si="7"/>
        <v>0</v>
      </c>
    </row>
    <row r="12" spans="1:24" x14ac:dyDescent="0.25">
      <c r="A12" s="88">
        <v>2014</v>
      </c>
      <c r="B12" s="170">
        <f>[2]Results!O31</f>
        <v>0.58189816657423132</v>
      </c>
      <c r="C12" s="134">
        <f t="shared" si="2"/>
        <v>12.219861498058858</v>
      </c>
      <c r="D12" s="171">
        <f t="shared" si="0"/>
        <v>12.219861498058858</v>
      </c>
      <c r="E12" s="111"/>
      <c r="F12" s="88">
        <v>2014</v>
      </c>
      <c r="G12" s="170">
        <f>[3]Results!O31</f>
        <v>0</v>
      </c>
      <c r="H12" s="134">
        <f t="shared" si="3"/>
        <v>0</v>
      </c>
      <c r="I12" s="171">
        <f t="shared" si="1"/>
        <v>0</v>
      </c>
      <c r="K12" s="88">
        <v>2014</v>
      </c>
      <c r="L12" s="172">
        <f>[4]Results!O31</f>
        <v>0.41264882321822116</v>
      </c>
      <c r="M12" s="134">
        <f t="shared" si="4"/>
        <v>8.6656252875826443</v>
      </c>
      <c r="N12" s="171">
        <f t="shared" si="5"/>
        <v>8.6656252875826443</v>
      </c>
      <c r="P12" s="88">
        <v>2014</v>
      </c>
      <c r="Q12" s="172">
        <f>[5]Results!O31</f>
        <v>0</v>
      </c>
      <c r="R12" s="134">
        <f t="shared" si="6"/>
        <v>0</v>
      </c>
      <c r="S12" s="171">
        <f t="shared" si="7"/>
        <v>0</v>
      </c>
    </row>
    <row r="13" spans="1:24" x14ac:dyDescent="0.25">
      <c r="A13" s="88">
        <v>2015</v>
      </c>
      <c r="B13" s="170">
        <f>[2]Results!O32</f>
        <v>0.59892208733178676</v>
      </c>
      <c r="C13" s="134">
        <f t="shared" si="2"/>
        <v>12.577363833967523</v>
      </c>
      <c r="D13" s="171">
        <f t="shared" si="0"/>
        <v>12.577363833967523</v>
      </c>
      <c r="E13" s="111"/>
      <c r="F13" s="88">
        <v>2015</v>
      </c>
      <c r="G13" s="170">
        <f>[3]Results!O32</f>
        <v>0</v>
      </c>
      <c r="H13" s="134">
        <f t="shared" si="3"/>
        <v>0</v>
      </c>
      <c r="I13" s="171">
        <f t="shared" si="1"/>
        <v>0</v>
      </c>
      <c r="K13" s="88">
        <v>2015</v>
      </c>
      <c r="L13" s="172">
        <f>[4]Results!O32</f>
        <v>0.42472121194651485</v>
      </c>
      <c r="M13" s="134">
        <f t="shared" si="4"/>
        <v>8.9191454508768118</v>
      </c>
      <c r="N13" s="171">
        <f t="shared" si="5"/>
        <v>8.9191454508768118</v>
      </c>
      <c r="P13" s="88">
        <v>2015</v>
      </c>
      <c r="Q13" s="172">
        <f>[5]Results!O32</f>
        <v>0</v>
      </c>
      <c r="R13" s="134">
        <f t="shared" si="6"/>
        <v>0</v>
      </c>
      <c r="S13" s="171">
        <f t="shared" si="7"/>
        <v>0</v>
      </c>
    </row>
    <row r="14" spans="1:24" x14ac:dyDescent="0.25">
      <c r="A14" s="88">
        <v>2016</v>
      </c>
      <c r="B14" s="170">
        <f>[2]Results!O33</f>
        <v>0.6168589224641684</v>
      </c>
      <c r="C14" s="134">
        <f t="shared" si="2"/>
        <v>12.954037371747537</v>
      </c>
      <c r="D14" s="171">
        <f t="shared" si="0"/>
        <v>12.954037371747537</v>
      </c>
      <c r="E14" s="111"/>
      <c r="F14" s="88">
        <v>2016</v>
      </c>
      <c r="G14" s="170">
        <f>[3]Results!O33</f>
        <v>0</v>
      </c>
      <c r="H14" s="134">
        <f t="shared" si="3"/>
        <v>0</v>
      </c>
      <c r="I14" s="171">
        <f t="shared" si="1"/>
        <v>0</v>
      </c>
      <c r="K14" s="88">
        <v>2016</v>
      </c>
      <c r="L14" s="172">
        <f>[4]Results!O33</f>
        <v>0.43744098721786784</v>
      </c>
      <c r="M14" s="134">
        <f t="shared" si="4"/>
        <v>9.1862607315752243</v>
      </c>
      <c r="N14" s="171">
        <f t="shared" si="5"/>
        <v>9.1862607315752243</v>
      </c>
      <c r="P14" s="88">
        <v>2016</v>
      </c>
      <c r="Q14" s="172">
        <f>[5]Results!O33</f>
        <v>0</v>
      </c>
      <c r="R14" s="134">
        <f t="shared" si="6"/>
        <v>0</v>
      </c>
      <c r="S14" s="171">
        <f t="shared" si="7"/>
        <v>0</v>
      </c>
    </row>
    <row r="15" spans="1:24" x14ac:dyDescent="0.25">
      <c r="A15" s="88">
        <v>2017</v>
      </c>
      <c r="B15" s="170">
        <f>[2]Results!O34</f>
        <v>0.63561862494002175</v>
      </c>
      <c r="C15" s="134">
        <f t="shared" ref="C15:C29" si="8">B15*21</f>
        <v>13.347991123740456</v>
      </c>
      <c r="D15" s="171">
        <f t="shared" ref="D15:D29" si="9">E15+C15</f>
        <v>13.347991123740456</v>
      </c>
      <c r="E15" s="111"/>
      <c r="F15" s="88">
        <v>2017</v>
      </c>
      <c r="G15" s="170">
        <f>[3]Results!O34</f>
        <v>0</v>
      </c>
      <c r="H15" s="134">
        <f t="shared" ref="H15:H29" si="10">G15*21</f>
        <v>0</v>
      </c>
      <c r="I15" s="171">
        <f t="shared" ref="I15:I29" si="11">J15+H15</f>
        <v>0</v>
      </c>
      <c r="K15" s="88">
        <v>2017</v>
      </c>
      <c r="L15" s="172">
        <f>[4]Results!O34</f>
        <v>0.45074429283946643</v>
      </c>
      <c r="M15" s="134">
        <f t="shared" ref="M15:M29" si="12">L15*21</f>
        <v>9.4656301496287956</v>
      </c>
      <c r="N15" s="171">
        <f t="shared" ref="N15:N29" si="13">O15+M15</f>
        <v>9.4656301496287956</v>
      </c>
      <c r="P15" s="88">
        <v>2017</v>
      </c>
      <c r="Q15" s="172">
        <f>[5]Results!O34</f>
        <v>0</v>
      </c>
      <c r="R15" s="134">
        <f t="shared" ref="R15:R29" si="14">Q15*21</f>
        <v>0</v>
      </c>
      <c r="S15" s="171">
        <f t="shared" ref="S15:S29" si="15">T15+R15</f>
        <v>0</v>
      </c>
    </row>
    <row r="16" spans="1:24" x14ac:dyDescent="0.25">
      <c r="A16" s="88">
        <v>2018</v>
      </c>
      <c r="B16" s="170">
        <f>[2]Results!O35</f>
        <v>0.64920913432302296</v>
      </c>
      <c r="C16" s="134">
        <f t="shared" si="8"/>
        <v>13.633391820783482</v>
      </c>
      <c r="D16" s="171">
        <f t="shared" si="9"/>
        <v>13.633391820783482</v>
      </c>
      <c r="E16" s="111"/>
      <c r="F16" s="88">
        <v>2018</v>
      </c>
      <c r="G16" s="170">
        <f>[3]Results!O35</f>
        <v>0</v>
      </c>
      <c r="H16" s="134">
        <f t="shared" si="10"/>
        <v>0</v>
      </c>
      <c r="I16" s="171">
        <f t="shared" si="11"/>
        <v>0</v>
      </c>
      <c r="K16" s="88">
        <v>2018</v>
      </c>
      <c r="L16" s="172">
        <f>[4]Results!O35</f>
        <v>0.46221821873318314</v>
      </c>
      <c r="M16" s="134">
        <f t="shared" si="12"/>
        <v>9.7065825933968455</v>
      </c>
      <c r="N16" s="171">
        <f t="shared" si="13"/>
        <v>9.7065825933968455</v>
      </c>
      <c r="P16" s="88">
        <v>2018</v>
      </c>
      <c r="Q16" s="172">
        <f>[5]Results!O35</f>
        <v>7.0362190806518609E-3</v>
      </c>
      <c r="R16" s="134">
        <f t="shared" si="14"/>
        <v>0.14776060069368907</v>
      </c>
      <c r="S16" s="171">
        <f t="shared" si="15"/>
        <v>0.14776060069368907</v>
      </c>
    </row>
    <row r="17" spans="1:19" x14ac:dyDescent="0.25">
      <c r="A17" s="88">
        <v>2019</v>
      </c>
      <c r="B17" s="170">
        <f>[2]Results!O36</f>
        <v>0.66888982435311295</v>
      </c>
      <c r="C17" s="134">
        <f t="shared" si="8"/>
        <v>14.046686311415371</v>
      </c>
      <c r="D17" s="171">
        <f t="shared" si="9"/>
        <v>14.046686311415371</v>
      </c>
      <c r="E17" s="111"/>
      <c r="F17" s="88">
        <v>2019</v>
      </c>
      <c r="G17" s="170">
        <f>[3]Results!O36</f>
        <v>0</v>
      </c>
      <c r="H17" s="134">
        <f t="shared" si="10"/>
        <v>0</v>
      </c>
      <c r="I17" s="171">
        <f t="shared" si="11"/>
        <v>0</v>
      </c>
      <c r="K17" s="88">
        <v>2019</v>
      </c>
      <c r="L17" s="172">
        <f>[4]Results!O36</f>
        <v>0.47147889410755567</v>
      </c>
      <c r="M17" s="134">
        <f t="shared" si="12"/>
        <v>9.9010567762586685</v>
      </c>
      <c r="N17" s="171">
        <f t="shared" si="13"/>
        <v>9.9010567762586685</v>
      </c>
      <c r="P17" s="88">
        <v>2019</v>
      </c>
      <c r="Q17" s="172">
        <f>[5]Results!O36</f>
        <v>1.2735140422550192E-2</v>
      </c>
      <c r="R17" s="134">
        <f t="shared" si="14"/>
        <v>0.26743794887355404</v>
      </c>
      <c r="S17" s="171">
        <f t="shared" si="15"/>
        <v>0.26743794887355404</v>
      </c>
    </row>
    <row r="18" spans="1:19" x14ac:dyDescent="0.25">
      <c r="A18" s="88">
        <v>2020</v>
      </c>
      <c r="B18" s="170">
        <f>[2]Results!O37</f>
        <v>0.69311193147303041</v>
      </c>
      <c r="C18" s="134">
        <f t="shared" si="8"/>
        <v>14.555350560933638</v>
      </c>
      <c r="D18" s="171">
        <f t="shared" si="9"/>
        <v>14.555350560933638</v>
      </c>
      <c r="E18" s="111"/>
      <c r="F18" s="88">
        <v>2020</v>
      </c>
      <c r="G18" s="170">
        <f>[3]Results!O37</f>
        <v>0</v>
      </c>
      <c r="H18" s="134">
        <f t="shared" si="10"/>
        <v>0</v>
      </c>
      <c r="I18" s="171">
        <f t="shared" si="11"/>
        <v>0</v>
      </c>
      <c r="K18" s="88">
        <v>2020</v>
      </c>
      <c r="L18" s="172">
        <f>[4]Results!O37</f>
        <v>0.47905818731827082</v>
      </c>
      <c r="M18" s="134">
        <f t="shared" si="12"/>
        <v>10.060221933683687</v>
      </c>
      <c r="N18" s="171">
        <f t="shared" si="13"/>
        <v>10.060221933683687</v>
      </c>
      <c r="P18" s="88">
        <v>2020</v>
      </c>
      <c r="Q18" s="172">
        <f>[5]Results!O37</f>
        <v>1.7599956940829945E-2</v>
      </c>
      <c r="R18" s="134">
        <f t="shared" si="14"/>
        <v>0.36959909575742883</v>
      </c>
      <c r="S18" s="171">
        <f t="shared" si="15"/>
        <v>0.36959909575742883</v>
      </c>
    </row>
    <row r="19" spans="1:19" x14ac:dyDescent="0.25">
      <c r="A19" s="88">
        <v>2021</v>
      </c>
      <c r="B19" s="170">
        <f>[2]Results!O38</f>
        <v>0.72082906258056223</v>
      </c>
      <c r="C19" s="134">
        <f t="shared" si="8"/>
        <v>15.137410314191808</v>
      </c>
      <c r="D19" s="171">
        <f t="shared" si="9"/>
        <v>15.137410314191808</v>
      </c>
      <c r="E19" s="111"/>
      <c r="F19" s="88">
        <v>2021</v>
      </c>
      <c r="G19" s="170">
        <f>[3]Results!O38</f>
        <v>0</v>
      </c>
      <c r="H19" s="134">
        <f t="shared" si="10"/>
        <v>0</v>
      </c>
      <c r="I19" s="171">
        <f t="shared" si="11"/>
        <v>0</v>
      </c>
      <c r="K19" s="88">
        <v>2021</v>
      </c>
      <c r="L19" s="172">
        <f>[4]Results!O38</f>
        <v>0.48532618999878857</v>
      </c>
      <c r="M19" s="134">
        <f t="shared" si="12"/>
        <v>10.19184998997456</v>
      </c>
      <c r="N19" s="171">
        <f t="shared" si="13"/>
        <v>10.19184998997456</v>
      </c>
      <c r="P19" s="88">
        <v>2021</v>
      </c>
      <c r="Q19" s="172">
        <f>[5]Results!O38</f>
        <v>2.1977691253965745E-2</v>
      </c>
      <c r="R19" s="134">
        <f t="shared" si="14"/>
        <v>0.46153151633328066</v>
      </c>
      <c r="S19" s="171">
        <f t="shared" si="15"/>
        <v>0.46153151633328066</v>
      </c>
    </row>
    <row r="20" spans="1:19" x14ac:dyDescent="0.25">
      <c r="A20" s="88">
        <v>2022</v>
      </c>
      <c r="B20" s="170">
        <f>[2]Results!O39</f>
        <v>0.7513331022822487</v>
      </c>
      <c r="C20" s="134">
        <f t="shared" si="8"/>
        <v>15.777995147927223</v>
      </c>
      <c r="D20" s="171">
        <f t="shared" si="9"/>
        <v>15.777995147927223</v>
      </c>
      <c r="E20" s="111"/>
      <c r="F20" s="88">
        <v>2022</v>
      </c>
      <c r="G20" s="170">
        <f>[3]Results!O39</f>
        <v>0</v>
      </c>
      <c r="H20" s="134">
        <f t="shared" si="10"/>
        <v>0</v>
      </c>
      <c r="I20" s="171">
        <f t="shared" si="11"/>
        <v>0</v>
      </c>
      <c r="K20" s="88">
        <v>2022</v>
      </c>
      <c r="L20" s="172">
        <f>[4]Results!O39</f>
        <v>0.49054323088441237</v>
      </c>
      <c r="M20" s="134">
        <f t="shared" si="12"/>
        <v>10.30140784857266</v>
      </c>
      <c r="N20" s="171">
        <f t="shared" si="13"/>
        <v>10.30140784857266</v>
      </c>
      <c r="P20" s="88">
        <v>2022</v>
      </c>
      <c r="Q20" s="172">
        <f>[5]Results!O39</f>
        <v>2.6110918073450201E-2</v>
      </c>
      <c r="R20" s="134">
        <f t="shared" si="14"/>
        <v>0.54832927954245425</v>
      </c>
      <c r="S20" s="171">
        <f t="shared" si="15"/>
        <v>0.54832927954245425</v>
      </c>
    </row>
    <row r="21" spans="1:19" x14ac:dyDescent="0.25">
      <c r="A21" s="88">
        <v>2023</v>
      </c>
      <c r="B21" s="170">
        <f>[2]Results!O40</f>
        <v>0.78414383934188014</v>
      </c>
      <c r="C21" s="134">
        <f t="shared" si="8"/>
        <v>16.467020626179483</v>
      </c>
      <c r="D21" s="171">
        <f t="shared" si="9"/>
        <v>16.467020626179483</v>
      </c>
      <c r="E21" s="111"/>
      <c r="F21" s="88">
        <v>2023</v>
      </c>
      <c r="G21" s="170">
        <f>[3]Results!O40</f>
        <v>0</v>
      </c>
      <c r="H21" s="134">
        <f t="shared" si="10"/>
        <v>0</v>
      </c>
      <c r="I21" s="171">
        <f t="shared" si="11"/>
        <v>0</v>
      </c>
      <c r="K21" s="88">
        <v>2023</v>
      </c>
      <c r="L21" s="172">
        <f>[4]Results!O40</f>
        <v>0.49489491980175493</v>
      </c>
      <c r="M21" s="134">
        <f t="shared" si="12"/>
        <v>10.392793315836853</v>
      </c>
      <c r="N21" s="171">
        <f t="shared" si="13"/>
        <v>10.392793315836853</v>
      </c>
      <c r="P21" s="88">
        <v>2023</v>
      </c>
      <c r="Q21" s="172">
        <f>[5]Results!O40</f>
        <v>3.0172546118575359E-2</v>
      </c>
      <c r="R21" s="134">
        <f t="shared" si="14"/>
        <v>0.63362346849008255</v>
      </c>
      <c r="S21" s="171">
        <f t="shared" si="15"/>
        <v>0.63362346849008255</v>
      </c>
    </row>
    <row r="22" spans="1:19" x14ac:dyDescent="0.25">
      <c r="A22" s="88">
        <v>2024</v>
      </c>
      <c r="B22" s="170">
        <f>[2]Results!O41</f>
        <v>0.81893464330484445</v>
      </c>
      <c r="C22" s="134">
        <f t="shared" si="8"/>
        <v>17.197627509401734</v>
      </c>
      <c r="D22" s="171">
        <f t="shared" si="9"/>
        <v>17.197627509401734</v>
      </c>
      <c r="E22" s="111"/>
      <c r="F22" s="88">
        <v>2024</v>
      </c>
      <c r="G22" s="170">
        <f>[3]Results!O41</f>
        <v>0</v>
      </c>
      <c r="H22" s="134">
        <f t="shared" si="10"/>
        <v>0</v>
      </c>
      <c r="I22" s="171">
        <f t="shared" si="11"/>
        <v>0</v>
      </c>
      <c r="K22" s="88">
        <v>2024</v>
      </c>
      <c r="L22" s="172">
        <f>[4]Results!O41</f>
        <v>0.49851578950314812</v>
      </c>
      <c r="M22" s="134">
        <f t="shared" si="12"/>
        <v>10.46883157956611</v>
      </c>
      <c r="N22" s="171">
        <f t="shared" si="13"/>
        <v>10.46883157956611</v>
      </c>
      <c r="P22" s="88">
        <v>2024</v>
      </c>
      <c r="Q22" s="172">
        <f>[5]Results!O41</f>
        <v>3.4289239669256663E-2</v>
      </c>
      <c r="R22" s="134">
        <f t="shared" si="14"/>
        <v>0.72007403305438988</v>
      </c>
      <c r="S22" s="171">
        <f t="shared" si="15"/>
        <v>0.72007403305438988</v>
      </c>
    </row>
    <row r="23" spans="1:19" x14ac:dyDescent="0.25">
      <c r="A23" s="88">
        <v>2025</v>
      </c>
      <c r="B23" s="170">
        <f>[2]Results!O42</f>
        <v>0.85548233937233042</v>
      </c>
      <c r="C23" s="134">
        <f t="shared" si="8"/>
        <v>17.96512912681894</v>
      </c>
      <c r="D23" s="171">
        <f t="shared" si="9"/>
        <v>17.96512912681894</v>
      </c>
      <c r="E23" s="111"/>
      <c r="F23" s="88">
        <v>2025</v>
      </c>
      <c r="G23" s="170">
        <f>[3]Results!O42</f>
        <v>0</v>
      </c>
      <c r="H23" s="134">
        <f t="shared" si="10"/>
        <v>0</v>
      </c>
      <c r="I23" s="171">
        <f t="shared" si="11"/>
        <v>0</v>
      </c>
      <c r="K23" s="88">
        <v>2025</v>
      </c>
      <c r="L23" s="172">
        <f>[4]Results!O42</f>
        <v>0.50150527165653191</v>
      </c>
      <c r="M23" s="134">
        <f t="shared" si="12"/>
        <v>10.53161070478717</v>
      </c>
      <c r="N23" s="171">
        <f t="shared" si="13"/>
        <v>10.53161070478717</v>
      </c>
      <c r="P23" s="88">
        <v>2025</v>
      </c>
      <c r="Q23" s="172">
        <f>[5]Results!O42</f>
        <v>3.8557221999840213E-2</v>
      </c>
      <c r="R23" s="134">
        <f t="shared" si="14"/>
        <v>0.80970166199664451</v>
      </c>
      <c r="S23" s="171">
        <f t="shared" si="15"/>
        <v>0.80970166199664451</v>
      </c>
    </row>
    <row r="24" spans="1:19" x14ac:dyDescent="0.25">
      <c r="A24" s="88">
        <v>2026</v>
      </c>
      <c r="B24" s="170">
        <f>[2]Results!O43</f>
        <v>0.89363333002944934</v>
      </c>
      <c r="C24" s="134">
        <f t="shared" si="8"/>
        <v>18.766299930618437</v>
      </c>
      <c r="D24" s="171">
        <f t="shared" si="9"/>
        <v>18.766299930618437</v>
      </c>
      <c r="E24" s="111"/>
      <c r="F24" s="88">
        <v>2026</v>
      </c>
      <c r="G24" s="170">
        <f>[3]Results!O43</f>
        <v>0</v>
      </c>
      <c r="H24" s="134">
        <f t="shared" si="10"/>
        <v>0</v>
      </c>
      <c r="I24" s="171">
        <f t="shared" si="11"/>
        <v>0</v>
      </c>
      <c r="K24" s="88">
        <v>2026</v>
      </c>
      <c r="L24" s="172">
        <f>[4]Results!O43</f>
        <v>0.50393851504482567</v>
      </c>
      <c r="M24" s="134">
        <f t="shared" si="12"/>
        <v>10.58270881594134</v>
      </c>
      <c r="N24" s="171">
        <f t="shared" si="13"/>
        <v>10.58270881594134</v>
      </c>
      <c r="P24" s="88">
        <v>2026</v>
      </c>
      <c r="Q24" s="172">
        <f>[5]Results!O43</f>
        <v>4.3052970781535235E-2</v>
      </c>
      <c r="R24" s="134">
        <f t="shared" si="14"/>
        <v>0.9041123864122399</v>
      </c>
      <c r="S24" s="171">
        <f t="shared" si="15"/>
        <v>0.9041123864122399</v>
      </c>
    </row>
    <row r="25" spans="1:19" x14ac:dyDescent="0.25">
      <c r="A25" s="88">
        <v>2027</v>
      </c>
      <c r="B25" s="170">
        <f>[2]Results!O44</f>
        <v>0.93328062739832995</v>
      </c>
      <c r="C25" s="134">
        <f t="shared" si="8"/>
        <v>19.598893175364928</v>
      </c>
      <c r="D25" s="171">
        <f t="shared" si="9"/>
        <v>19.598893175364928</v>
      </c>
      <c r="E25" s="111"/>
      <c r="F25" s="88">
        <v>2027</v>
      </c>
      <c r="G25" s="170">
        <f>[3]Results!O44</f>
        <v>0</v>
      </c>
      <c r="H25" s="134">
        <f t="shared" si="10"/>
        <v>0</v>
      </c>
      <c r="I25" s="171">
        <f t="shared" si="11"/>
        <v>0</v>
      </c>
      <c r="K25" s="88">
        <v>2027</v>
      </c>
      <c r="L25" s="172">
        <f>[4]Results!O44</f>
        <v>0.50587373015272885</v>
      </c>
      <c r="M25" s="134">
        <f t="shared" si="12"/>
        <v>10.623348333207305</v>
      </c>
      <c r="N25" s="171">
        <f t="shared" si="13"/>
        <v>10.623348333207305</v>
      </c>
      <c r="P25" s="88">
        <v>2027</v>
      </c>
      <c r="Q25" s="172">
        <f>[5]Results!O44</f>
        <v>4.7840489445619382E-2</v>
      </c>
      <c r="R25" s="134">
        <f t="shared" si="14"/>
        <v>1.0046502783580069</v>
      </c>
      <c r="S25" s="171">
        <f t="shared" si="15"/>
        <v>1.0046502783580069</v>
      </c>
    </row>
    <row r="26" spans="1:19" x14ac:dyDescent="0.25">
      <c r="A26" s="88">
        <v>2028</v>
      </c>
      <c r="B26" s="170">
        <f>[2]Results!O45</f>
        <v>0.97434821426024831</v>
      </c>
      <c r="C26" s="134">
        <f t="shared" si="8"/>
        <v>20.461312499465215</v>
      </c>
      <c r="D26" s="171">
        <f t="shared" si="9"/>
        <v>20.461312499465215</v>
      </c>
      <c r="E26" s="111"/>
      <c r="F26" s="88">
        <v>2028</v>
      </c>
      <c r="G26" s="170">
        <f>[3]Results!O45</f>
        <v>0</v>
      </c>
      <c r="H26" s="134">
        <f t="shared" si="10"/>
        <v>0</v>
      </c>
      <c r="I26" s="171">
        <f t="shared" si="11"/>
        <v>0</v>
      </c>
      <c r="K26" s="88">
        <v>2028</v>
      </c>
      <c r="L26" s="172">
        <f>[4]Results!O45</f>
        <v>0.50735719159330883</v>
      </c>
      <c r="M26" s="134">
        <f t="shared" si="12"/>
        <v>10.654501023459485</v>
      </c>
      <c r="N26" s="171">
        <f t="shared" si="13"/>
        <v>10.654501023459485</v>
      </c>
      <c r="P26" s="88">
        <v>2028</v>
      </c>
      <c r="Q26" s="172">
        <f>[5]Results!O45</f>
        <v>5.2976284625939014E-2</v>
      </c>
      <c r="R26" s="134">
        <f t="shared" si="14"/>
        <v>1.1125019771447193</v>
      </c>
      <c r="S26" s="171">
        <f t="shared" si="15"/>
        <v>1.1125019771447193</v>
      </c>
    </row>
    <row r="27" spans="1:19" x14ac:dyDescent="0.25">
      <c r="A27" s="88">
        <v>2029</v>
      </c>
      <c r="B27" s="170">
        <f>[2]Results!O46</f>
        <v>1.0167803280533874</v>
      </c>
      <c r="C27" s="134">
        <f t="shared" si="8"/>
        <v>21.352386889121135</v>
      </c>
      <c r="D27" s="171">
        <f t="shared" si="9"/>
        <v>21.352386889121135</v>
      </c>
      <c r="E27" s="111"/>
      <c r="F27" s="88">
        <v>2029</v>
      </c>
      <c r="G27" s="170">
        <f>[3]Results!O46</f>
        <v>0</v>
      </c>
      <c r="H27" s="134">
        <f t="shared" si="10"/>
        <v>0</v>
      </c>
      <c r="I27" s="171">
        <f t="shared" si="11"/>
        <v>0</v>
      </c>
      <c r="K27" s="88">
        <v>2029</v>
      </c>
      <c r="L27" s="172">
        <f>[4]Results!O46</f>
        <v>0.50842665893139938</v>
      </c>
      <c r="M27" s="134">
        <f t="shared" si="12"/>
        <v>10.676959837559387</v>
      </c>
      <c r="N27" s="171">
        <f t="shared" si="13"/>
        <v>10.676959837559387</v>
      </c>
      <c r="P27" s="88">
        <v>2029</v>
      </c>
      <c r="Q27" s="172">
        <f>[5]Results!O46</f>
        <v>5.8512808428820971E-2</v>
      </c>
      <c r="R27" s="134">
        <f t="shared" si="14"/>
        <v>1.2287689770052403</v>
      </c>
      <c r="S27" s="171">
        <f t="shared" si="15"/>
        <v>1.2287689770052403</v>
      </c>
    </row>
    <row r="28" spans="1:19" x14ac:dyDescent="0.25">
      <c r="A28" s="88">
        <v>2030</v>
      </c>
      <c r="B28" s="170">
        <f>[2]Results!O47</f>
        <v>1.0605340512175534</v>
      </c>
      <c r="C28" s="134">
        <f t="shared" si="8"/>
        <v>22.27121507556862</v>
      </c>
      <c r="D28" s="171">
        <f t="shared" si="9"/>
        <v>22.27121507556862</v>
      </c>
      <c r="E28" s="111"/>
      <c r="F28" s="88">
        <v>2030</v>
      </c>
      <c r="G28" s="170">
        <f>[3]Results!O47</f>
        <v>0</v>
      </c>
      <c r="H28" s="134">
        <f t="shared" si="10"/>
        <v>0</v>
      </c>
      <c r="I28" s="171">
        <f t="shared" si="11"/>
        <v>0</v>
      </c>
      <c r="K28" s="88">
        <v>2030</v>
      </c>
      <c r="L28" s="172">
        <f>[4]Results!O47</f>
        <v>0.50911372751127337</v>
      </c>
      <c r="M28" s="134">
        <f t="shared" si="12"/>
        <v>10.69138827773674</v>
      </c>
      <c r="N28" s="171">
        <f t="shared" si="13"/>
        <v>10.69138827773674</v>
      </c>
      <c r="P28" s="88">
        <v>2030</v>
      </c>
      <c r="Q28" s="172">
        <f>[5]Results!O47</f>
        <v>6.4500875267461566E-2</v>
      </c>
      <c r="R28" s="134">
        <f t="shared" si="14"/>
        <v>1.3545183806166929</v>
      </c>
      <c r="S28" s="171">
        <f t="shared" si="15"/>
        <v>1.3545183806166929</v>
      </c>
    </row>
    <row r="29" spans="1:19" x14ac:dyDescent="0.25">
      <c r="A29" s="88">
        <v>2031</v>
      </c>
      <c r="B29" s="148"/>
      <c r="C29" s="109">
        <f t="shared" si="8"/>
        <v>0</v>
      </c>
      <c r="D29" s="110">
        <f t="shared" si="9"/>
        <v>0</v>
      </c>
      <c r="E29" s="111"/>
      <c r="F29" s="88">
        <v>2031</v>
      </c>
      <c r="G29" s="148"/>
      <c r="H29" s="109">
        <f t="shared" si="10"/>
        <v>0</v>
      </c>
      <c r="I29" s="110">
        <f t="shared" si="11"/>
        <v>0</v>
      </c>
      <c r="K29" s="88">
        <v>2031</v>
      </c>
      <c r="L29" s="147"/>
      <c r="M29" s="109">
        <f t="shared" si="12"/>
        <v>0</v>
      </c>
      <c r="N29" s="110">
        <f t="shared" si="13"/>
        <v>0</v>
      </c>
      <c r="P29" s="88">
        <v>2031</v>
      </c>
      <c r="Q29" s="147"/>
      <c r="R29" s="112">
        <f t="shared" si="14"/>
        <v>0</v>
      </c>
      <c r="S29" s="113">
        <f t="shared" si="15"/>
        <v>0</v>
      </c>
    </row>
    <row r="31" spans="1:19" ht="15.75" thickBot="1" x14ac:dyDescent="0.3">
      <c r="A31" s="114" t="s">
        <v>127</v>
      </c>
    </row>
    <row r="32" spans="1:19" ht="15.75" thickBot="1" x14ac:dyDescent="0.3">
      <c r="A32" s="201" t="s">
        <v>11</v>
      </c>
      <c r="B32" s="203" t="s">
        <v>81</v>
      </c>
      <c r="C32" s="204"/>
      <c r="D32" s="204"/>
      <c r="E32" s="204"/>
      <c r="F32" s="205"/>
    </row>
    <row r="33" spans="1:6" ht="18.75" thickBot="1" x14ac:dyDescent="0.3">
      <c r="A33" s="202"/>
      <c r="B33" s="203" t="s">
        <v>129</v>
      </c>
      <c r="C33" s="205"/>
      <c r="D33" s="203" t="s">
        <v>133</v>
      </c>
      <c r="E33" s="205"/>
      <c r="F33" s="206" t="s">
        <v>130</v>
      </c>
    </row>
    <row r="34" spans="1:6" ht="18" x14ac:dyDescent="0.25">
      <c r="A34" s="202"/>
      <c r="B34" s="115" t="s">
        <v>131</v>
      </c>
      <c r="C34" s="115" t="s">
        <v>132</v>
      </c>
      <c r="D34" s="115" t="s">
        <v>134</v>
      </c>
      <c r="E34" s="115" t="s">
        <v>132</v>
      </c>
      <c r="F34" s="207"/>
    </row>
    <row r="35" spans="1:6" x14ac:dyDescent="0.25">
      <c r="A35" s="88">
        <v>2011</v>
      </c>
      <c r="B35" s="109">
        <f>[6]REKAPITULASI!B6</f>
        <v>2.0086487999999999E-3</v>
      </c>
      <c r="C35" s="109">
        <f>B35*21</f>
        <v>4.2181624799999998E-2</v>
      </c>
      <c r="D35" s="109">
        <f>[6]REKAPITULASI!D6</f>
        <v>1.5064865999999999E-4</v>
      </c>
      <c r="E35" s="109">
        <f>D35*310</f>
        <v>4.6701084599999998E-2</v>
      </c>
      <c r="F35" s="171">
        <f>E35+C35</f>
        <v>8.8882709399999996E-2</v>
      </c>
    </row>
    <row r="36" spans="1:6" x14ac:dyDescent="0.25">
      <c r="A36" s="88">
        <v>2012</v>
      </c>
      <c r="B36" s="109">
        <f>[6]REKAPITULASI!B7</f>
        <v>2.0690208000000002E-3</v>
      </c>
      <c r="C36" s="109">
        <f t="shared" ref="C36:C45" si="16">B36*21</f>
        <v>4.3449436800000005E-2</v>
      </c>
      <c r="D36" s="109">
        <f>[6]REKAPITULASI!D7</f>
        <v>1.5517655999999999E-4</v>
      </c>
      <c r="E36" s="109">
        <f t="shared" ref="E36:E45" si="17">D36*310</f>
        <v>4.8104733599999998E-2</v>
      </c>
      <c r="F36" s="171">
        <f t="shared" ref="F36:F45" si="18">E36+C36</f>
        <v>9.1554170399999996E-2</v>
      </c>
    </row>
    <row r="37" spans="1:6" x14ac:dyDescent="0.25">
      <c r="A37" s="88">
        <v>2013</v>
      </c>
      <c r="B37" s="109">
        <f>[6]REKAPITULASI!B8</f>
        <v>2.1317904000000003E-3</v>
      </c>
      <c r="C37" s="109">
        <f t="shared" si="16"/>
        <v>4.4767598400000004E-2</v>
      </c>
      <c r="D37" s="109">
        <f>[6]REKAPITULASI!D8</f>
        <v>1.5988428000000002E-4</v>
      </c>
      <c r="E37" s="109">
        <f t="shared" si="17"/>
        <v>4.9564126800000004E-2</v>
      </c>
      <c r="F37" s="171">
        <f t="shared" si="18"/>
        <v>9.4331725200000008E-2</v>
      </c>
    </row>
    <row r="38" spans="1:6" x14ac:dyDescent="0.25">
      <c r="A38" s="88">
        <v>2014</v>
      </c>
      <c r="B38" s="109">
        <f>[6]REKAPITULASI!B9</f>
        <v>2.1948084000000005E-3</v>
      </c>
      <c r="C38" s="109">
        <f t="shared" si="16"/>
        <v>4.6090976400000011E-2</v>
      </c>
      <c r="D38" s="109">
        <f>[6]REKAPITULASI!D9</f>
        <v>1.6461063000000001E-4</v>
      </c>
      <c r="E38" s="109">
        <f t="shared" si="17"/>
        <v>5.1029295300000006E-2</v>
      </c>
      <c r="F38" s="171">
        <f t="shared" si="18"/>
        <v>9.712027170000001E-2</v>
      </c>
    </row>
    <row r="39" spans="1:6" x14ac:dyDescent="0.25">
      <c r="A39" s="88">
        <v>2015</v>
      </c>
      <c r="B39" s="109">
        <f>[6]REKAPITULASI!B10</f>
        <v>2.2560444000000006E-3</v>
      </c>
      <c r="C39" s="109">
        <f t="shared" si="16"/>
        <v>4.7376932400000016E-2</v>
      </c>
      <c r="D39" s="109">
        <f>[6]REKAPITULASI!D10</f>
        <v>1.6920333000000002E-4</v>
      </c>
      <c r="E39" s="109">
        <f t="shared" si="17"/>
        <v>5.2453032300000008E-2</v>
      </c>
      <c r="F39" s="171">
        <f t="shared" si="18"/>
        <v>9.9829964700000023E-2</v>
      </c>
    </row>
    <row r="40" spans="1:6" x14ac:dyDescent="0.25">
      <c r="A40" s="88">
        <v>2016</v>
      </c>
      <c r="B40" s="109">
        <f>[6]REKAPITULASI!B11</f>
        <v>2.3201424000000004E-3</v>
      </c>
      <c r="C40" s="109">
        <f t="shared" si="16"/>
        <v>4.8722990400000006E-2</v>
      </c>
      <c r="D40" s="109">
        <f>[6]REKAPITULASI!D11</f>
        <v>1.7401068000000002E-4</v>
      </c>
      <c r="E40" s="109">
        <f t="shared" si="17"/>
        <v>5.3943310800000005E-2</v>
      </c>
      <c r="F40" s="171">
        <f t="shared" si="18"/>
        <v>0.1026663012</v>
      </c>
    </row>
    <row r="41" spans="1:6" x14ac:dyDescent="0.25">
      <c r="A41" s="88">
        <v>2017</v>
      </c>
      <c r="B41" s="109">
        <f>[6]REKAPITULASI!B12</f>
        <v>2.4692550537600004E-3</v>
      </c>
      <c r="C41" s="109">
        <f t="shared" si="16"/>
        <v>5.1854356128960007E-2</v>
      </c>
      <c r="D41" s="109">
        <f>[6]REKAPITULASI!D12</f>
        <v>1.8519412903200003E-4</v>
      </c>
      <c r="E41" s="109">
        <f t="shared" si="17"/>
        <v>5.7410179999920007E-2</v>
      </c>
      <c r="F41" s="171">
        <f t="shared" si="18"/>
        <v>0.10926453612888001</v>
      </c>
    </row>
    <row r="42" spans="1:6" x14ac:dyDescent="0.25">
      <c r="A42" s="88">
        <v>2018</v>
      </c>
      <c r="B42" s="109">
        <f>[6]REKAPITULASI!B13</f>
        <v>2.6093620488741296E-3</v>
      </c>
      <c r="C42" s="109">
        <f t="shared" si="16"/>
        <v>5.4796603026356722E-2</v>
      </c>
      <c r="D42" s="109">
        <f>[6]REKAPITULASI!D13</f>
        <v>1.9570215366555971E-4</v>
      </c>
      <c r="E42" s="109">
        <f t="shared" si="17"/>
        <v>6.0667667636323509E-2</v>
      </c>
      <c r="F42" s="171">
        <f t="shared" si="18"/>
        <v>0.11546427066268022</v>
      </c>
    </row>
    <row r="43" spans="1:6" x14ac:dyDescent="0.25">
      <c r="A43" s="88">
        <v>2019</v>
      </c>
      <c r="B43" s="109">
        <f>[6]REKAPITULASI!B14</f>
        <v>2.7554494902923485E-3</v>
      </c>
      <c r="C43" s="109">
        <f t="shared" si="16"/>
        <v>5.7864439296139318E-2</v>
      </c>
      <c r="D43" s="109">
        <f>[6]REKAPITULASI!D14</f>
        <v>2.0665871177192612E-4</v>
      </c>
      <c r="E43" s="109">
        <f t="shared" si="17"/>
        <v>6.4064200649297104E-2</v>
      </c>
      <c r="F43" s="171">
        <f t="shared" si="18"/>
        <v>0.12192863994543643</v>
      </c>
    </row>
    <row r="44" spans="1:6" x14ac:dyDescent="0.25">
      <c r="A44" s="88">
        <v>2020</v>
      </c>
      <c r="B44" s="109">
        <f>[6]REKAPITULASI!B15</f>
        <v>2.9077444615472079E-3</v>
      </c>
      <c r="C44" s="109">
        <f t="shared" si="16"/>
        <v>6.1062633692491368E-2</v>
      </c>
      <c r="D44" s="109">
        <f>[6]REKAPITULASI!D15</f>
        <v>2.1808083461604058E-4</v>
      </c>
      <c r="E44" s="109">
        <f t="shared" si="17"/>
        <v>6.7605058730972584E-2</v>
      </c>
      <c r="F44" s="171">
        <f t="shared" si="18"/>
        <v>0.12866769242346396</v>
      </c>
    </row>
    <row r="45" spans="1:6" x14ac:dyDescent="0.25">
      <c r="A45" s="88">
        <v>2021</v>
      </c>
      <c r="B45" s="109">
        <f>[6]REKAPITULASI!B16</f>
        <v>3.0664821323151039E-3</v>
      </c>
      <c r="C45" s="109">
        <f t="shared" si="16"/>
        <v>6.4396124778617184E-2</v>
      </c>
      <c r="D45" s="109">
        <f>[6]REKAPITULASI!D16</f>
        <v>2.2998615992363277E-4</v>
      </c>
      <c r="E45" s="109">
        <f t="shared" si="17"/>
        <v>7.1295709576326152E-2</v>
      </c>
      <c r="F45" s="171">
        <f t="shared" si="18"/>
        <v>0.13569183435494334</v>
      </c>
    </row>
    <row r="46" spans="1:6" x14ac:dyDescent="0.25">
      <c r="A46" s="88">
        <v>2022</v>
      </c>
      <c r="B46" s="109">
        <f>[6]REKAPITULASI!B17</f>
        <v>3.2319060348778789E-3</v>
      </c>
      <c r="C46" s="109">
        <f t="shared" ref="C46:C55" si="19">B46*21</f>
        <v>6.7870026732435459E-2</v>
      </c>
      <c r="D46" s="109">
        <f>[6]REKAPITULASI!D17</f>
        <v>2.4239295261584091E-4</v>
      </c>
      <c r="E46" s="109">
        <f t="shared" ref="E46:E55" si="20">D46*310</f>
        <v>7.5141815310910687E-2</v>
      </c>
      <c r="F46" s="171">
        <f t="shared" ref="F46:F55" si="21">E46+C46</f>
        <v>0.14301184204334616</v>
      </c>
    </row>
    <row r="47" spans="1:6" x14ac:dyDescent="0.25">
      <c r="A47" s="88">
        <v>2023</v>
      </c>
      <c r="B47" s="109">
        <f>[6]REKAPITULASI!B18</f>
        <v>3.4042683497747584E-3</v>
      </c>
      <c r="C47" s="109">
        <f t="shared" si="19"/>
        <v>7.1489635345269933E-2</v>
      </c>
      <c r="D47" s="109">
        <f>[6]REKAPITULASI!D18</f>
        <v>2.5532012623310688E-4</v>
      </c>
      <c r="E47" s="109">
        <f t="shared" si="20"/>
        <v>7.9149239132263127E-2</v>
      </c>
      <c r="F47" s="171">
        <f t="shared" si="21"/>
        <v>0.15063887447753305</v>
      </c>
    </row>
    <row r="48" spans="1:6" x14ac:dyDescent="0.25">
      <c r="A48" s="88">
        <v>2024</v>
      </c>
      <c r="B48" s="109">
        <f>[6]REKAPITULASI!B19</f>
        <v>3.5838302009439317E-3</v>
      </c>
      <c r="C48" s="109">
        <f t="shared" si="19"/>
        <v>7.5260434219822564E-2</v>
      </c>
      <c r="D48" s="109">
        <f>[6]REKAPITULASI!D19</f>
        <v>2.6878726507079489E-4</v>
      </c>
      <c r="E48" s="109">
        <f t="shared" si="20"/>
        <v>8.3324052171946411E-2</v>
      </c>
      <c r="F48" s="171">
        <f t="shared" si="21"/>
        <v>0.15858448639176898</v>
      </c>
    </row>
    <row r="49" spans="1:10" x14ac:dyDescent="0.25">
      <c r="A49" s="88">
        <v>2025</v>
      </c>
      <c r="B49" s="109">
        <f>[6]REKAPITULASI!B20</f>
        <v>3.7708619606626427E-3</v>
      </c>
      <c r="C49" s="109">
        <f t="shared" si="19"/>
        <v>7.918810117391549E-2</v>
      </c>
      <c r="D49" s="109">
        <f>[6]REKAPITULASI!D20</f>
        <v>2.8281464704969821E-4</v>
      </c>
      <c r="E49" s="109">
        <f t="shared" si="20"/>
        <v>8.7672540585406439E-2</v>
      </c>
      <c r="F49" s="171">
        <f t="shared" si="21"/>
        <v>0.16686064175932191</v>
      </c>
    </row>
    <row r="50" spans="1:10" x14ac:dyDescent="0.25">
      <c r="A50" s="88">
        <v>2026</v>
      </c>
      <c r="B50" s="109">
        <f>[6]REKAPITULASI!B21</f>
        <v>3.9656435646046023E-3</v>
      </c>
      <c r="C50" s="109">
        <f t="shared" si="19"/>
        <v>8.3278514856696642E-2</v>
      </c>
      <c r="D50" s="109">
        <f>[6]REKAPITULASI!D21</f>
        <v>2.9742326734534514E-4</v>
      </c>
      <c r="E50" s="109">
        <f t="shared" si="20"/>
        <v>9.2201212877056987E-2</v>
      </c>
      <c r="F50" s="171">
        <f t="shared" si="21"/>
        <v>0.17547972773375364</v>
      </c>
    </row>
    <row r="51" spans="1:10" x14ac:dyDescent="0.25">
      <c r="A51" s="88">
        <v>2027</v>
      </c>
      <c r="B51" s="109">
        <f>[6]REKAPITULASI!B22</f>
        <v>4.1684648373437059E-3</v>
      </c>
      <c r="C51" s="109">
        <f t="shared" si="19"/>
        <v>8.7537761584217819E-2</v>
      </c>
      <c r="D51" s="109">
        <f>[6]REKAPITULASI!D22</f>
        <v>3.1263486280077793E-4</v>
      </c>
      <c r="E51" s="109">
        <f t="shared" si="20"/>
        <v>9.6916807468241162E-2</v>
      </c>
      <c r="F51" s="171">
        <f t="shared" si="21"/>
        <v>0.18445456905245899</v>
      </c>
    </row>
    <row r="52" spans="1:10" x14ac:dyDescent="0.25">
      <c r="A52" s="88">
        <v>2028</v>
      </c>
      <c r="B52" s="109">
        <f>[6]REKAPITULASI!B23</f>
        <v>4.3796258286435893E-3</v>
      </c>
      <c r="C52" s="109">
        <f t="shared" si="19"/>
        <v>9.1972142401515383E-2</v>
      </c>
      <c r="D52" s="109">
        <f>[6]REKAPITULASI!D23</f>
        <v>3.2847193714826919E-4</v>
      </c>
      <c r="E52" s="109">
        <f t="shared" si="20"/>
        <v>0.10182630051596345</v>
      </c>
      <c r="F52" s="171">
        <f t="shared" si="21"/>
        <v>0.19379844291747883</v>
      </c>
    </row>
    <row r="53" spans="1:10" x14ac:dyDescent="0.25">
      <c r="A53" s="88">
        <v>2029</v>
      </c>
      <c r="B53" s="109">
        <f>[6]REKAPITULASI!B24</f>
        <v>4.5994371608834338E-3</v>
      </c>
      <c r="C53" s="109">
        <f t="shared" si="19"/>
        <v>9.6588180378552116E-2</v>
      </c>
      <c r="D53" s="109">
        <f>[6]REKAPITULASI!D24</f>
        <v>3.449577870662575E-4</v>
      </c>
      <c r="E53" s="109">
        <f t="shared" si="20"/>
        <v>0.10693691399053983</v>
      </c>
      <c r="F53" s="171">
        <f t="shared" si="21"/>
        <v>0.20352509436909194</v>
      </c>
    </row>
    <row r="54" spans="1:10" x14ac:dyDescent="0.25">
      <c r="A54" s="88">
        <v>2030</v>
      </c>
      <c r="B54" s="109">
        <f>[6]REKAPITULASI!B25</f>
        <v>4.826398400000001E-3</v>
      </c>
      <c r="C54" s="109">
        <f t="shared" si="19"/>
        <v>0.10135436640000002</v>
      </c>
      <c r="D54" s="109">
        <f>[6]REKAPITULASI!D25</f>
        <v>3.6197988000000007E-4</v>
      </c>
      <c r="E54" s="109">
        <f t="shared" si="20"/>
        <v>0.11221376280000002</v>
      </c>
      <c r="F54" s="171">
        <f t="shared" si="21"/>
        <v>0.21356812920000004</v>
      </c>
    </row>
    <row r="55" spans="1:10" x14ac:dyDescent="0.25">
      <c r="A55" s="88">
        <v>2031</v>
      </c>
      <c r="B55" s="98"/>
      <c r="C55" s="109">
        <f t="shared" si="19"/>
        <v>0</v>
      </c>
      <c r="D55" s="109"/>
      <c r="E55" s="109">
        <f t="shared" si="20"/>
        <v>0</v>
      </c>
      <c r="F55" s="110">
        <f t="shared" si="21"/>
        <v>0</v>
      </c>
    </row>
    <row r="57" spans="1:10" ht="15.75" thickBot="1" x14ac:dyDescent="0.3">
      <c r="A57" s="103" t="s">
        <v>88</v>
      </c>
      <c r="J57" s="94">
        <v>1000</v>
      </c>
    </row>
    <row r="58" spans="1:10" ht="15.75" thickBot="1" x14ac:dyDescent="0.3">
      <c r="A58" s="196" t="s">
        <v>11</v>
      </c>
      <c r="B58" s="198" t="s">
        <v>89</v>
      </c>
      <c r="C58" s="199"/>
      <c r="D58" s="199"/>
      <c r="E58" s="199"/>
      <c r="F58" s="199"/>
    </row>
    <row r="59" spans="1:10" ht="18.75" thickBot="1" x14ac:dyDescent="0.3">
      <c r="A59" s="197"/>
      <c r="B59" s="198" t="s">
        <v>129</v>
      </c>
      <c r="C59" s="200"/>
      <c r="D59" s="198" t="s">
        <v>133</v>
      </c>
      <c r="E59" s="200"/>
      <c r="F59" s="116" t="s">
        <v>135</v>
      </c>
      <c r="H59" s="210" t="s">
        <v>11</v>
      </c>
      <c r="I59" s="210" t="s">
        <v>145</v>
      </c>
      <c r="J59" s="210"/>
    </row>
    <row r="60" spans="1:10" ht="18" x14ac:dyDescent="0.25">
      <c r="A60" s="197"/>
      <c r="B60" s="117" t="s">
        <v>131</v>
      </c>
      <c r="C60" s="117" t="s">
        <v>132</v>
      </c>
      <c r="D60" s="117" t="s">
        <v>134</v>
      </c>
      <c r="E60" s="117" t="s">
        <v>132</v>
      </c>
      <c r="F60" s="117" t="s">
        <v>136</v>
      </c>
      <c r="H60" s="210"/>
      <c r="I60" s="140" t="s">
        <v>146</v>
      </c>
      <c r="J60" s="140" t="s">
        <v>147</v>
      </c>
    </row>
    <row r="61" spans="1:10" x14ac:dyDescent="0.25">
      <c r="A61" s="88">
        <v>2011</v>
      </c>
      <c r="B61" s="135">
        <f>[6]REKAPITULASI!B32</f>
        <v>1.6988193722499999E-2</v>
      </c>
      <c r="C61" s="119">
        <f>B61*21</f>
        <v>0.35675206817249999</v>
      </c>
      <c r="D61" s="135">
        <f>[6]REKAPITULASI!D32</f>
        <v>3.9203523975000001E-4</v>
      </c>
      <c r="E61" s="119">
        <f>D61*310</f>
        <v>0.12153092432250001</v>
      </c>
      <c r="F61" s="171">
        <f>SUM(C61+E61)</f>
        <v>0.478282992495</v>
      </c>
      <c r="H61" s="88">
        <v>2011</v>
      </c>
      <c r="I61" s="141">
        <f>D9+I9+N9+F35+F61-S9</f>
        <v>20.072102185773275</v>
      </c>
      <c r="J61" s="173">
        <f>I61*$J$57</f>
        <v>20072.102185773274</v>
      </c>
    </row>
    <row r="62" spans="1:10" x14ac:dyDescent="0.25">
      <c r="A62" s="88">
        <v>2012</v>
      </c>
      <c r="B62" s="135">
        <f>[6]REKAPITULASI!B33</f>
        <v>1.7498791309999998E-2</v>
      </c>
      <c r="C62" s="119">
        <f t="shared" ref="C62:C81" si="22">B62*21</f>
        <v>0.36747461750999993</v>
      </c>
      <c r="D62" s="135">
        <f>[6]REKAPITULASI!D33</f>
        <v>4.0381826099999995E-4</v>
      </c>
      <c r="E62" s="119">
        <f t="shared" ref="E62:E81" si="23">D62*310</f>
        <v>0.12518366090999999</v>
      </c>
      <c r="F62" s="171">
        <f t="shared" ref="F62:F81" si="24">SUM(C62+E62)</f>
        <v>0.49265827841999993</v>
      </c>
      <c r="H62" s="88">
        <v>2012</v>
      </c>
      <c r="I62" s="141">
        <f t="shared" ref="I62:I80" si="25">D10+I10+N10+F36+F62-S10</f>
        <v>20.444350167027444</v>
      </c>
      <c r="J62" s="173">
        <f t="shared" ref="J62:J70" si="26">I62*$J$57</f>
        <v>20444.350167027445</v>
      </c>
    </row>
    <row r="63" spans="1:10" x14ac:dyDescent="0.25">
      <c r="A63" s="88">
        <v>2013</v>
      </c>
      <c r="B63" s="135">
        <f>[6]REKAPITULASI!B34</f>
        <v>1.8029666654999998E-2</v>
      </c>
      <c r="C63" s="119">
        <f t="shared" si="22"/>
        <v>0.37862299975499997</v>
      </c>
      <c r="D63" s="135">
        <f>[6]REKAPITULASI!D34</f>
        <v>4.1606923049999992E-4</v>
      </c>
      <c r="E63" s="119">
        <f t="shared" si="23"/>
        <v>0.12898146145499997</v>
      </c>
      <c r="F63" s="171">
        <f t="shared" si="24"/>
        <v>0.50760446120999991</v>
      </c>
      <c r="H63" s="88">
        <v>2013</v>
      </c>
      <c r="I63" s="141">
        <f t="shared" si="25"/>
        <v>20.932927622787002</v>
      </c>
      <c r="J63" s="173">
        <f t="shared" si="26"/>
        <v>20932.927622787003</v>
      </c>
    </row>
    <row r="64" spans="1:10" x14ac:dyDescent="0.25">
      <c r="A64" s="88">
        <v>2014</v>
      </c>
      <c r="B64" s="135">
        <f>[6]REKAPITULASI!B35</f>
        <v>1.8562642848749995E-2</v>
      </c>
      <c r="C64" s="119">
        <f t="shared" si="22"/>
        <v>0.38981549982374991</v>
      </c>
      <c r="D64" s="135">
        <f>[6]REKAPITULASI!D35</f>
        <v>4.2836868112499992E-4</v>
      </c>
      <c r="E64" s="119">
        <f t="shared" si="23"/>
        <v>0.13279429114874997</v>
      </c>
      <c r="F64" s="171">
        <f t="shared" si="24"/>
        <v>0.52260979097249982</v>
      </c>
      <c r="H64" s="88">
        <v>2014</v>
      </c>
      <c r="I64" s="141">
        <f t="shared" si="25"/>
        <v>21.505216848314003</v>
      </c>
      <c r="J64" s="173">
        <f t="shared" si="26"/>
        <v>21505.216848314001</v>
      </c>
    </row>
    <row r="65" spans="1:10" x14ac:dyDescent="0.25">
      <c r="A65" s="88">
        <v>2015</v>
      </c>
      <c r="B65" s="135">
        <f>[6]REKAPITULASI!B36</f>
        <v>1.9080547736249995E-2</v>
      </c>
      <c r="C65" s="119">
        <f t="shared" si="22"/>
        <v>0.4006915024612499</v>
      </c>
      <c r="D65" s="135">
        <f>[6]REKAPITULASI!D36</f>
        <v>4.4032033237499993E-4</v>
      </c>
      <c r="E65" s="119">
        <f t="shared" si="23"/>
        <v>0.13649930303624999</v>
      </c>
      <c r="F65" s="171">
        <f t="shared" si="24"/>
        <v>0.53719080549749987</v>
      </c>
      <c r="H65" s="88">
        <v>2015</v>
      </c>
      <c r="I65" s="141">
        <f t="shared" si="25"/>
        <v>22.133530055041835</v>
      </c>
      <c r="J65" s="173">
        <f t="shared" si="26"/>
        <v>22133.530055041836</v>
      </c>
    </row>
    <row r="66" spans="1:10" x14ac:dyDescent="0.25">
      <c r="A66" s="88">
        <v>2016</v>
      </c>
      <c r="B66" s="135">
        <f>[6]REKAPITULASI!B37</f>
        <v>1.9622658054999995E-2</v>
      </c>
      <c r="C66" s="119">
        <f t="shared" si="22"/>
        <v>0.41207581915499991</v>
      </c>
      <c r="D66" s="135">
        <f>[6]REKAPITULASI!D37</f>
        <v>4.5283057049999993E-4</v>
      </c>
      <c r="E66" s="119">
        <f t="shared" si="23"/>
        <v>0.14037747685499999</v>
      </c>
      <c r="F66" s="171">
        <f t="shared" si="24"/>
        <v>0.55245329600999993</v>
      </c>
      <c r="H66" s="88">
        <v>2016</v>
      </c>
      <c r="I66" s="141">
        <f t="shared" si="25"/>
        <v>22.795417700532763</v>
      </c>
      <c r="J66" s="173">
        <f t="shared" si="26"/>
        <v>22795.417700532762</v>
      </c>
    </row>
    <row r="67" spans="1:10" x14ac:dyDescent="0.25">
      <c r="A67" s="88">
        <v>2017</v>
      </c>
      <c r="B67" s="135">
        <f>[6]REKAPITULASI!B38</f>
        <v>2.0305086802000005E-2</v>
      </c>
      <c r="C67" s="119">
        <f t="shared" si="22"/>
        <v>0.4264068228420001</v>
      </c>
      <c r="D67" s="135">
        <f>[6]REKAPITULASI!D38</f>
        <v>4.6857892620000014E-4</v>
      </c>
      <c r="E67" s="119">
        <f t="shared" si="23"/>
        <v>0.14525946712200005</v>
      </c>
      <c r="F67" s="171">
        <f t="shared" si="24"/>
        <v>0.57166628996400015</v>
      </c>
      <c r="H67" s="88">
        <v>2017</v>
      </c>
      <c r="I67" s="141">
        <f t="shared" si="25"/>
        <v>23.49455209946213</v>
      </c>
      <c r="J67" s="173">
        <f t="shared" si="26"/>
        <v>23494.552099462129</v>
      </c>
    </row>
    <row r="68" spans="1:10" x14ac:dyDescent="0.25">
      <c r="A68" s="88">
        <v>2018</v>
      </c>
      <c r="B68" s="135">
        <f>[6]REKAPITULASI!B39</f>
        <v>2.0862624657874997E-2</v>
      </c>
      <c r="C68" s="119">
        <f t="shared" si="22"/>
        <v>0.43811511781537493</v>
      </c>
      <c r="D68" s="135">
        <f>[6]REKAPITULASI!D39</f>
        <v>4.8144518441249986E-4</v>
      </c>
      <c r="E68" s="119">
        <f t="shared" si="23"/>
        <v>0.14924800716787495</v>
      </c>
      <c r="F68" s="171">
        <f t="shared" si="24"/>
        <v>0.58736312498324983</v>
      </c>
      <c r="H68" s="88">
        <v>2018</v>
      </c>
      <c r="I68" s="141">
        <f t="shared" si="25"/>
        <v>23.895041209132565</v>
      </c>
      <c r="J68" s="173">
        <f t="shared" si="26"/>
        <v>23895.041209132563</v>
      </c>
    </row>
    <row r="69" spans="1:10" x14ac:dyDescent="0.25">
      <c r="A69" s="88">
        <v>2019</v>
      </c>
      <c r="B69" s="135">
        <f>[6]REKAPITULASI!B40</f>
        <v>2.1420162513749997E-2</v>
      </c>
      <c r="C69" s="119">
        <f t="shared" si="22"/>
        <v>0.44982341278874993</v>
      </c>
      <c r="D69" s="135">
        <f>[6]REKAPITULASI!D40</f>
        <v>4.9431144262500001E-4</v>
      </c>
      <c r="E69" s="119">
        <f t="shared" si="23"/>
        <v>0.15323654721374999</v>
      </c>
      <c r="F69" s="171">
        <f t="shared" si="24"/>
        <v>0.60305996000249995</v>
      </c>
      <c r="H69" s="88">
        <v>2019</v>
      </c>
      <c r="I69" s="141">
        <f t="shared" si="25"/>
        <v>24.405293738748426</v>
      </c>
      <c r="J69" s="173">
        <f t="shared" si="26"/>
        <v>24405.293738748427</v>
      </c>
    </row>
    <row r="70" spans="1:10" x14ac:dyDescent="0.25">
      <c r="A70" s="88">
        <v>2020</v>
      </c>
      <c r="B70" s="135">
        <f>[6]REKAPITULASI!B41</f>
        <v>2.1977700369624997E-2</v>
      </c>
      <c r="C70" s="119">
        <f t="shared" si="22"/>
        <v>0.46153170776212493</v>
      </c>
      <c r="D70" s="135">
        <f>[6]REKAPITULASI!D41</f>
        <v>5.0717770083749994E-4</v>
      </c>
      <c r="E70" s="119">
        <f t="shared" si="23"/>
        <v>0.15722508725962497</v>
      </c>
      <c r="F70" s="171">
        <f t="shared" si="24"/>
        <v>0.61875679502174985</v>
      </c>
      <c r="H70" s="88">
        <v>2020</v>
      </c>
      <c r="I70" s="141">
        <f t="shared" si="25"/>
        <v>24.993397886305107</v>
      </c>
      <c r="J70" s="173">
        <f t="shared" si="26"/>
        <v>24993.397886305109</v>
      </c>
    </row>
    <row r="71" spans="1:10" x14ac:dyDescent="0.25">
      <c r="A71" s="88">
        <v>2021</v>
      </c>
      <c r="B71" s="135">
        <f>[6]REKAPITULASI!B42</f>
        <v>2.2535238225499996E-2</v>
      </c>
      <c r="C71" s="119">
        <f t="shared" si="22"/>
        <v>0.47324000273549993</v>
      </c>
      <c r="D71" s="135">
        <f>[6]REKAPITULASI!D42</f>
        <v>5.2004395904999999E-4</v>
      </c>
      <c r="E71" s="119">
        <f t="shared" si="23"/>
        <v>0.16121362730549998</v>
      </c>
      <c r="F71" s="171">
        <f t="shared" si="24"/>
        <v>0.63445363004099997</v>
      </c>
      <c r="H71" s="88">
        <v>2021</v>
      </c>
      <c r="I71" s="141">
        <f t="shared" si="25"/>
        <v>25.637874252229032</v>
      </c>
      <c r="J71" s="173">
        <f>I71*$J$57</f>
        <v>25637.874252229034</v>
      </c>
    </row>
    <row r="72" spans="1:10" x14ac:dyDescent="0.25">
      <c r="A72" s="88">
        <v>2022</v>
      </c>
      <c r="B72" s="135">
        <f>[6]REKAPITULASI!B43</f>
        <v>2.3092776081374992E-2</v>
      </c>
      <c r="C72" s="119">
        <f t="shared" si="22"/>
        <v>0.48494829770887482</v>
      </c>
      <c r="D72" s="135">
        <f>[6]REKAPITULASI!D43</f>
        <v>5.3291021726249981E-4</v>
      </c>
      <c r="E72" s="119">
        <f t="shared" si="23"/>
        <v>0.16520216735137494</v>
      </c>
      <c r="F72" s="171">
        <f t="shared" si="24"/>
        <v>0.65015046506024976</v>
      </c>
      <c r="H72" s="88">
        <v>2022</v>
      </c>
      <c r="I72" s="141">
        <f t="shared" si="25"/>
        <v>26.324236024061026</v>
      </c>
      <c r="J72" s="173">
        <f t="shared" ref="J72:J81" si="27">I72*$J$57</f>
        <v>26324.236024061025</v>
      </c>
    </row>
    <row r="73" spans="1:10" x14ac:dyDescent="0.25">
      <c r="A73" s="88">
        <v>2023</v>
      </c>
      <c r="B73" s="135">
        <f>[6]REKAPITULASI!B44</f>
        <v>2.3650313937249996E-2</v>
      </c>
      <c r="C73" s="119">
        <f t="shared" si="22"/>
        <v>0.49665659268224993</v>
      </c>
      <c r="D73" s="135">
        <f>[6]REKAPITULASI!D44</f>
        <v>5.4577647547499985E-4</v>
      </c>
      <c r="E73" s="119">
        <f t="shared" si="23"/>
        <v>0.16919070739724995</v>
      </c>
      <c r="F73" s="171">
        <f t="shared" si="24"/>
        <v>0.66584730007949988</v>
      </c>
      <c r="H73" s="88">
        <v>2023</v>
      </c>
      <c r="I73" s="141">
        <f t="shared" si="25"/>
        <v>27.042676648083287</v>
      </c>
      <c r="J73" s="173">
        <f t="shared" si="27"/>
        <v>27042.676648083288</v>
      </c>
    </row>
    <row r="74" spans="1:10" x14ac:dyDescent="0.25">
      <c r="A74" s="88">
        <v>2024</v>
      </c>
      <c r="B74" s="135">
        <f>[6]REKAPITULASI!B45</f>
        <v>2.4207851793124999E-2</v>
      </c>
      <c r="C74" s="119">
        <f t="shared" si="22"/>
        <v>0.50836488765562493</v>
      </c>
      <c r="D74" s="135">
        <f>[6]REKAPITULASI!D45</f>
        <v>5.586427336875E-4</v>
      </c>
      <c r="E74" s="119">
        <f t="shared" si="23"/>
        <v>0.17317924744312499</v>
      </c>
      <c r="F74" s="171">
        <f t="shared" si="24"/>
        <v>0.68154413509874989</v>
      </c>
      <c r="H74" s="88">
        <v>2024</v>
      </c>
      <c r="I74" s="141">
        <f t="shared" si="25"/>
        <v>27.786513677403974</v>
      </c>
      <c r="J74" s="173">
        <f t="shared" si="27"/>
        <v>27786.513677403975</v>
      </c>
    </row>
    <row r="75" spans="1:10" x14ac:dyDescent="0.25">
      <c r="A75" s="88">
        <v>2025</v>
      </c>
      <c r="B75" s="135">
        <f>[6]REKAPITULASI!B46</f>
        <v>2.4765389649000002E-2</v>
      </c>
      <c r="C75" s="119">
        <f t="shared" si="22"/>
        <v>0.52007318262900004</v>
      </c>
      <c r="D75" s="135">
        <f>[6]REKAPITULASI!D46</f>
        <v>5.7150899189999994E-4</v>
      </c>
      <c r="E75" s="119">
        <f t="shared" si="23"/>
        <v>0.17716778748899997</v>
      </c>
      <c r="F75" s="171">
        <f t="shared" si="24"/>
        <v>0.69724097011800001</v>
      </c>
      <c r="H75" s="88">
        <v>2025</v>
      </c>
      <c r="I75" s="141">
        <f t="shared" si="25"/>
        <v>28.551139781486786</v>
      </c>
      <c r="J75" s="173">
        <f t="shared" si="27"/>
        <v>28551.139781486785</v>
      </c>
    </row>
    <row r="76" spans="1:10" x14ac:dyDescent="0.25">
      <c r="A76" s="88">
        <v>2026</v>
      </c>
      <c r="B76" s="135">
        <f>[6]REKAPITULASI!B47</f>
        <v>2.5322927504874998E-2</v>
      </c>
      <c r="C76" s="119">
        <f t="shared" si="22"/>
        <v>0.53178147760237493</v>
      </c>
      <c r="D76" s="135">
        <f>[6]REKAPITULASI!D47</f>
        <v>5.8437525011249987E-4</v>
      </c>
      <c r="E76" s="119">
        <f t="shared" si="23"/>
        <v>0.18115632753487496</v>
      </c>
      <c r="F76" s="171">
        <f t="shared" si="24"/>
        <v>0.71293780513724991</v>
      </c>
      <c r="H76" s="88">
        <v>2026</v>
      </c>
      <c r="I76" s="141">
        <f t="shared" si="25"/>
        <v>29.333313893018541</v>
      </c>
      <c r="J76" s="173">
        <f t="shared" si="27"/>
        <v>29333.313893018541</v>
      </c>
    </row>
    <row r="77" spans="1:10" x14ac:dyDescent="0.25">
      <c r="A77" s="88">
        <v>2027</v>
      </c>
      <c r="B77" s="135">
        <f>[6]REKAPITULASI!B48</f>
        <v>2.5880465360749994E-2</v>
      </c>
      <c r="C77" s="119">
        <f t="shared" si="22"/>
        <v>0.54348977257574993</v>
      </c>
      <c r="D77" s="135">
        <f>[6]REKAPITULASI!D48</f>
        <v>5.9724150832499981E-4</v>
      </c>
      <c r="E77" s="119">
        <f t="shared" si="23"/>
        <v>0.18514486758074994</v>
      </c>
      <c r="F77" s="171">
        <f t="shared" si="24"/>
        <v>0.72863464015649981</v>
      </c>
      <c r="H77" s="88">
        <v>2027</v>
      </c>
      <c r="I77" s="141">
        <f t="shared" si="25"/>
        <v>30.130680439423184</v>
      </c>
      <c r="J77" s="173">
        <f t="shared" si="27"/>
        <v>30130.680439423184</v>
      </c>
    </row>
    <row r="78" spans="1:10" x14ac:dyDescent="0.25">
      <c r="A78" s="88">
        <v>2028</v>
      </c>
      <c r="B78" s="135">
        <f>[6]REKAPITULASI!B49</f>
        <v>2.6438003216624994E-2</v>
      </c>
      <c r="C78" s="119">
        <f t="shared" si="22"/>
        <v>0.55519806754912482</v>
      </c>
      <c r="D78" s="135">
        <f>[6]REKAPITULASI!D49</f>
        <v>6.1010776653749985E-4</v>
      </c>
      <c r="E78" s="119">
        <f t="shared" si="23"/>
        <v>0.18913340762662495</v>
      </c>
      <c r="F78" s="171">
        <f t="shared" si="24"/>
        <v>0.74433147517574971</v>
      </c>
      <c r="H78" s="88">
        <v>2028</v>
      </c>
      <c r="I78" s="141">
        <f t="shared" si="25"/>
        <v>30.941441463873208</v>
      </c>
      <c r="J78" s="173">
        <f t="shared" si="27"/>
        <v>30941.441463873209</v>
      </c>
    </row>
    <row r="79" spans="1:10" x14ac:dyDescent="0.25">
      <c r="A79" s="88">
        <v>2029</v>
      </c>
      <c r="B79" s="135">
        <f>[6]REKAPITULASI!B50</f>
        <v>2.6995541072499993E-2</v>
      </c>
      <c r="C79" s="119">
        <f t="shared" si="22"/>
        <v>0.56690636252249982</v>
      </c>
      <c r="D79" s="135">
        <f>[6]REKAPITULASI!D50</f>
        <v>6.2297402474999989E-4</v>
      </c>
      <c r="E79" s="119">
        <f t="shared" si="23"/>
        <v>0.19312194767249996</v>
      </c>
      <c r="F79" s="171">
        <f t="shared" si="24"/>
        <v>0.76002831019499983</v>
      </c>
      <c r="H79" s="88">
        <v>2029</v>
      </c>
      <c r="I79" s="141">
        <f t="shared" si="25"/>
        <v>31.764131154239369</v>
      </c>
      <c r="J79" s="173">
        <f t="shared" si="27"/>
        <v>31764.131154239371</v>
      </c>
    </row>
    <row r="80" spans="1:10" x14ac:dyDescent="0.25">
      <c r="A80" s="88">
        <v>2030</v>
      </c>
      <c r="B80" s="135">
        <f>[6]REKAPITULASI!B51</f>
        <v>2.7553078928375004E-2</v>
      </c>
      <c r="C80" s="119">
        <f t="shared" si="22"/>
        <v>0.57861465749587504</v>
      </c>
      <c r="D80" s="135">
        <f>[6]REKAPITULASI!D51</f>
        <v>6.3584028296250004E-4</v>
      </c>
      <c r="E80" s="119">
        <f t="shared" si="23"/>
        <v>0.197110487718375</v>
      </c>
      <c r="F80" s="171">
        <f t="shared" si="24"/>
        <v>0.77572514521425007</v>
      </c>
      <c r="H80" s="88">
        <v>2030</v>
      </c>
      <c r="I80" s="141">
        <f t="shared" si="25"/>
        <v>32.597378247102917</v>
      </c>
      <c r="J80" s="173">
        <f t="shared" si="27"/>
        <v>32597.378247102915</v>
      </c>
    </row>
    <row r="81" spans="1:10" x14ac:dyDescent="0.25">
      <c r="A81" s="88">
        <v>2031</v>
      </c>
      <c r="B81" s="118"/>
      <c r="C81" s="119">
        <f t="shared" si="22"/>
        <v>0</v>
      </c>
      <c r="D81" s="118"/>
      <c r="E81" s="119">
        <f t="shared" si="23"/>
        <v>0</v>
      </c>
      <c r="F81" s="120">
        <f t="shared" si="24"/>
        <v>0</v>
      </c>
      <c r="H81" s="88">
        <v>2031</v>
      </c>
      <c r="I81" s="141">
        <f>D29+I29+N29+F55+F81-S29</f>
        <v>0</v>
      </c>
      <c r="J81" s="142">
        <f t="shared" si="27"/>
        <v>0</v>
      </c>
    </row>
    <row r="84" spans="1:10" x14ac:dyDescent="0.25">
      <c r="A84" s="121"/>
      <c r="B84" s="99"/>
      <c r="C84" s="100"/>
      <c r="D84" s="99"/>
      <c r="E84" s="100"/>
      <c r="F84" s="100"/>
    </row>
    <row r="85" spans="1:10" ht="15.75" thickBot="1" x14ac:dyDescent="0.3">
      <c r="A85" s="122" t="s">
        <v>144</v>
      </c>
      <c r="B85" s="100"/>
      <c r="C85" s="99"/>
      <c r="D85" s="100"/>
      <c r="G85" s="94">
        <v>1000</v>
      </c>
    </row>
    <row r="86" spans="1:10" ht="18.75" thickBot="1" x14ac:dyDescent="0.3">
      <c r="A86" s="213" t="s">
        <v>11</v>
      </c>
      <c r="B86" s="215" t="s">
        <v>137</v>
      </c>
      <c r="C86" s="216"/>
      <c r="D86" s="208" t="s">
        <v>138</v>
      </c>
      <c r="E86" s="209"/>
      <c r="F86" s="211" t="s">
        <v>95</v>
      </c>
      <c r="G86" s="212"/>
    </row>
    <row r="87" spans="1:10" ht="81.75" thickBot="1" x14ac:dyDescent="0.3">
      <c r="A87" s="214"/>
      <c r="B87" s="123" t="s">
        <v>139</v>
      </c>
      <c r="C87" s="123" t="s">
        <v>140</v>
      </c>
      <c r="D87" s="124" t="s">
        <v>141</v>
      </c>
      <c r="E87" s="124" t="s">
        <v>142</v>
      </c>
      <c r="F87" s="125" t="s">
        <v>143</v>
      </c>
      <c r="G87" s="125" t="s">
        <v>148</v>
      </c>
    </row>
    <row r="88" spans="1:10" ht="15.75" thickBot="1" x14ac:dyDescent="0.3">
      <c r="A88" s="214"/>
      <c r="B88" s="217" t="s">
        <v>101</v>
      </c>
      <c r="C88" s="126" t="s">
        <v>102</v>
      </c>
      <c r="D88" s="127" t="s">
        <v>103</v>
      </c>
      <c r="E88" s="128" t="s">
        <v>104</v>
      </c>
      <c r="F88" s="129" t="s">
        <v>105</v>
      </c>
      <c r="G88" s="129" t="s">
        <v>105</v>
      </c>
    </row>
    <row r="89" spans="1:10" x14ac:dyDescent="0.25">
      <c r="A89" s="214"/>
      <c r="B89" s="218"/>
      <c r="C89" s="130" t="s">
        <v>106</v>
      </c>
      <c r="D89" s="131"/>
      <c r="E89" s="132" t="s">
        <v>107</v>
      </c>
      <c r="F89" s="133" t="s">
        <v>108</v>
      </c>
      <c r="G89" s="133" t="s">
        <v>108</v>
      </c>
    </row>
    <row r="90" spans="1:10" x14ac:dyDescent="0.25">
      <c r="A90" s="88">
        <v>2011</v>
      </c>
      <c r="B90" s="136">
        <f>[6]REKAPITULASI!B59</f>
        <v>0.1943028475536</v>
      </c>
      <c r="C90" s="139">
        <f>B90*21</f>
        <v>4.0803597986255999</v>
      </c>
      <c r="D90" s="138">
        <f>[6]REKAPITULASI!D59</f>
        <v>6.6034063605714304E-3</v>
      </c>
      <c r="E90" s="134">
        <f>D90*310</f>
        <v>2.0470559717771435</v>
      </c>
      <c r="F90" s="137">
        <f>C90+E90</f>
        <v>6.1274157704027434</v>
      </c>
      <c r="G90" s="174">
        <f>F90*$G$85</f>
        <v>6127.4157704027439</v>
      </c>
    </row>
    <row r="91" spans="1:10" x14ac:dyDescent="0.25">
      <c r="A91" s="88">
        <v>2012</v>
      </c>
      <c r="B91" s="136">
        <f>[6]REKAPITULASI!B60</f>
        <v>0.20014281893760003</v>
      </c>
      <c r="C91" s="139">
        <f t="shared" ref="C91:C110" si="28">B91*21</f>
        <v>4.2029991976896008</v>
      </c>
      <c r="D91" s="138">
        <f>[6]REKAPITULASI!D60</f>
        <v>6.5568254400000013E-3</v>
      </c>
      <c r="E91" s="134">
        <f t="shared" ref="E91:E110" si="29">D91*310</f>
        <v>2.0326158864000003</v>
      </c>
      <c r="F91" s="137">
        <f t="shared" ref="F91:F110" si="30">C91+E91</f>
        <v>6.2356150840896012</v>
      </c>
      <c r="G91" s="174">
        <f t="shared" ref="G91:G109" si="31">F91*$G$85</f>
        <v>6235.6150840896016</v>
      </c>
    </row>
    <row r="92" spans="1:10" x14ac:dyDescent="0.25">
      <c r="A92" s="88">
        <v>2013</v>
      </c>
      <c r="B92" s="136">
        <f>[6]REKAPITULASI!B61</f>
        <v>0.20621471762879998</v>
      </c>
      <c r="C92" s="139">
        <f t="shared" si="28"/>
        <v>4.3305090702047995</v>
      </c>
      <c r="D92" s="138">
        <f>[6]REKAPITULASI!D61</f>
        <v>6.6602094994285726E-3</v>
      </c>
      <c r="E92" s="134">
        <f t="shared" si="29"/>
        <v>2.0646649448228573</v>
      </c>
      <c r="F92" s="137">
        <f t="shared" si="30"/>
        <v>6.3951740150276564</v>
      </c>
      <c r="G92" s="174">
        <f t="shared" si="31"/>
        <v>6395.1740150276564</v>
      </c>
    </row>
    <row r="93" spans="1:10" x14ac:dyDescent="0.25">
      <c r="A93" s="88">
        <v>2014</v>
      </c>
      <c r="B93" s="136">
        <f>[6]REKAPITULASI!B62</f>
        <v>0.2123106448248</v>
      </c>
      <c r="C93" s="139">
        <f t="shared" si="28"/>
        <v>4.4585235413208002</v>
      </c>
      <c r="D93" s="138">
        <f>[6]REKAPITULASI!D62</f>
        <v>7.0093161065714294E-3</v>
      </c>
      <c r="E93" s="134">
        <f t="shared" si="29"/>
        <v>2.172887993037143</v>
      </c>
      <c r="F93" s="137">
        <f t="shared" si="30"/>
        <v>6.6314115343579427</v>
      </c>
      <c r="G93" s="174">
        <f t="shared" si="31"/>
        <v>6631.4115343579424</v>
      </c>
    </row>
    <row r="94" spans="1:10" x14ac:dyDescent="0.25">
      <c r="A94" s="88">
        <v>2015</v>
      </c>
      <c r="B94" s="136">
        <f>[6]REKAPITULASI!B63</f>
        <v>0.21823419361680002</v>
      </c>
      <c r="C94" s="139">
        <f t="shared" si="28"/>
        <v>4.5829180659528008</v>
      </c>
      <c r="D94" s="138">
        <f>[6]REKAPITULASI!D63</f>
        <v>7.2048787265714303E-3</v>
      </c>
      <c r="E94" s="134">
        <f t="shared" si="29"/>
        <v>2.2335124052371436</v>
      </c>
      <c r="F94" s="137">
        <f t="shared" si="30"/>
        <v>6.8164304711899444</v>
      </c>
      <c r="G94" s="174">
        <f t="shared" si="31"/>
        <v>6816.430471189944</v>
      </c>
    </row>
    <row r="95" spans="1:10" x14ac:dyDescent="0.25">
      <c r="A95" s="88">
        <v>2016</v>
      </c>
      <c r="B95" s="136">
        <f>[6]REKAPITULASI!B64</f>
        <v>0.22443459257279999</v>
      </c>
      <c r="C95" s="139">
        <f t="shared" si="28"/>
        <v>4.7131264440287994</v>
      </c>
      <c r="D95" s="138">
        <f>[6]REKAPITULASI!D64</f>
        <v>7.4095813984761914E-3</v>
      </c>
      <c r="E95" s="134">
        <f t="shared" si="29"/>
        <v>2.2969702335276194</v>
      </c>
      <c r="F95" s="137">
        <f t="shared" si="30"/>
        <v>7.0100966775564189</v>
      </c>
      <c r="G95" s="174">
        <f t="shared" si="31"/>
        <v>7010.0966775564193</v>
      </c>
    </row>
    <row r="96" spans="1:10" x14ac:dyDescent="0.25">
      <c r="A96" s="88">
        <v>2017</v>
      </c>
      <c r="B96" s="136">
        <f>[6]REKAPITULASI!B65</f>
        <v>0.23223988670592002</v>
      </c>
      <c r="C96" s="139">
        <f t="shared" si="28"/>
        <v>4.8770376208243205</v>
      </c>
      <c r="D96" s="138">
        <f>[6]REKAPITULASI!D65</f>
        <v>7.6672687788190497E-3</v>
      </c>
      <c r="E96" s="134">
        <f t="shared" si="29"/>
        <v>2.3768533214339054</v>
      </c>
      <c r="F96" s="137">
        <f t="shared" si="30"/>
        <v>7.2538909422582254</v>
      </c>
      <c r="G96" s="174">
        <f t="shared" si="31"/>
        <v>7253.8909422582256</v>
      </c>
    </row>
    <row r="97" spans="1:7" x14ac:dyDescent="0.25">
      <c r="A97" s="88">
        <v>2018</v>
      </c>
      <c r="B97" s="136">
        <f>[6]REKAPITULASI!B66</f>
        <v>0.23861673846456002</v>
      </c>
      <c r="C97" s="139">
        <f t="shared" si="28"/>
        <v>5.0109515077557605</v>
      </c>
      <c r="D97" s="138">
        <f>[6]REKAPITULASI!D66</f>
        <v>7.8777969404095222E-3</v>
      </c>
      <c r="E97" s="134">
        <f t="shared" si="29"/>
        <v>2.4421170515269517</v>
      </c>
      <c r="F97" s="137">
        <f t="shared" si="30"/>
        <v>7.4530685592827126</v>
      </c>
      <c r="G97" s="174">
        <f t="shared" si="31"/>
        <v>7453.0685592827122</v>
      </c>
    </row>
    <row r="98" spans="1:7" x14ac:dyDescent="0.25">
      <c r="A98" s="88">
        <v>2019</v>
      </c>
      <c r="B98" s="136">
        <f>[6]REKAPITULASI!B67</f>
        <v>0.2449935902232</v>
      </c>
      <c r="C98" s="139">
        <f t="shared" si="28"/>
        <v>5.1448653946871996</v>
      </c>
      <c r="D98" s="138">
        <f>[6]REKAPITULASI!D67</f>
        <v>8.0883251020000008E-3</v>
      </c>
      <c r="E98" s="134">
        <f t="shared" si="29"/>
        <v>2.5073807816200002</v>
      </c>
      <c r="F98" s="137">
        <f t="shared" si="30"/>
        <v>7.6522461763071998</v>
      </c>
      <c r="G98" s="174">
        <f t="shared" si="31"/>
        <v>7652.2461763071997</v>
      </c>
    </row>
    <row r="99" spans="1:7" x14ac:dyDescent="0.25">
      <c r="A99" s="88">
        <v>2020</v>
      </c>
      <c r="B99" s="136">
        <f>[6]REKAPITULASI!B68</f>
        <v>0.25137044198184</v>
      </c>
      <c r="C99" s="139">
        <f t="shared" si="28"/>
        <v>5.2787792816186396</v>
      </c>
      <c r="D99" s="138">
        <f>[6]REKAPITULASI!D68</f>
        <v>8.298853263590476E-3</v>
      </c>
      <c r="E99" s="134">
        <f t="shared" si="29"/>
        <v>2.5726445117130474</v>
      </c>
      <c r="F99" s="137">
        <f t="shared" si="30"/>
        <v>7.8514237933316871</v>
      </c>
      <c r="G99" s="174">
        <f t="shared" si="31"/>
        <v>7851.4237933316872</v>
      </c>
    </row>
    <row r="100" spans="1:7" x14ac:dyDescent="0.25">
      <c r="A100" s="88">
        <v>2021</v>
      </c>
      <c r="B100" s="136">
        <f>[6]REKAPITULASI!B69</f>
        <v>0.25774729374048</v>
      </c>
      <c r="C100" s="139">
        <f t="shared" si="28"/>
        <v>5.4126931685500796</v>
      </c>
      <c r="D100" s="138">
        <f>[6]REKAPITULASI!D69</f>
        <v>8.5093814251809528E-3</v>
      </c>
      <c r="E100" s="134">
        <f t="shared" si="29"/>
        <v>2.6379082418060955</v>
      </c>
      <c r="F100" s="137">
        <f t="shared" si="30"/>
        <v>8.050601410356176</v>
      </c>
      <c r="G100" s="174">
        <f t="shared" si="31"/>
        <v>8050.6014103561756</v>
      </c>
    </row>
    <row r="101" spans="1:7" x14ac:dyDescent="0.25">
      <c r="A101" s="88">
        <v>2022</v>
      </c>
      <c r="B101" s="136">
        <f>[6]REKAPITULASI!B70</f>
        <v>0.26412414549912</v>
      </c>
      <c r="C101" s="139">
        <f t="shared" si="28"/>
        <v>5.5466070554815197</v>
      </c>
      <c r="D101" s="138">
        <f>[6]REKAPITULASI!D70</f>
        <v>8.719909586771428E-3</v>
      </c>
      <c r="E101" s="134">
        <f t="shared" si="29"/>
        <v>2.7031719718991427</v>
      </c>
      <c r="F101" s="137">
        <f t="shared" si="30"/>
        <v>8.2497790273806615</v>
      </c>
      <c r="G101" s="174">
        <f t="shared" si="31"/>
        <v>8249.7790273806622</v>
      </c>
    </row>
    <row r="102" spans="1:7" x14ac:dyDescent="0.25">
      <c r="A102" s="88">
        <v>2023</v>
      </c>
      <c r="B102" s="136">
        <f>[6]REKAPITULASI!B71</f>
        <v>0.27050099725775995</v>
      </c>
      <c r="C102" s="139">
        <f t="shared" si="28"/>
        <v>5.6805209424129588</v>
      </c>
      <c r="D102" s="138">
        <f>[6]REKAPITULASI!D71</f>
        <v>8.9304377483619031E-3</v>
      </c>
      <c r="E102" s="134">
        <f t="shared" si="29"/>
        <v>2.7684357019921899</v>
      </c>
      <c r="F102" s="137">
        <f t="shared" si="30"/>
        <v>8.4489566444051487</v>
      </c>
      <c r="G102" s="174">
        <f t="shared" si="31"/>
        <v>8448.9566444051488</v>
      </c>
    </row>
    <row r="103" spans="1:7" x14ac:dyDescent="0.25">
      <c r="A103" s="88">
        <v>2024</v>
      </c>
      <c r="B103" s="136">
        <f>[6]REKAPITULASI!B72</f>
        <v>0.2768778490164</v>
      </c>
      <c r="C103" s="139">
        <f t="shared" si="28"/>
        <v>5.8144348293443997</v>
      </c>
      <c r="D103" s="138">
        <f>[6]REKAPITULASI!D72</f>
        <v>9.1409659099523817E-3</v>
      </c>
      <c r="E103" s="134">
        <f t="shared" si="29"/>
        <v>2.8336994320852384</v>
      </c>
      <c r="F103" s="137">
        <f t="shared" si="30"/>
        <v>8.6481342614296377</v>
      </c>
      <c r="G103" s="174">
        <f t="shared" si="31"/>
        <v>8648.1342614296373</v>
      </c>
    </row>
    <row r="104" spans="1:7" x14ac:dyDescent="0.25">
      <c r="A104" s="88">
        <v>2025</v>
      </c>
      <c r="B104" s="136">
        <f>[6]REKAPITULASI!B73</f>
        <v>0.28200103965504003</v>
      </c>
      <c r="C104" s="139">
        <f t="shared" si="28"/>
        <v>5.9220218327558403</v>
      </c>
      <c r="D104" s="138">
        <f>[6]REKAPITULASI!D73</f>
        <v>9.3101051572571456E-3</v>
      </c>
      <c r="E104" s="134">
        <f t="shared" si="29"/>
        <v>2.8861325987497151</v>
      </c>
      <c r="F104" s="137">
        <f t="shared" si="30"/>
        <v>8.8081544315055549</v>
      </c>
      <c r="G104" s="174">
        <f t="shared" si="31"/>
        <v>8808.1544315055544</v>
      </c>
    </row>
    <row r="105" spans="1:7" x14ac:dyDescent="0.25">
      <c r="A105" s="88">
        <v>2026</v>
      </c>
      <c r="B105" s="136">
        <f>[6]REKAPITULASI!B74</f>
        <v>0.28837789141368003</v>
      </c>
      <c r="C105" s="139">
        <f t="shared" si="28"/>
        <v>6.0559357196872803</v>
      </c>
      <c r="D105" s="138">
        <f>[6]REKAPITULASI!D74</f>
        <v>9.520633318847619E-3</v>
      </c>
      <c r="E105" s="134">
        <f t="shared" si="29"/>
        <v>2.9513963288427618</v>
      </c>
      <c r="F105" s="137">
        <f t="shared" si="30"/>
        <v>9.0073320485300421</v>
      </c>
      <c r="G105" s="174">
        <f t="shared" si="31"/>
        <v>9007.3320485300428</v>
      </c>
    </row>
    <row r="106" spans="1:7" x14ac:dyDescent="0.25">
      <c r="A106" s="88">
        <v>2027</v>
      </c>
      <c r="B106" s="136">
        <f>[6]REKAPITULASI!B75</f>
        <v>0.29475474317231998</v>
      </c>
      <c r="C106" s="139">
        <f t="shared" si="28"/>
        <v>6.1898496066187194</v>
      </c>
      <c r="D106" s="138">
        <f>[6]REKAPITULASI!D75</f>
        <v>9.7311614804380959E-3</v>
      </c>
      <c r="E106" s="134">
        <f t="shared" si="29"/>
        <v>3.0166600589358099</v>
      </c>
      <c r="F106" s="137">
        <f t="shared" si="30"/>
        <v>9.2065096655545293</v>
      </c>
      <c r="G106" s="174">
        <f t="shared" si="31"/>
        <v>9206.5096655545294</v>
      </c>
    </row>
    <row r="107" spans="1:7" x14ac:dyDescent="0.25">
      <c r="A107" s="88">
        <v>2028</v>
      </c>
      <c r="B107" s="136">
        <f>[6]REKAPITULASI!B76</f>
        <v>0.30113159493095992</v>
      </c>
      <c r="C107" s="139">
        <f t="shared" si="28"/>
        <v>6.3237634935501585</v>
      </c>
      <c r="D107" s="138">
        <f>[6]REKAPITULASI!D76</f>
        <v>9.9416896420285727E-3</v>
      </c>
      <c r="E107" s="134">
        <f t="shared" si="29"/>
        <v>3.0819237890288576</v>
      </c>
      <c r="F107" s="137">
        <f t="shared" si="30"/>
        <v>9.4056872825790165</v>
      </c>
      <c r="G107" s="174">
        <f t="shared" si="31"/>
        <v>9405.687282579016</v>
      </c>
    </row>
    <row r="108" spans="1:7" x14ac:dyDescent="0.25">
      <c r="A108" s="88">
        <v>2029</v>
      </c>
      <c r="B108" s="136">
        <f>[6]REKAPITULASI!B77</f>
        <v>0.30750844668959998</v>
      </c>
      <c r="C108" s="139">
        <f t="shared" si="28"/>
        <v>6.4576773804815994</v>
      </c>
      <c r="D108" s="138">
        <f>[6]REKAPITULASI!D77</f>
        <v>1.0152217803619048E-2</v>
      </c>
      <c r="E108" s="134">
        <f t="shared" si="29"/>
        <v>3.1471875191219048</v>
      </c>
      <c r="F108" s="137">
        <f t="shared" si="30"/>
        <v>9.6048648996035038</v>
      </c>
      <c r="G108" s="174">
        <f t="shared" si="31"/>
        <v>9604.8648996035045</v>
      </c>
    </row>
    <row r="109" spans="1:7" x14ac:dyDescent="0.25">
      <c r="A109" s="88">
        <v>2030</v>
      </c>
      <c r="B109" s="136">
        <f>[6]REKAPITULASI!B78</f>
        <v>0.31388529844823998</v>
      </c>
      <c r="C109" s="139">
        <f t="shared" si="28"/>
        <v>6.5915912674130395</v>
      </c>
      <c r="D109" s="138">
        <f>[6]REKAPITULASI!D78</f>
        <v>1.0362745965209525E-2</v>
      </c>
      <c r="E109" s="134">
        <f t="shared" si="29"/>
        <v>3.2124512492149528</v>
      </c>
      <c r="F109" s="137">
        <f t="shared" si="30"/>
        <v>9.8040425166279928</v>
      </c>
      <c r="G109" s="174">
        <f t="shared" si="31"/>
        <v>9804.0425166279929</v>
      </c>
    </row>
    <row r="110" spans="1:7" x14ac:dyDescent="0.25">
      <c r="A110" s="88">
        <v>2031</v>
      </c>
      <c r="B110" s="136"/>
      <c r="C110" s="139">
        <f t="shared" si="28"/>
        <v>0</v>
      </c>
      <c r="D110" s="138"/>
      <c r="E110" s="134">
        <f t="shared" si="29"/>
        <v>0</v>
      </c>
      <c r="F110" s="137">
        <f t="shared" si="30"/>
        <v>0</v>
      </c>
      <c r="G110" s="97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D24" sqref="D24"/>
    </sheetView>
  </sheetViews>
  <sheetFormatPr defaultRowHeight="12.75" x14ac:dyDescent="0.25"/>
  <cols>
    <col min="1" max="2" width="9.140625" style="144"/>
    <col min="3" max="3" width="14.5703125" style="144" customWidth="1"/>
    <col min="4" max="4" width="19.140625" style="144" customWidth="1"/>
    <col min="5" max="16384" width="9.140625" style="144"/>
  </cols>
  <sheetData>
    <row r="3" spans="2:4" x14ac:dyDescent="0.25">
      <c r="B3" s="219" t="s">
        <v>11</v>
      </c>
      <c r="C3" s="219" t="s">
        <v>152</v>
      </c>
      <c r="D3" s="219"/>
    </row>
    <row r="4" spans="2:4" x14ac:dyDescent="0.25">
      <c r="B4" s="219"/>
      <c r="C4" s="145" t="s">
        <v>151</v>
      </c>
      <c r="D4" s="145" t="s">
        <v>147</v>
      </c>
    </row>
    <row r="5" spans="2:4" ht="15" x14ac:dyDescent="0.25">
      <c r="B5" s="88">
        <v>2011</v>
      </c>
      <c r="C5" s="164">
        <f>'[7]4D2_CH4_Industrial_Wastewater'!G12</f>
        <v>1655706</v>
      </c>
      <c r="D5" s="166">
        <f>(C5*21)/1000</f>
        <v>34769.826000000001</v>
      </c>
    </row>
    <row r="6" spans="2:4" ht="15" x14ac:dyDescent="0.25">
      <c r="B6" s="88">
        <v>2012</v>
      </c>
      <c r="C6" s="164">
        <f>'[7]4D2_CH4_Industrial_Wastewater'!G13</f>
        <v>3695172</v>
      </c>
      <c r="D6" s="166">
        <f t="shared" ref="D6:D15" si="0">(C6*21)/1000</f>
        <v>77598.611999999994</v>
      </c>
    </row>
    <row r="7" spans="2:4" ht="15" x14ac:dyDescent="0.25">
      <c r="B7" s="88">
        <v>2013</v>
      </c>
      <c r="C7" s="164">
        <f>'[7]4D2_CH4_Industrial_Wastewater'!G14</f>
        <v>4598922</v>
      </c>
      <c r="D7" s="166">
        <f t="shared" si="0"/>
        <v>96577.361999999994</v>
      </c>
    </row>
    <row r="8" spans="2:4" ht="15" x14ac:dyDescent="0.25">
      <c r="B8" s="88">
        <v>2014</v>
      </c>
      <c r="C8" s="164">
        <f>'[7]4D2_CH4_Industrial_Wastewater'!G15</f>
        <v>5517132</v>
      </c>
      <c r="D8" s="166">
        <f t="shared" si="0"/>
        <v>115859.772</v>
      </c>
    </row>
    <row r="9" spans="2:4" ht="15" x14ac:dyDescent="0.25">
      <c r="B9" s="88">
        <v>2015</v>
      </c>
      <c r="C9" s="164">
        <f>'[7]4D2_CH4_Industrial_Wastewater'!G16</f>
        <v>7523346</v>
      </c>
      <c r="D9" s="166">
        <f t="shared" si="0"/>
        <v>157990.266</v>
      </c>
    </row>
    <row r="10" spans="2:4" ht="15" x14ac:dyDescent="0.25">
      <c r="B10" s="88">
        <v>2016</v>
      </c>
      <c r="C10" s="164">
        <f>'[7]4D2_CH4_Industrial_Wastewater'!G17</f>
        <v>7326858</v>
      </c>
      <c r="D10" s="166">
        <f t="shared" si="0"/>
        <v>153864.01800000001</v>
      </c>
    </row>
    <row r="11" spans="2:4" ht="15" x14ac:dyDescent="0.25">
      <c r="B11" s="88">
        <v>2017</v>
      </c>
      <c r="C11" s="164">
        <f>'[7]4D2_CH4_Industrial_Wastewater'!G18</f>
        <v>10115021.433</v>
      </c>
      <c r="D11" s="166">
        <f t="shared" si="0"/>
        <v>212415.45009299999</v>
      </c>
    </row>
    <row r="12" spans="2:4" ht="15" x14ac:dyDescent="0.25">
      <c r="B12" s="88">
        <v>2018</v>
      </c>
      <c r="C12" s="164">
        <f>'[7]4D2_CH4_Industrial_Wastewater'!G19</f>
        <v>11480218.752</v>
      </c>
      <c r="D12" s="166">
        <f t="shared" si="0"/>
        <v>241084.593792</v>
      </c>
    </row>
    <row r="13" spans="2:4" ht="15" x14ac:dyDescent="0.25">
      <c r="B13" s="88">
        <v>2019</v>
      </c>
      <c r="C13" s="164">
        <f>'[7]4D2_CH4_Industrial_Wastewater'!G20</f>
        <v>12892218.956999999</v>
      </c>
      <c r="D13" s="166">
        <f t="shared" si="0"/>
        <v>270736.59809699992</v>
      </c>
    </row>
    <row r="14" spans="2:4" ht="15" x14ac:dyDescent="0.25">
      <c r="B14" s="88">
        <v>2020</v>
      </c>
      <c r="C14" s="164">
        <f>'[7]4D2_CH4_Industrial_Wastewater'!G21</f>
        <v>14351022.048</v>
      </c>
      <c r="D14" s="166">
        <f t="shared" si="0"/>
        <v>301371.46300799999</v>
      </c>
    </row>
    <row r="15" spans="2:4" ht="15" x14ac:dyDescent="0.25">
      <c r="B15" s="88">
        <v>2021</v>
      </c>
      <c r="C15" s="164">
        <f>'[7]4D2_CH4_Industrial_Wastewater'!G22</f>
        <v>16429430.359999999</v>
      </c>
      <c r="D15" s="166">
        <f t="shared" si="0"/>
        <v>345018.03756000003</v>
      </c>
    </row>
    <row r="16" spans="2:4" ht="15" x14ac:dyDescent="0.25">
      <c r="B16" s="88">
        <v>2022</v>
      </c>
      <c r="C16" s="164">
        <f>'[7]4D2_CH4_Industrial_Wastewater'!G23</f>
        <v>18576500.352000002</v>
      </c>
      <c r="D16" s="166">
        <f t="shared" ref="D16:D24" si="1">(C16*21)/1000</f>
        <v>390106.507392</v>
      </c>
    </row>
    <row r="17" spans="2:4" ht="15" x14ac:dyDescent="0.25">
      <c r="B17" s="88">
        <v>2023</v>
      </c>
      <c r="C17" s="164">
        <f>'[7]4D2_CH4_Industrial_Wastewater'!G24</f>
        <v>20792232.024</v>
      </c>
      <c r="D17" s="166">
        <f t="shared" si="1"/>
        <v>436636.87250400003</v>
      </c>
    </row>
    <row r="18" spans="2:4" ht="15" x14ac:dyDescent="0.25">
      <c r="B18" s="88">
        <v>2024</v>
      </c>
      <c r="C18" s="164">
        <f>'[7]4D2_CH4_Industrial_Wastewater'!G25</f>
        <v>23076625.376000002</v>
      </c>
      <c r="D18" s="166">
        <f t="shared" si="1"/>
        <v>484609.13289600005</v>
      </c>
    </row>
    <row r="19" spans="2:4" ht="15" x14ac:dyDescent="0.25">
      <c r="B19" s="88">
        <v>2025</v>
      </c>
      <c r="C19" s="164">
        <f>'[7]4D2_CH4_Industrial_Wastewater'!G26</f>
        <v>25429680.408000004</v>
      </c>
      <c r="D19" s="166">
        <f t="shared" si="1"/>
        <v>534023.28856800008</v>
      </c>
    </row>
    <row r="20" spans="2:4" ht="15" x14ac:dyDescent="0.25">
      <c r="B20" s="88">
        <v>2026</v>
      </c>
      <c r="C20" s="164">
        <f>'[7]4D2_CH4_Industrial_Wastewater'!G27</f>
        <v>27851397.120000001</v>
      </c>
      <c r="D20" s="166">
        <f t="shared" si="1"/>
        <v>584879.33952000004</v>
      </c>
    </row>
    <row r="21" spans="2:4" ht="15" x14ac:dyDescent="0.25">
      <c r="B21" s="88">
        <v>2027</v>
      </c>
      <c r="C21" s="164">
        <f>'[7]4D2_CH4_Industrial_Wastewater'!G28</f>
        <v>30341775.512000002</v>
      </c>
      <c r="D21" s="166">
        <f t="shared" si="1"/>
        <v>637177.28575200005</v>
      </c>
    </row>
    <row r="22" spans="2:4" ht="15" x14ac:dyDescent="0.25">
      <c r="B22" s="88">
        <v>2028</v>
      </c>
      <c r="C22" s="164">
        <f>'[7]4D2_CH4_Industrial_Wastewater'!G29</f>
        <v>32900815.583999999</v>
      </c>
      <c r="D22" s="166">
        <f t="shared" si="1"/>
        <v>690917.12726399989</v>
      </c>
    </row>
    <row r="23" spans="2:4" ht="15" x14ac:dyDescent="0.25">
      <c r="B23" s="88">
        <v>2029</v>
      </c>
      <c r="C23" s="164">
        <f>'[7]4D2_CH4_Industrial_Wastewater'!G30</f>
        <v>35528517.336000003</v>
      </c>
      <c r="D23" s="166">
        <f t="shared" si="1"/>
        <v>746098.86405600014</v>
      </c>
    </row>
    <row r="24" spans="2:4" ht="15" x14ac:dyDescent="0.25">
      <c r="B24" s="88">
        <v>2030</v>
      </c>
      <c r="C24" s="164">
        <f>'[7]4D2_CH4_Industrial_Wastewater'!G31</f>
        <v>36116647.008000009</v>
      </c>
      <c r="D24" s="166">
        <f t="shared" si="1"/>
        <v>758449.58716800017</v>
      </c>
    </row>
    <row r="25" spans="2:4" ht="15" x14ac:dyDescent="0.25">
      <c r="B25" s="88">
        <v>2031</v>
      </c>
      <c r="C25" s="146"/>
      <c r="D25" s="167">
        <f t="shared" ref="D25" si="2">(C25*21)/1000</f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26" t="s">
        <v>54</v>
      </c>
      <c r="E5" s="226"/>
      <c r="F5" s="227" t="s">
        <v>64</v>
      </c>
      <c r="G5" s="227"/>
      <c r="H5" s="227"/>
      <c r="I5" s="227"/>
    </row>
    <row r="6" spans="1:9" s="20" customFormat="1" ht="16.5" customHeight="1" x14ac:dyDescent="0.25">
      <c r="A6" s="243" t="s">
        <v>48</v>
      </c>
      <c r="B6" s="243" t="s">
        <v>50</v>
      </c>
      <c r="C6" s="244"/>
      <c r="D6" s="233" t="s">
        <v>70</v>
      </c>
      <c r="E6" s="233"/>
      <c r="F6" s="228" t="s">
        <v>56</v>
      </c>
      <c r="G6" s="228"/>
      <c r="H6" s="228"/>
      <c r="I6" s="228"/>
    </row>
    <row r="7" spans="1:9" s="20" customFormat="1" ht="29.25" customHeight="1" x14ac:dyDescent="0.25">
      <c r="A7" s="243"/>
      <c r="B7" s="243"/>
      <c r="C7" s="244"/>
      <c r="D7" s="233"/>
      <c r="E7" s="233"/>
      <c r="F7" s="228" t="s">
        <v>57</v>
      </c>
      <c r="G7" s="228"/>
      <c r="H7" s="228"/>
      <c r="I7" s="228"/>
    </row>
    <row r="8" spans="1:9" s="20" customFormat="1" ht="51" customHeight="1" x14ac:dyDescent="0.25">
      <c r="A8" s="243"/>
      <c r="B8" s="29" t="s">
        <v>59</v>
      </c>
      <c r="C8" s="22"/>
      <c r="D8" s="233" t="s">
        <v>58</v>
      </c>
      <c r="E8" s="233"/>
      <c r="F8" s="228" t="s">
        <v>61</v>
      </c>
      <c r="G8" s="228"/>
      <c r="H8" s="228"/>
      <c r="I8" s="228"/>
    </row>
    <row r="9" spans="1:9" s="20" customFormat="1" ht="31.5" customHeight="1" x14ac:dyDescent="0.25">
      <c r="A9" s="243"/>
      <c r="B9" s="232" t="s">
        <v>51</v>
      </c>
      <c r="C9" s="22"/>
      <c r="D9" s="233" t="s">
        <v>60</v>
      </c>
      <c r="E9" s="233"/>
      <c r="F9" s="240" t="s">
        <v>66</v>
      </c>
      <c r="G9" s="241"/>
      <c r="H9" s="241"/>
      <c r="I9" s="242"/>
    </row>
    <row r="10" spans="1:9" s="20" customFormat="1" ht="20.25" customHeight="1" x14ac:dyDescent="0.25">
      <c r="A10" s="243"/>
      <c r="B10" s="232"/>
      <c r="C10" s="22"/>
      <c r="D10" s="233"/>
      <c r="E10" s="233"/>
      <c r="F10" s="228" t="s">
        <v>62</v>
      </c>
      <c r="G10" s="228"/>
      <c r="H10" s="228"/>
      <c r="I10" s="228"/>
    </row>
    <row r="11" spans="1:9" s="20" customFormat="1" ht="17.25" customHeight="1" x14ac:dyDescent="0.25">
      <c r="A11" s="243"/>
      <c r="B11" s="232"/>
      <c r="C11" s="22"/>
      <c r="D11" s="233"/>
      <c r="E11" s="233"/>
      <c r="F11" s="228" t="s">
        <v>63</v>
      </c>
      <c r="G11" s="228"/>
      <c r="H11" s="228"/>
      <c r="I11" s="228"/>
    </row>
    <row r="12" spans="1:9" s="20" customFormat="1" ht="60" customHeight="1" x14ac:dyDescent="0.25">
      <c r="A12" s="243" t="s">
        <v>49</v>
      </c>
      <c r="B12" s="27" t="s">
        <v>52</v>
      </c>
      <c r="C12" s="23"/>
      <c r="D12" s="24"/>
      <c r="E12" s="22"/>
      <c r="F12" s="234" t="s">
        <v>67</v>
      </c>
      <c r="G12" s="235"/>
      <c r="H12" s="235"/>
      <c r="I12" s="236"/>
    </row>
    <row r="13" spans="1:9" s="20" customFormat="1" ht="30" x14ac:dyDescent="0.25">
      <c r="A13" s="243"/>
      <c r="B13" s="28" t="s">
        <v>53</v>
      </c>
      <c r="C13" s="23"/>
      <c r="D13" s="24"/>
      <c r="E13" s="22"/>
      <c r="F13" s="237"/>
      <c r="G13" s="238"/>
      <c r="H13" s="238"/>
      <c r="I13" s="239"/>
    </row>
    <row r="18" spans="1:22" ht="21" x14ac:dyDescent="0.35">
      <c r="A18" s="245" t="s">
        <v>74</v>
      </c>
      <c r="B18" s="245"/>
      <c r="C18" s="245"/>
      <c r="D18" s="245"/>
      <c r="E18" s="245"/>
      <c r="F18" s="245"/>
      <c r="G18" s="245"/>
      <c r="H18" s="245"/>
      <c r="I18" s="245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29" t="s">
        <v>8</v>
      </c>
      <c r="B21" s="230" t="s">
        <v>40</v>
      </c>
      <c r="C21" s="230"/>
      <c r="D21" s="230"/>
      <c r="E21" s="230"/>
      <c r="F21" s="230"/>
      <c r="G21" s="230"/>
      <c r="H21" s="230"/>
      <c r="I21" s="231"/>
      <c r="K21" t="s">
        <v>22</v>
      </c>
      <c r="L21" t="s">
        <v>25</v>
      </c>
    </row>
    <row r="22" spans="1:22" ht="38.25" x14ac:dyDescent="0.25">
      <c r="A22" s="229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1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51" t="s">
        <v>71</v>
      </c>
      <c r="C24" s="35">
        <v>0</v>
      </c>
      <c r="D24" s="251" t="s">
        <v>73</v>
      </c>
      <c r="E24" s="251" t="s">
        <v>79</v>
      </c>
      <c r="F24" s="251"/>
      <c r="G24" s="251"/>
      <c r="H24" s="25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51"/>
      <c r="C25" s="35">
        <v>0</v>
      </c>
      <c r="D25" s="251"/>
      <c r="E25" s="251"/>
      <c r="F25" s="251"/>
      <c r="G25" s="251"/>
      <c r="H25" s="251"/>
      <c r="I25" s="34"/>
      <c r="K25" t="s">
        <v>27</v>
      </c>
      <c r="L25" s="249">
        <v>1000</v>
      </c>
      <c r="M25" s="249"/>
      <c r="N25" s="249"/>
      <c r="O25" s="8" t="s">
        <v>28</v>
      </c>
      <c r="R25" s="250">
        <f>L25*1000/365</f>
        <v>2739.7260273972602</v>
      </c>
      <c r="S25" s="250"/>
      <c r="T25" s="250"/>
      <c r="U25" s="11" t="s">
        <v>45</v>
      </c>
    </row>
    <row r="26" spans="1:22" x14ac:dyDescent="0.25">
      <c r="A26" s="2">
        <v>2013</v>
      </c>
      <c r="B26" s="251"/>
      <c r="C26" s="35">
        <v>0</v>
      </c>
      <c r="D26" s="251"/>
      <c r="E26" s="251"/>
      <c r="F26" s="251"/>
      <c r="G26" s="251"/>
      <c r="H26" s="251"/>
      <c r="I26" s="34"/>
      <c r="K26" t="s">
        <v>29</v>
      </c>
      <c r="L26" s="249">
        <v>3000</v>
      </c>
      <c r="M26" s="249"/>
      <c r="N26" s="249"/>
      <c r="O26" s="8" t="s">
        <v>28</v>
      </c>
    </row>
    <row r="27" spans="1:22" x14ac:dyDescent="0.25">
      <c r="A27" s="2">
        <v>2014</v>
      </c>
      <c r="B27" s="251"/>
      <c r="C27" s="35">
        <v>0</v>
      </c>
      <c r="D27" s="251"/>
      <c r="E27" s="251"/>
      <c r="F27" s="251"/>
      <c r="G27" s="251"/>
      <c r="H27" s="25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51"/>
      <c r="C28" s="35">
        <v>0</v>
      </c>
      <c r="D28" s="251"/>
      <c r="E28" s="251"/>
      <c r="F28" s="251"/>
      <c r="G28" s="251"/>
      <c r="H28" s="251"/>
      <c r="I28" s="34"/>
    </row>
    <row r="29" spans="1:22" x14ac:dyDescent="0.25">
      <c r="A29" s="2">
        <v>2016</v>
      </c>
      <c r="B29" s="251"/>
      <c r="C29" s="35">
        <v>0</v>
      </c>
      <c r="D29" s="251"/>
      <c r="E29" s="251"/>
      <c r="F29" s="251"/>
      <c r="G29" s="251"/>
      <c r="H29" s="251"/>
      <c r="I29" s="34"/>
    </row>
    <row r="30" spans="1:22" x14ac:dyDescent="0.25">
      <c r="A30" s="2">
        <v>2017</v>
      </c>
      <c r="B30" s="251"/>
      <c r="C30" s="35">
        <v>0</v>
      </c>
      <c r="D30" s="251"/>
      <c r="E30" s="251"/>
      <c r="F30" s="251"/>
      <c r="G30" s="251"/>
      <c r="H30" s="251"/>
      <c r="I30" s="34"/>
    </row>
    <row r="31" spans="1:22" ht="25.5" x14ac:dyDescent="0.25">
      <c r="A31" s="2">
        <v>2018</v>
      </c>
      <c r="B31" s="251"/>
      <c r="C31" s="35">
        <v>0</v>
      </c>
      <c r="D31" s="251"/>
      <c r="E31" s="251"/>
      <c r="F31" s="251"/>
      <c r="G31" s="251"/>
      <c r="H31" s="25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51"/>
      <c r="C32" s="35">
        <v>0</v>
      </c>
      <c r="D32" s="251"/>
      <c r="E32" s="251"/>
      <c r="F32" s="251"/>
      <c r="G32" s="251"/>
      <c r="H32" s="25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51"/>
      <c r="C33" s="35">
        <v>0</v>
      </c>
      <c r="D33" s="251"/>
      <c r="E33" s="251"/>
      <c r="F33" s="251"/>
      <c r="G33" s="251"/>
      <c r="H33" s="25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29" t="s">
        <v>8</v>
      </c>
      <c r="B37" s="252" t="s">
        <v>78</v>
      </c>
      <c r="C37" s="253"/>
      <c r="D37" s="253"/>
      <c r="E37" s="253"/>
      <c r="F37" s="253"/>
      <c r="G37" s="253"/>
      <c r="H37" s="254"/>
      <c r="I37" s="247" t="s">
        <v>40</v>
      </c>
    </row>
    <row r="38" spans="1:20" ht="38.25" x14ac:dyDescent="0.25">
      <c r="A38" s="229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48"/>
    </row>
    <row r="39" spans="1:20" x14ac:dyDescent="0.25">
      <c r="A39" s="2">
        <v>2010</v>
      </c>
      <c r="B39" s="220" t="s">
        <v>75</v>
      </c>
      <c r="C39" s="220" t="s">
        <v>76</v>
      </c>
      <c r="D39" s="220" t="s">
        <v>75</v>
      </c>
      <c r="E39" s="220" t="s">
        <v>76</v>
      </c>
      <c r="F39" s="220" t="s">
        <v>76</v>
      </c>
      <c r="G39" s="220" t="s">
        <v>76</v>
      </c>
      <c r="H39" s="220" t="s">
        <v>76</v>
      </c>
      <c r="I39" s="14">
        <f>'timbulan sampah'!E5</f>
        <v>37.197200000000002</v>
      </c>
    </row>
    <row r="40" spans="1:20" x14ac:dyDescent="0.25">
      <c r="A40" s="2">
        <v>2011</v>
      </c>
      <c r="B40" s="221"/>
      <c r="C40" s="221"/>
      <c r="D40" s="221"/>
      <c r="E40" s="221"/>
      <c r="F40" s="221"/>
      <c r="G40" s="221"/>
      <c r="H40" s="221"/>
      <c r="I40" s="14">
        <f>'timbulan sampah'!E6</f>
        <v>38.315200000000004</v>
      </c>
      <c r="K40" t="s">
        <v>20</v>
      </c>
      <c r="O40" s="8" t="s">
        <v>21</v>
      </c>
    </row>
    <row r="41" spans="1:20" x14ac:dyDescent="0.25">
      <c r="A41" s="2">
        <v>2012</v>
      </c>
      <c r="B41" s="221"/>
      <c r="C41" s="221"/>
      <c r="D41" s="221"/>
      <c r="E41" s="221"/>
      <c r="F41" s="221"/>
      <c r="G41" s="221"/>
      <c r="H41" s="221"/>
      <c r="I41" s="14">
        <f>'timbulan sampah'!E7</f>
        <v>39.477600000000002</v>
      </c>
      <c r="K41" t="s">
        <v>23</v>
      </c>
      <c r="O41" s="8" t="s">
        <v>24</v>
      </c>
    </row>
    <row r="42" spans="1:20" x14ac:dyDescent="0.25">
      <c r="A42" s="2">
        <v>2013</v>
      </c>
      <c r="B42" s="221"/>
      <c r="C42" s="221"/>
      <c r="D42" s="221"/>
      <c r="E42" s="221"/>
      <c r="F42" s="221"/>
      <c r="G42" s="221"/>
      <c r="H42" s="221"/>
      <c r="I42" s="14">
        <f>'timbulan sampah'!E8</f>
        <v>40.644600000000004</v>
      </c>
    </row>
    <row r="43" spans="1:20" x14ac:dyDescent="0.25">
      <c r="A43" s="2">
        <v>2014</v>
      </c>
      <c r="B43" s="221"/>
      <c r="C43" s="221"/>
      <c r="D43" s="221"/>
      <c r="E43" s="221"/>
      <c r="F43" s="221"/>
      <c r="G43" s="221"/>
      <c r="H43" s="221"/>
      <c r="I43" s="14">
        <f>'timbulan sampah'!E9</f>
        <v>41.778600000000004</v>
      </c>
    </row>
    <row r="44" spans="1:20" x14ac:dyDescent="0.25">
      <c r="A44" s="2">
        <v>2015</v>
      </c>
      <c r="B44" s="221"/>
      <c r="C44" s="221"/>
      <c r="D44" s="221"/>
      <c r="E44" s="221"/>
      <c r="F44" s="221"/>
      <c r="G44" s="221"/>
      <c r="H44" s="221"/>
      <c r="I44" s="14">
        <f>'timbulan sampah'!E10</f>
        <v>42.965600000000009</v>
      </c>
    </row>
    <row r="45" spans="1:20" x14ac:dyDescent="0.25">
      <c r="A45" s="2">
        <v>2016</v>
      </c>
      <c r="B45" s="221"/>
      <c r="C45" s="221"/>
      <c r="D45" s="221"/>
      <c r="E45" s="221"/>
      <c r="F45" s="221"/>
      <c r="G45" s="221"/>
      <c r="H45" s="221"/>
      <c r="I45" s="14">
        <f>'timbulan sampah'!E11</f>
        <v>44.459840000000007</v>
      </c>
    </row>
    <row r="46" spans="1:20" x14ac:dyDescent="0.25">
      <c r="A46" s="2">
        <v>2017</v>
      </c>
      <c r="B46" s="221"/>
      <c r="C46" s="221"/>
      <c r="D46" s="221"/>
      <c r="E46" s="221"/>
      <c r="F46" s="221"/>
      <c r="G46" s="221"/>
      <c r="H46" s="221"/>
      <c r="I46" s="14">
        <f>'timbulan sampah'!E12</f>
        <v>45.680619999999998</v>
      </c>
    </row>
    <row r="47" spans="1:20" x14ac:dyDescent="0.25">
      <c r="A47" s="2">
        <v>2018</v>
      </c>
      <c r="B47" s="221"/>
      <c r="C47" s="221"/>
      <c r="D47" s="221"/>
      <c r="E47" s="221"/>
      <c r="F47" s="221"/>
      <c r="G47" s="221"/>
      <c r="H47" s="221"/>
      <c r="I47" s="14">
        <f>'timbulan sampah'!E13</f>
        <v>46.901400000000002</v>
      </c>
    </row>
    <row r="48" spans="1:20" x14ac:dyDescent="0.25">
      <c r="A48" s="2">
        <v>2019</v>
      </c>
      <c r="B48" s="221"/>
      <c r="C48" s="221"/>
      <c r="D48" s="221"/>
      <c r="E48" s="221"/>
      <c r="F48" s="221"/>
      <c r="G48" s="221"/>
      <c r="H48" s="221"/>
      <c r="I48" s="14">
        <f>'timbulan sampah'!E14</f>
        <v>48.12218</v>
      </c>
    </row>
    <row r="49" spans="1:21" x14ac:dyDescent="0.25">
      <c r="A49" s="2">
        <v>2020</v>
      </c>
      <c r="B49" s="222"/>
      <c r="C49" s="222"/>
      <c r="D49" s="222"/>
      <c r="E49" s="222"/>
      <c r="F49" s="222"/>
      <c r="G49" s="222"/>
      <c r="H49" s="222"/>
      <c r="I49" s="14">
        <f>'timbulan sampah'!E15</f>
        <v>49.342959999999998</v>
      </c>
    </row>
    <row r="52" spans="1:21" x14ac:dyDescent="0.25">
      <c r="A52" s="229" t="s">
        <v>8</v>
      </c>
      <c r="B52" s="246" t="s">
        <v>0</v>
      </c>
      <c r="C52" s="246"/>
      <c r="D52" s="246"/>
      <c r="E52" s="246"/>
      <c r="F52" s="246"/>
      <c r="G52" s="246"/>
      <c r="H52" s="246"/>
      <c r="I52" s="247" t="s">
        <v>10</v>
      </c>
    </row>
    <row r="53" spans="1:21" ht="42.75" customHeight="1" x14ac:dyDescent="0.25">
      <c r="A53" s="229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48"/>
    </row>
    <row r="54" spans="1:21" ht="17.25" customHeight="1" x14ac:dyDescent="0.25">
      <c r="A54" s="2">
        <v>2010</v>
      </c>
      <c r="B54" s="223" t="s">
        <v>77</v>
      </c>
      <c r="C54" s="223" t="s">
        <v>77</v>
      </c>
      <c r="D54" s="223" t="s">
        <v>77</v>
      </c>
      <c r="E54" s="223" t="s">
        <v>77</v>
      </c>
      <c r="F54" s="223" t="s">
        <v>77</v>
      </c>
      <c r="G54" s="223" t="s">
        <v>77</v>
      </c>
      <c r="H54" s="223" t="s">
        <v>77</v>
      </c>
      <c r="I54" s="3">
        <v>1</v>
      </c>
    </row>
    <row r="55" spans="1:21" x14ac:dyDescent="0.25">
      <c r="A55" s="2">
        <v>2011</v>
      </c>
      <c r="B55" s="224"/>
      <c r="C55" s="224"/>
      <c r="D55" s="224"/>
      <c r="E55" s="224"/>
      <c r="F55" s="224"/>
      <c r="G55" s="224"/>
      <c r="H55" s="224"/>
      <c r="I55" s="3">
        <v>1</v>
      </c>
    </row>
    <row r="56" spans="1:21" x14ac:dyDescent="0.25">
      <c r="A56" s="2">
        <v>2012</v>
      </c>
      <c r="B56" s="224"/>
      <c r="C56" s="224"/>
      <c r="D56" s="224"/>
      <c r="E56" s="224"/>
      <c r="F56" s="224"/>
      <c r="G56" s="224"/>
      <c r="H56" s="224"/>
      <c r="I56" s="3">
        <v>1</v>
      </c>
    </row>
    <row r="57" spans="1:21" x14ac:dyDescent="0.25">
      <c r="A57" s="2">
        <v>2013</v>
      </c>
      <c r="B57" s="224"/>
      <c r="C57" s="224"/>
      <c r="D57" s="224"/>
      <c r="E57" s="224"/>
      <c r="F57" s="224"/>
      <c r="G57" s="224"/>
      <c r="H57" s="224"/>
      <c r="I57" s="3">
        <v>1</v>
      </c>
    </row>
    <row r="58" spans="1:21" x14ac:dyDescent="0.25">
      <c r="A58" s="2">
        <v>2014</v>
      </c>
      <c r="B58" s="224"/>
      <c r="C58" s="224"/>
      <c r="D58" s="224"/>
      <c r="E58" s="224"/>
      <c r="F58" s="224"/>
      <c r="G58" s="224"/>
      <c r="H58" s="224"/>
      <c r="I58" s="3">
        <v>1</v>
      </c>
    </row>
    <row r="59" spans="1:21" x14ac:dyDescent="0.25">
      <c r="A59" s="2">
        <v>2015</v>
      </c>
      <c r="B59" s="224"/>
      <c r="C59" s="224"/>
      <c r="D59" s="224"/>
      <c r="E59" s="224"/>
      <c r="F59" s="224"/>
      <c r="G59" s="224"/>
      <c r="H59" s="224"/>
      <c r="I59" s="3">
        <v>1</v>
      </c>
    </row>
    <row r="60" spans="1:21" x14ac:dyDescent="0.25">
      <c r="A60" s="2">
        <v>2016</v>
      </c>
      <c r="B60" s="224"/>
      <c r="C60" s="224"/>
      <c r="D60" s="224"/>
      <c r="E60" s="224"/>
      <c r="F60" s="224"/>
      <c r="G60" s="224"/>
      <c r="H60" s="224"/>
      <c r="I60" s="3">
        <v>1</v>
      </c>
    </row>
    <row r="61" spans="1:21" x14ac:dyDescent="0.25">
      <c r="A61" s="2">
        <v>2017</v>
      </c>
      <c r="B61" s="224"/>
      <c r="C61" s="224"/>
      <c r="D61" s="224"/>
      <c r="E61" s="224"/>
      <c r="F61" s="224"/>
      <c r="G61" s="224"/>
      <c r="H61" s="224"/>
      <c r="I61" s="3">
        <v>1</v>
      </c>
    </row>
    <row r="62" spans="1:21" x14ac:dyDescent="0.25">
      <c r="A62" s="2">
        <v>2018</v>
      </c>
      <c r="B62" s="224"/>
      <c r="C62" s="224"/>
      <c r="D62" s="224"/>
      <c r="E62" s="224"/>
      <c r="F62" s="224"/>
      <c r="G62" s="224"/>
      <c r="H62" s="224"/>
      <c r="I62" s="3">
        <v>1</v>
      </c>
    </row>
    <row r="63" spans="1:21" x14ac:dyDescent="0.25">
      <c r="A63" s="2">
        <v>2019</v>
      </c>
      <c r="B63" s="224"/>
      <c r="C63" s="224"/>
      <c r="D63" s="224"/>
      <c r="E63" s="224"/>
      <c r="F63" s="224"/>
      <c r="G63" s="224"/>
      <c r="H63" s="224"/>
      <c r="I63" s="3">
        <v>1</v>
      </c>
      <c r="U63" s="4"/>
    </row>
    <row r="64" spans="1:21" x14ac:dyDescent="0.25">
      <c r="A64" s="2">
        <v>2020</v>
      </c>
      <c r="B64" s="225"/>
      <c r="C64" s="225"/>
      <c r="D64" s="225"/>
      <c r="E64" s="225"/>
      <c r="F64" s="225"/>
      <c r="G64" s="225"/>
      <c r="H64" s="225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70" t="s">
        <v>11</v>
      </c>
      <c r="B6" s="271" t="s">
        <v>110</v>
      </c>
      <c r="C6" s="271"/>
      <c r="D6" s="271"/>
      <c r="E6" s="71" t="s">
        <v>114</v>
      </c>
      <c r="F6" s="270" t="s">
        <v>11</v>
      </c>
      <c r="G6" s="271" t="s">
        <v>111</v>
      </c>
      <c r="H6" s="271"/>
      <c r="I6" s="271"/>
      <c r="J6" s="72" t="s">
        <v>115</v>
      </c>
      <c r="K6" s="270" t="s">
        <v>11</v>
      </c>
      <c r="L6" s="271" t="s">
        <v>112</v>
      </c>
      <c r="M6" s="271"/>
      <c r="N6" s="271"/>
      <c r="O6" s="72" t="s">
        <v>115</v>
      </c>
      <c r="P6" s="270" t="s">
        <v>11</v>
      </c>
      <c r="Q6" s="271" t="s">
        <v>113</v>
      </c>
      <c r="R6" s="271"/>
      <c r="S6" s="271"/>
    </row>
    <row r="7" spans="1:19" x14ac:dyDescent="0.25">
      <c r="A7" s="270"/>
      <c r="B7" s="270" t="s">
        <v>82</v>
      </c>
      <c r="C7" s="270"/>
      <c r="D7" s="271" t="s">
        <v>84</v>
      </c>
      <c r="E7" s="69"/>
      <c r="F7" s="270"/>
      <c r="G7" s="270" t="s">
        <v>82</v>
      </c>
      <c r="H7" s="270"/>
      <c r="I7" s="271" t="s">
        <v>84</v>
      </c>
      <c r="K7" s="270"/>
      <c r="L7" s="270" t="s">
        <v>82</v>
      </c>
      <c r="M7" s="270"/>
      <c r="N7" s="271" t="s">
        <v>84</v>
      </c>
      <c r="P7" s="270"/>
      <c r="Q7" s="270" t="s">
        <v>82</v>
      </c>
      <c r="R7" s="270"/>
      <c r="S7" s="271" t="s">
        <v>84</v>
      </c>
    </row>
    <row r="8" spans="1:19" x14ac:dyDescent="0.25">
      <c r="A8" s="270"/>
      <c r="B8" s="74" t="s">
        <v>85</v>
      </c>
      <c r="C8" s="74" t="s">
        <v>86</v>
      </c>
      <c r="D8" s="271"/>
      <c r="E8" s="6"/>
      <c r="F8" s="270"/>
      <c r="G8" s="74" t="s">
        <v>85</v>
      </c>
      <c r="H8" s="74" t="s">
        <v>86</v>
      </c>
      <c r="I8" s="271"/>
      <c r="K8" s="270"/>
      <c r="L8" s="74" t="s">
        <v>85</v>
      </c>
      <c r="M8" s="74" t="s">
        <v>86</v>
      </c>
      <c r="N8" s="271"/>
      <c r="P8" s="270"/>
      <c r="Q8" s="74" t="s">
        <v>85</v>
      </c>
      <c r="R8" s="74" t="s">
        <v>86</v>
      </c>
      <c r="S8" s="271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61" t="s">
        <v>11</v>
      </c>
      <c r="B23" s="263" t="s">
        <v>81</v>
      </c>
      <c r="C23" s="264"/>
      <c r="D23" s="264"/>
      <c r="E23" s="264"/>
      <c r="F23" s="265"/>
      <c r="K23" t="s">
        <v>121</v>
      </c>
      <c r="L23">
        <v>280</v>
      </c>
      <c r="M23" t="s">
        <v>123</v>
      </c>
    </row>
    <row r="24" spans="1:19" ht="15.75" thickBot="1" x14ac:dyDescent="0.3">
      <c r="A24" s="262"/>
      <c r="B24" s="263" t="s">
        <v>82</v>
      </c>
      <c r="C24" s="265"/>
      <c r="D24" s="263" t="s">
        <v>83</v>
      </c>
      <c r="E24" s="265"/>
      <c r="F24" s="266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62"/>
      <c r="B25" s="36" t="s">
        <v>85</v>
      </c>
      <c r="C25" s="36" t="s">
        <v>86</v>
      </c>
      <c r="D25" s="36" t="s">
        <v>87</v>
      </c>
      <c r="E25" s="36" t="s">
        <v>86</v>
      </c>
      <c r="F25" s="267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8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9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9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0.46663608269131296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0.4807928085473801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0.49500555723460493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0.50881640300265396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0.52327272921665224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0.5414708933969431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0.55633862205366136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0.57120635071037984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0.58607407936709832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0.60094180802381714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0.61580953668053529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5" t="s">
        <v>11</v>
      </c>
      <c r="B58" s="257" t="s">
        <v>93</v>
      </c>
      <c r="C58" s="258"/>
      <c r="D58" s="53" t="s">
        <v>94</v>
      </c>
      <c r="E58" s="54"/>
      <c r="F58" s="55" t="s">
        <v>95</v>
      </c>
    </row>
    <row r="59" spans="1:6" ht="63.75" thickBot="1" x14ac:dyDescent="0.3">
      <c r="A59" s="256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6"/>
      <c r="B60" s="259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6"/>
      <c r="B61" s="260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2017-09-27T07:21:15Z</dcterms:modified>
</cp:coreProperties>
</file>