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kar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I81" i="3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2" i="1"/>
  <c r="B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H26" i="1" l="1"/>
  <c r="G26" i="1"/>
  <c r="F26" i="1"/>
  <c r="E26" i="1"/>
  <c r="D26" i="1"/>
  <c r="C26" i="1"/>
  <c r="B26" i="1"/>
  <c r="C24" i="6" l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16" i="6" l="1"/>
  <c r="D17" i="6"/>
  <c r="D18" i="6"/>
  <c r="D19" i="6"/>
  <c r="D20" i="6"/>
  <c r="D21" i="6"/>
  <c r="D22" i="6"/>
  <c r="D23" i="6"/>
  <c r="D24" i="6"/>
  <c r="D25" i="6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F57" i="1" s="1"/>
  <c r="E41" i="1"/>
  <c r="G41" i="1"/>
  <c r="C41" i="1"/>
  <c r="D41" i="1"/>
  <c r="D40" i="1"/>
  <c r="H40" i="1"/>
  <c r="F40" i="1"/>
  <c r="G40" i="1"/>
  <c r="E40" i="1"/>
  <c r="C40" i="1"/>
  <c r="G47" i="1"/>
  <c r="E47" i="1"/>
  <c r="C47" i="1"/>
  <c r="D47" i="1"/>
  <c r="H47" i="1"/>
  <c r="F47" i="1"/>
  <c r="G43" i="1"/>
  <c r="E43" i="1"/>
  <c r="C43" i="1"/>
  <c r="D43" i="1"/>
  <c r="H43" i="1"/>
  <c r="F43" i="1"/>
  <c r="F59" i="1" s="1"/>
  <c r="H45" i="1"/>
  <c r="F45" i="1"/>
  <c r="D45" i="1"/>
  <c r="G45" i="1"/>
  <c r="E45" i="1"/>
  <c r="C45" i="1"/>
  <c r="D48" i="1"/>
  <c r="G48" i="1"/>
  <c r="H48" i="1"/>
  <c r="F48" i="1"/>
  <c r="F64" i="1" s="1"/>
  <c r="E48" i="1"/>
  <c r="C48" i="1"/>
  <c r="D44" i="1"/>
  <c r="H44" i="1"/>
  <c r="F44" i="1"/>
  <c r="E44" i="1"/>
  <c r="C44" i="1"/>
  <c r="G44" i="1"/>
  <c r="G46" i="1"/>
  <c r="E46" i="1"/>
  <c r="C46" i="1"/>
  <c r="H46" i="1"/>
  <c r="F46" i="1"/>
  <c r="D46" i="1"/>
  <c r="G42" i="1"/>
  <c r="E42" i="1"/>
  <c r="C42" i="1"/>
  <c r="F42" i="1"/>
  <c r="D42" i="1"/>
  <c r="H42" i="1"/>
  <c r="B45" i="1" l="1"/>
  <c r="B66" i="1" s="1"/>
  <c r="F61" i="1"/>
  <c r="B40" i="1"/>
  <c r="B61" i="1" s="1"/>
  <c r="F56" i="1"/>
  <c r="B48" i="1"/>
  <c r="B42" i="1"/>
  <c r="F58" i="1"/>
  <c r="B47" i="1"/>
  <c r="F63" i="1"/>
  <c r="B46" i="1"/>
  <c r="B67" i="1" s="1"/>
  <c r="F62" i="1"/>
  <c r="B44" i="1"/>
  <c r="B65" i="1" s="1"/>
  <c r="F60" i="1"/>
  <c r="B41" i="1"/>
  <c r="B43" i="1"/>
  <c r="J44" i="1"/>
  <c r="J45" i="1"/>
  <c r="M15" i="1"/>
  <c r="M14" i="1" s="1"/>
  <c r="M13" i="1" s="1"/>
  <c r="M12" i="1" s="1"/>
  <c r="M11" i="1" s="1"/>
  <c r="M10" i="1" s="1"/>
  <c r="M9" i="1" s="1"/>
  <c r="M8" i="1" s="1"/>
  <c r="M7" i="1" s="1"/>
  <c r="J40" i="1" l="1"/>
  <c r="J47" i="1"/>
  <c r="B68" i="1"/>
  <c r="J41" i="1"/>
  <c r="B62" i="1"/>
  <c r="J48" i="1"/>
  <c r="B69" i="1"/>
  <c r="J46" i="1"/>
  <c r="J43" i="1"/>
  <c r="B64" i="1"/>
  <c r="J42" i="1"/>
  <c r="B63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B50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B51" i="1" s="1"/>
  <c r="F30" i="1"/>
  <c r="E30" i="1"/>
  <c r="I34" i="1"/>
  <c r="I37" i="1"/>
  <c r="I47" i="2"/>
  <c r="F33" i="1"/>
  <c r="B33" i="1"/>
  <c r="B54" i="1" s="1"/>
  <c r="D33" i="1"/>
  <c r="G33" i="1"/>
  <c r="H33" i="1"/>
  <c r="I43" i="2"/>
  <c r="F31" i="5"/>
  <c r="F33" i="5"/>
  <c r="F63" i="5"/>
  <c r="I38" i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C38" i="1" l="1"/>
  <c r="C37" i="1"/>
  <c r="C39" i="1"/>
  <c r="J32" i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F31" i="1"/>
  <c r="H31" i="1"/>
  <c r="D36" i="1"/>
  <c r="B31" i="1"/>
  <c r="B52" i="1" s="1"/>
  <c r="E34" i="1"/>
  <c r="F35" i="1"/>
  <c r="D34" i="1"/>
  <c r="B34" i="1"/>
  <c r="B55" i="1" s="1"/>
  <c r="D38" i="1"/>
  <c r="E38" i="1"/>
  <c r="F38" i="1"/>
  <c r="G38" i="1"/>
  <c r="F37" i="1"/>
  <c r="D37" i="1"/>
  <c r="E37" i="1"/>
  <c r="G37" i="1"/>
  <c r="H37" i="1"/>
  <c r="H29" i="1"/>
  <c r="C29" i="1"/>
  <c r="G29" i="1"/>
  <c r="H38" i="1"/>
  <c r="E39" i="1"/>
  <c r="G39" i="1"/>
  <c r="F39" i="1"/>
  <c r="F55" i="1" s="1"/>
  <c r="H39" i="1"/>
  <c r="D39" i="1"/>
  <c r="F29" i="1"/>
  <c r="I7" i="1"/>
  <c r="I8" i="1"/>
  <c r="I9" i="1"/>
  <c r="I10" i="1"/>
  <c r="I11" i="1"/>
  <c r="I12" i="1"/>
  <c r="I13" i="1"/>
  <c r="I14" i="1"/>
  <c r="I15" i="1"/>
  <c r="I16" i="1"/>
  <c r="B38" i="1" l="1"/>
  <c r="B59" i="1" s="1"/>
  <c r="F54" i="1"/>
  <c r="B39" i="1"/>
  <c r="B36" i="1"/>
  <c r="B57" i="1" s="1"/>
  <c r="F52" i="1"/>
  <c r="B37" i="1"/>
  <c r="F53" i="1"/>
  <c r="B35" i="1"/>
  <c r="F51" i="1"/>
  <c r="J31" i="1"/>
  <c r="J29" i="1"/>
  <c r="J38" i="1"/>
  <c r="J34" i="1"/>
  <c r="J36" i="1" l="1"/>
  <c r="J37" i="1"/>
  <c r="B58" i="1"/>
  <c r="J39" i="1"/>
  <c r="B60" i="1"/>
  <c r="J35" i="1"/>
  <c r="B56" i="1"/>
  <c r="F65" i="1"/>
  <c r="F66" i="1" s="1"/>
  <c r="C9" i="3"/>
  <c r="D9" i="3" s="1"/>
  <c r="B70" i="1" l="1"/>
  <c r="B71" i="1" s="1"/>
  <c r="C11" i="3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l="1"/>
  <c r="J62" i="3" s="1"/>
  <c r="H11" i="3"/>
  <c r="I11" i="3" s="1"/>
  <c r="I63" i="3" l="1"/>
  <c r="J63" i="3" s="1"/>
  <c r="H12" i="3"/>
  <c r="I12" i="3" s="1"/>
  <c r="I64" i="3" l="1"/>
  <c r="J64" i="3" s="1"/>
  <c r="H13" i="3"/>
  <c r="I13" i="3" s="1"/>
  <c r="I65" i="3" l="1"/>
  <c r="J65" i="3" s="1"/>
  <c r="H14" i="3"/>
  <c r="I14" i="3" s="1"/>
  <c r="I66" i="3" l="1"/>
  <c r="J66" i="3" s="1"/>
  <c r="H15" i="3"/>
  <c r="I15" i="3" s="1"/>
  <c r="I67" i="3" l="1"/>
  <c r="J67" i="3" s="1"/>
  <c r="H16" i="3"/>
  <c r="I16" i="3" s="1"/>
  <c r="I68" i="3" l="1"/>
  <c r="J68" i="3" s="1"/>
  <c r="H17" i="3"/>
  <c r="I17" i="3" s="1"/>
  <c r="I69" i="3" l="1"/>
  <c r="J69" i="3" s="1"/>
  <c r="H18" i="3"/>
  <c r="I18" i="3" s="1"/>
  <c r="I70" i="3" l="1"/>
  <c r="J70" i="3" s="1"/>
  <c r="H19" i="3"/>
  <c r="I19" i="3" s="1"/>
  <c r="I71" i="3" l="1"/>
  <c r="J71" i="3" s="1"/>
  <c r="H20" i="3"/>
  <c r="I20" i="3" s="1"/>
  <c r="I72" i="3" l="1"/>
  <c r="J72" i="3" s="1"/>
  <c r="H21" i="3"/>
  <c r="I21" i="3" s="1"/>
  <c r="I73" i="3" l="1"/>
  <c r="J73" i="3" s="1"/>
  <c r="H22" i="3"/>
  <c r="I22" i="3" s="1"/>
  <c r="I74" i="3" l="1"/>
  <c r="J74" i="3" s="1"/>
  <c r="H23" i="3"/>
  <c r="I23" i="3" s="1"/>
  <c r="I75" i="3" l="1"/>
  <c r="J75" i="3" s="1"/>
  <c r="H24" i="3"/>
  <c r="I24" i="3" s="1"/>
  <c r="I76" i="3" l="1"/>
  <c r="J76" i="3" s="1"/>
  <c r="H25" i="3"/>
  <c r="I25" i="3" s="1"/>
  <c r="I77" i="3" l="1"/>
  <c r="J77" i="3" s="1"/>
  <c r="H26" i="3"/>
  <c r="I26" i="3" s="1"/>
  <c r="I78" i="3" l="1"/>
  <c r="J78" i="3" s="1"/>
  <c r="H27" i="3"/>
  <c r="I27" i="3" s="1"/>
  <c r="I79" i="3" l="1"/>
  <c r="J79" i="3" s="1"/>
  <c r="H28" i="3"/>
  <c r="I28" i="3" s="1"/>
  <c r="I80" i="3" l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3% dari fraksi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<sst xmlns="http://schemas.openxmlformats.org/spreadsheetml/2006/main" count="302" uniqueCount="155">
  <si>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</si>
  <si>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</si>
  <si>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</si>
  <si>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</si>
  <si>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</si>
  <si>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</si>
  <si>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</si>
  <si>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</si>
  <si>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</si>
  <si>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</si>
  <si>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</si>
  <si>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</si>
  <si>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</si>
  <si>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</si>
  <si>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</si>
  <si>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</si>
  <si>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</si>
  <si>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</si>
  <si>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</si>
  <si>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</si>
  <si>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</si>
  <si>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</si>
  <si>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</si>
  <si>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</si>
  <si>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</si>
  <si>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</si>
  <si>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</si>
  <si>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</si>
  <si>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</si>
  <si>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</si>
  <si>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</si>
  <si>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</si>
  <si>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</si>
  <si>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</si>
  <si>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</si>
  <si>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</si>
  <si>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</si>
  <si>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</si>
  <si>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</si>
  <si>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</si>
  <si>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</si>
  <si>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</si>
  <si>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</si>
  <si>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</si>
  <si>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</si>
  <si>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</si>
  <si>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</si>
  <si>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</si>
  <si>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</si>
  <si>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</si>
  <si>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</si>
  <si>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</si>
  <si>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</si>
  <si>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</si>
  <si>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</si>
  <si>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</si>
  <si>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</si>
  <si>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</si>
  <si>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</si>
  <si>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</si>
  <si>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</si>
  <si>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</si>
  <si>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</si>
  <si>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</si>
  <si>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</si>
  <si>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</si>
  <si>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</si>
  <si>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</si>
  <si>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</si>
  <si>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</si>
  <si>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</si>
  <si>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</si>
  <si>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</si>
  <si>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</si>
  <si>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</si>
  <si>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</si>
  <si>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</si>
  <si>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</si>
  <si>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</si>
  <si>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</si>
  <si>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</si>
  <si>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</si>
  <si>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</si>
  <si>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</si>
  <si>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</si>
  <si>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</si>
  <si>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</si>
  <si>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</si>
  <si>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</si>
  <si>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</si>
  <si>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</si>
  <si>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</si>
  <si>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</si>
  <si>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</si>
  <si>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</si>
  <si>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</si>
  <si>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</si>
  <si>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</si>
  <si>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</si>
  <si>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</si>
  <si>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</si>
  <si>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</si>
  <si>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</si>
  <si>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</si>
  <si>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</si>
  <si>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</si>
  <si>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</si>
  <si>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</si>
  <si>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</si>
  <si>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</si>
  <si>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</si>
  <si>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</si>
  <si>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</si>
  <si>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</si>
  <si>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</si>
  <si>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</si>
  <si>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</si>
  <si>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</si>
  <si>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</si>
  <si>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</si>
  <si>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</si>
  <si>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</si>
  <si>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</si>
  <si>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</si>
  <si>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</si>
  <si>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</si>
  <si>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</si>
  <si>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</si>
  <si>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</si>
  <si>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</si>
  <si>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</si>
  <si>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</si>
  <si>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</si>
  <si>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</si>
  <si>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</si>
  <si>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</si>
  <si>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</si>
  <si>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</si>
  <si>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</si>
  <si>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</si>
  <si>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</si>
  <si>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</si>
  <si>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</si>
  <si>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</si>
  <si>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</si>
  <si>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</si>
  <si>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</si>
  <si>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</si>
  <si>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</si>
  <si>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</si>
  <si>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</si>
  <si>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</si>
  <si>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Rekapitulasi Mitigasi Emisi GRK dari Penimbunan Sampah</t>
  </si>
  <si>
    <t>KABUPATEN KUTAI KERTANEGARA</t>
  </si>
  <si>
    <t xml:space="preserve">3R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</si>
</sst>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8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43" fontId="41" fillId="8" borderId="1" xfId="1" applyFont="1" applyFill="1" applyBorder="1" applyAlignment="1">
      <alignment vertical="center" wrapText="1"/>
    </xf>
    <xf numFmtId="43" fontId="41" fillId="0" borderId="1" xfId="1" applyFont="1" applyBorder="1" applyAlignment="1">
      <alignment vertical="center"/>
    </xf>
    <xf numFmtId="43" fontId="1" fillId="8" borderId="21" xfId="1" applyFont="1" applyFill="1" applyBorder="1" applyAlignment="1">
      <alignment vertical="center"/>
    </xf>
    <xf numFmtId="168" fontId="1" fillId="8" borderId="1" xfId="1" applyNumberFormat="1" applyFont="1" applyFill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171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168" fontId="54" fillId="0" borderId="0" xfId="1" applyNumberFormat="1" applyFont="1" applyAlignment="1">
      <alignment vertical="center"/>
    </xf>
    <xf numFmtId="168" fontId="54" fillId="0" borderId="0" xfId="0" applyNumberFormat="1" applyFont="1" applyAlignment="1">
      <alignment vertical="center"/>
    </xf>
    <xf numFmtId="43" fontId="54" fillId="0" borderId="0" xfId="1" applyFont="1" applyAlignment="1">
      <alignment vertical="center"/>
    </xf>
    <xf numFmtId="43" fontId="54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687885898317021"/>
          <c:y val="0.1290576844518945"/>
          <c:w val="0.73312114101682968"/>
          <c:h val="0.47571437233164932"/>
        </c:manualLayout>
      </c:layout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0.34076014334999993</c:v>
                </c:pt>
                <c:pt idx="1">
                  <c:v>0.34984091241000004</c:v>
                </c:pt>
                <c:pt idx="2">
                  <c:v>0.35911513538999995</c:v>
                </c:pt>
                <c:pt idx="3">
                  <c:v>0.36821377790999993</c:v>
                </c:pt>
                <c:pt idx="4">
                  <c:v>0.37733449941000002</c:v>
                </c:pt>
                <c:pt idx="5">
                  <c:v>0.38639056103999997</c:v>
                </c:pt>
                <c:pt idx="6">
                  <c:v>0.40732348558522491</c:v>
                </c:pt>
                <c:pt idx="7">
                  <c:v>0.43045087342214938</c:v>
                </c:pt>
                <c:pt idx="8">
                  <c:v>0.454565673864612</c:v>
                </c:pt>
                <c:pt idx="9">
                  <c:v>0.4797053842103578</c:v>
                </c:pt>
                <c:pt idx="10">
                  <c:v>0.50590883707721457</c:v>
                </c:pt>
                <c:pt idx="11">
                  <c:v>0.53321624605915741</c:v>
                </c:pt>
                <c:pt idx="12">
                  <c:v>0.56166925290015479</c:v>
                </c:pt>
                <c:pt idx="13">
                  <c:v>0.59131097623522777</c:v>
                </c:pt>
                <c:pt idx="14">
                  <c:v>0.62218606194973181</c:v>
                </c:pt>
                <c:pt idx="15">
                  <c:v>0.65434073520951508</c:v>
                </c:pt>
                <c:pt idx="16">
                  <c:v>0.68782285421628764</c:v>
                </c:pt>
                <c:pt idx="17">
                  <c:v>0.72268196574427224</c:v>
                </c:pt>
                <c:pt idx="18">
                  <c:v>0.75896936251601488</c:v>
                </c:pt>
                <c:pt idx="19">
                  <c:v>0.7964374836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0.55083163338312136</c:v>
                </c:pt>
                <c:pt idx="8">
                  <c:v>0.99699470661572798</c:v>
                </c:pt>
                <c:pt idx="9">
                  <c:v>1.3778785372551188</c:v>
                </c:pt>
                <c:pt idx="10">
                  <c:v>1.7206480587024371</c:v>
                </c:pt>
                <c:pt idx="11">
                  <c:v>2.0442924900626136</c:v>
                </c:pt>
                <c:pt idx="12">
                  <c:v>2.3623479613270395</c:v>
                </c:pt>
                <c:pt idx="13">
                  <c:v>2.6847308872015847</c:v>
                </c:pt>
                <c:pt idx="14">
                  <c:v>3.0189750203609216</c:v>
                </c:pt>
                <c:pt idx="15">
                  <c:v>3.3710686657676399</c:v>
                </c:pt>
                <c:pt idx="16">
                  <c:v>3.7460238736081011</c:v>
                </c:pt>
                <c:pt idx="17">
                  <c:v>4.1482660729629632</c:v>
                </c:pt>
                <c:pt idx="18">
                  <c:v>4.5819035386617264</c:v>
                </c:pt>
                <c:pt idx="19">
                  <c:v>5.0509165919989929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37.520327448627746</c:v>
                </c:pt>
                <c:pt idx="1">
                  <c:v>39.993843547625474</c:v>
                </c:pt>
                <c:pt idx="2">
                  <c:v>42.175579652650832</c:v>
                </c:pt>
                <c:pt idx="3">
                  <c:v>44.160166005308376</c:v>
                </c:pt>
                <c:pt idx="4">
                  <c:v>45.99894087461648</c:v>
                </c:pt>
                <c:pt idx="5">
                  <c:v>47.734281497015232</c:v>
                </c:pt>
                <c:pt idx="6">
                  <c:v>49.392298306323745</c:v>
                </c:pt>
                <c:pt idx="7">
                  <c:v>50.467058315645339</c:v>
                </c:pt>
                <c:pt idx="8">
                  <c:v>52.026480081204546</c:v>
                </c:pt>
                <c:pt idx="9">
                  <c:v>53.945478308076027</c:v>
                </c:pt>
                <c:pt idx="10">
                  <c:v>53.574473156115147</c:v>
                </c:pt>
                <c:pt idx="11">
                  <c:v>55.866475651306843</c:v>
                </c:pt>
                <c:pt idx="12">
                  <c:v>58.334879771768001</c:v>
                </c:pt>
                <c:pt idx="13">
                  <c:v>60.953631322730445</c:v>
                </c:pt>
                <c:pt idx="14">
                  <c:v>63.705029750345695</c:v>
                </c:pt>
                <c:pt idx="15">
                  <c:v>66.576982952479796</c:v>
                </c:pt>
                <c:pt idx="16">
                  <c:v>69.561149234655403</c:v>
                </c:pt>
                <c:pt idx="17">
                  <c:v>72.651674856870969</c:v>
                </c:pt>
                <c:pt idx="18">
                  <c:v>75.844331427256307</c:v>
                </c:pt>
                <c:pt idx="19">
                  <c:v>79.133252042958773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1.6669545556125001</c:v>
                </c:pt>
                <c:pt idx="1">
                  <c:v>1.7113765035674999</c:v>
                </c:pt>
                <c:pt idx="2">
                  <c:v>1.7567448030824999</c:v>
                </c:pt>
                <c:pt idx="3">
                  <c:v>1.8012541856925002</c:v>
                </c:pt>
                <c:pt idx="4">
                  <c:v>1.8458715758175002</c:v>
                </c:pt>
                <c:pt idx="5">
                  <c:v>1.8901726582200002</c:v>
                </c:pt>
                <c:pt idx="6">
                  <c:v>1.9373590842375004</c:v>
                </c:pt>
                <c:pt idx="7">
                  <c:v>1.9906273619924999</c:v>
                </c:pt>
                <c:pt idx="8">
                  <c:v>2.0438956397474994</c:v>
                </c:pt>
                <c:pt idx="9">
                  <c:v>2.0971639175024999</c:v>
                </c:pt>
                <c:pt idx="10">
                  <c:v>2.1504321952574998</c:v>
                </c:pt>
                <c:pt idx="11">
                  <c:v>2.2037004730124994</c:v>
                </c:pt>
                <c:pt idx="12">
                  <c:v>2.2569687507674998</c:v>
                </c:pt>
                <c:pt idx="13">
                  <c:v>2.3102370285225002</c:v>
                </c:pt>
                <c:pt idx="14">
                  <c:v>2.3635053062774998</c:v>
                </c:pt>
                <c:pt idx="15">
                  <c:v>2.4167735840324998</c:v>
                </c:pt>
                <c:pt idx="16">
                  <c:v>2.4700418617875002</c:v>
                </c:pt>
                <c:pt idx="17">
                  <c:v>2.5233101395424997</c:v>
                </c:pt>
                <c:pt idx="18">
                  <c:v>2.5765784172975001</c:v>
                </c:pt>
                <c:pt idx="19">
                  <c:v>2.6298466950524997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76352"/>
        <c:axId val="206276744"/>
        <c:axId val="0"/>
      </c:bar3DChart>
      <c:catAx>
        <c:axId val="2062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6276744"/>
        <c:crosses val="autoZero"/>
        <c:auto val="1"/>
        <c:lblAlgn val="ctr"/>
        <c:lblOffset val="100"/>
        <c:noMultiLvlLbl val="0"/>
      </c:catAx>
      <c:valAx>
        <c:axId val="2062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6276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7.1345821015857149</c:v>
                </c:pt>
                <c:pt idx="1">
                  <c:v>7.0608192760285737</c:v>
                </c:pt>
                <c:pt idx="2">
                  <c:v>7.1455034167314286</c:v>
                </c:pt>
                <c:pt idx="3">
                  <c:v>7.4891891811209526</c:v>
                </c:pt>
                <c:pt idx="4">
                  <c:v>7.6746977440257176</c:v>
                </c:pt>
                <c:pt idx="5">
                  <c:v>7.8588911741790488</c:v>
                </c:pt>
                <c:pt idx="6">
                  <c:v>8.0550811811380942</c:v>
                </c:pt>
                <c:pt idx="7">
                  <c:v>8.2765580901876188</c:v>
                </c:pt>
                <c:pt idx="8">
                  <c:v>8.4980349992371433</c:v>
                </c:pt>
                <c:pt idx="9">
                  <c:v>8.7195119082866679</c:v>
                </c:pt>
                <c:pt idx="10">
                  <c:v>8.9409888173361907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14.221234000763999</c:v>
                </c:pt>
                <c:pt idx="1">
                  <c:v>14.600209489034398</c:v>
                </c:pt>
                <c:pt idx="2">
                  <c:v>14.987258554917601</c:v>
                </c:pt>
                <c:pt idx="3">
                  <c:v>15.3669799715544</c:v>
                </c:pt>
                <c:pt idx="4">
                  <c:v>15.747622829114402</c:v>
                </c:pt>
                <c:pt idx="5">
                  <c:v>16.125567181113599</c:v>
                </c:pt>
                <c:pt idx="6">
                  <c:v>16.528127169204001</c:v>
                </c:pt>
                <c:pt idx="7">
                  <c:v>16.982573056898403</c:v>
                </c:pt>
                <c:pt idx="8">
                  <c:v>17.437018944592801</c:v>
                </c:pt>
                <c:pt idx="9">
                  <c:v>17.891464832287198</c:v>
                </c:pt>
                <c:pt idx="10">
                  <c:v>18.3459107199816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4865560"/>
        <c:axId val="294865952"/>
        <c:axId val="0"/>
      </c:bar3DChart>
      <c:catAx>
        <c:axId val="29486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5952"/>
        <c:crosses val="autoZero"/>
        <c:auto val="1"/>
        <c:lblAlgn val="ctr"/>
        <c:lblOffset val="100"/>
        <c:noMultiLvlLbl val="0"/>
      </c:catAx>
      <c:valAx>
        <c:axId val="2948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5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21355.816102349712</c:v>
                </c:pt>
                <c:pt idx="1">
                  <c:v>21661.028765062973</c:v>
                </c:pt>
                <c:pt idx="2">
                  <c:v>22132.76197164903</c:v>
                </c:pt>
                <c:pt idx="3">
                  <c:v>22856.169152675353</c:v>
                </c:pt>
                <c:pt idx="4">
                  <c:v>23422.320573140118</c:v>
                </c:pt>
                <c:pt idx="5">
                  <c:v>23984.458355292649</c:v>
                </c:pt>
                <c:pt idx="6">
                  <c:v>24583.208350342098</c:v>
                </c:pt>
                <c:pt idx="7">
                  <c:v>25259.131147086024</c:v>
                </c:pt>
                <c:pt idx="8">
                  <c:v>25935.053943829942</c:v>
                </c:pt>
                <c:pt idx="9">
                  <c:v>26610.976740573868</c:v>
                </c:pt>
                <c:pt idx="10">
                  <c:v>27286.89953731779</c:v>
                </c:pt>
                <c:pt idx="11">
                  <c:v>27962.822334061719</c:v>
                </c:pt>
                <c:pt idx="12">
                  <c:v>28638.745130805644</c:v>
                </c:pt>
                <c:pt idx="13">
                  <c:v>29314.667927549563</c:v>
                </c:pt>
                <c:pt idx="14">
                  <c:v>29951.433277344913</c:v>
                </c:pt>
                <c:pt idx="15">
                  <c:v>30627.356074088839</c:v>
                </c:pt>
                <c:pt idx="16">
                  <c:v>31303.278870832768</c:v>
                </c:pt>
                <c:pt idx="17">
                  <c:v>31979.201667576686</c:v>
                </c:pt>
                <c:pt idx="18">
                  <c:v>32655.124464320608</c:v>
                </c:pt>
                <c:pt idx="19">
                  <c:v>33331.04726106453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67128"/>
        <c:axId val="294867520"/>
      </c:lineChart>
      <c:catAx>
        <c:axId val="2948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7520"/>
        <c:crosses val="autoZero"/>
        <c:auto val="1"/>
        <c:lblAlgn val="ctr"/>
        <c:lblOffset val="100"/>
        <c:noMultiLvlLbl val="0"/>
      </c:catAx>
      <c:valAx>
        <c:axId val="2948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66135.307572722799</c:v>
                </c:pt>
                <c:pt idx="1">
                  <c:v>70416.402215218681</c:v>
                </c:pt>
                <c:pt idx="2">
                  <c:v>74199.94302338596</c:v>
                </c:pt>
                <c:pt idx="3">
                  <c:v>77645.492278780934</c:v>
                </c:pt>
                <c:pt idx="4">
                  <c:v>80841.958991773849</c:v>
                </c:pt>
                <c:pt idx="5">
                  <c:v>83861.260851583473</c:v>
                </c:pt>
                <c:pt idx="6">
                  <c:v>86763.167489071275</c:v>
                </c:pt>
                <c:pt idx="7">
                  <c:v>88269.406013466476</c:v>
                </c:pt>
                <c:pt idx="8">
                  <c:v>90198.281535698668</c:v>
                </c:pt>
                <c:pt idx="9">
                  <c:v>92424.240484352442</c:v>
                </c:pt>
                <c:pt idx="10">
                  <c:v>92297.823624205572</c:v>
                </c:pt>
                <c:pt idx="11">
                  <c:v>94772.418555430952</c:v>
                </c:pt>
                <c:pt idx="12">
                  <c:v>97361.836495432974</c:v>
                </c:pt>
                <c:pt idx="13">
                  <c:v>100040.34255068676</c:v>
                </c:pt>
                <c:pt idx="14">
                  <c:v>102790.36845830214</c:v>
                </c:pt>
                <c:pt idx="15">
                  <c:v>105599.70984774909</c:v>
                </c:pt>
                <c:pt idx="16">
                  <c:v>108459.63026582035</c:v>
                </c:pt>
                <c:pt idx="17">
                  <c:v>111363.57256266127</c:v>
                </c:pt>
                <c:pt idx="18">
                  <c:v>114306.27673761721</c:v>
                </c:pt>
                <c:pt idx="19">
                  <c:v>117280.19910775953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869872"/>
        <c:axId val="294870264"/>
      </c:lineChart>
      <c:catAx>
        <c:axId val="2948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70264"/>
        <c:crosses val="autoZero"/>
        <c:auto val="1"/>
        <c:lblAlgn val="ctr"/>
        <c:lblOffset val="100"/>
        <c:noMultiLvlLbl val="0"/>
      </c:catAx>
      <c:valAx>
        <c:axId val="2948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21</xdr:col>
      <xdr:colOff>291353</xdr:colOff>
      <xdr:row>46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IPCC%204A-TPA%20-%205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Palm%20Oil%20Wastewater%20Industry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E14">
            <v>648215</v>
          </cell>
        </row>
        <row r="15">
          <cell r="E15">
            <v>665489</v>
          </cell>
        </row>
        <row r="16">
          <cell r="E16">
            <v>683131</v>
          </cell>
        </row>
        <row r="17">
          <cell r="E17">
            <v>700439</v>
          </cell>
        </row>
        <row r="18">
          <cell r="E18">
            <v>717789</v>
          </cell>
        </row>
        <row r="19">
          <cell r="E19">
            <v>735016</v>
          </cell>
        </row>
        <row r="20">
          <cell r="E20">
            <v>753365</v>
          </cell>
        </row>
        <row r="21">
          <cell r="E21">
            <v>774079</v>
          </cell>
        </row>
        <row r="22">
          <cell r="E22">
            <v>794793</v>
          </cell>
        </row>
        <row r="23">
          <cell r="E23">
            <v>815507</v>
          </cell>
        </row>
        <row r="24">
          <cell r="E24">
            <v>836221</v>
          </cell>
        </row>
        <row r="25">
          <cell r="E25">
            <v>856935</v>
          </cell>
        </row>
        <row r="26">
          <cell r="E26">
            <v>877649</v>
          </cell>
        </row>
        <row r="27">
          <cell r="E27">
            <v>898363</v>
          </cell>
        </row>
        <row r="28">
          <cell r="E28">
            <v>919077</v>
          </cell>
        </row>
        <row r="29">
          <cell r="E29">
            <v>939791</v>
          </cell>
        </row>
        <row r="30">
          <cell r="E30">
            <v>960505</v>
          </cell>
        </row>
        <row r="31">
          <cell r="E31">
            <v>981219</v>
          </cell>
        </row>
        <row r="32">
          <cell r="E32">
            <v>1001933</v>
          </cell>
        </row>
        <row r="33">
          <cell r="E33">
            <v>1022647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1.7866822594584642</v>
          </cell>
        </row>
        <row r="29">
          <cell r="O29">
            <v>1.904468740363118</v>
          </cell>
        </row>
        <row r="30">
          <cell r="O30">
            <v>2.0083609358405159</v>
          </cell>
        </row>
        <row r="31">
          <cell r="O31">
            <v>2.1028650478718274</v>
          </cell>
        </row>
        <row r="32">
          <cell r="O32">
            <v>2.1904257559341183</v>
          </cell>
        </row>
        <row r="33">
          <cell r="O33">
            <v>2.2730610236673918</v>
          </cell>
        </row>
        <row r="34">
          <cell r="O34">
            <v>2.3520142050630355</v>
          </cell>
        </row>
        <row r="35">
          <cell r="O35">
            <v>2.4031932531259685</v>
          </cell>
        </row>
        <row r="36">
          <cell r="O36">
            <v>2.4774514324383117</v>
          </cell>
        </row>
        <row r="37">
          <cell r="O37">
            <v>2.5688323003845728</v>
          </cell>
        </row>
        <row r="38">
          <cell r="O38">
            <v>2.5511653883864356</v>
          </cell>
        </row>
        <row r="39">
          <cell r="O39">
            <v>2.6603083643479448</v>
          </cell>
        </row>
        <row r="40">
          <cell r="O40">
            <v>2.7778514177032383</v>
          </cell>
        </row>
        <row r="41">
          <cell r="O41">
            <v>2.9025538725109734</v>
          </cell>
        </row>
        <row r="42">
          <cell r="O42">
            <v>3.0335728452545569</v>
          </cell>
        </row>
        <row r="43">
          <cell r="O43">
            <v>3.1703325215466567</v>
          </cell>
        </row>
        <row r="44">
          <cell r="O44">
            <v>3.3124356778407336</v>
          </cell>
        </row>
        <row r="45">
          <cell r="O45">
            <v>3.4596035646129031</v>
          </cell>
        </row>
        <row r="46">
          <cell r="O46">
            <v>3.6116348298693479</v>
          </cell>
        </row>
        <row r="47">
          <cell r="O47">
            <v>3.7682500972837514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1.2670126392920262</v>
          </cell>
        </row>
        <row r="29">
          <cell r="O29">
            <v>1.3505400596007484</v>
          </cell>
        </row>
        <row r="30">
          <cell r="O30">
            <v>1.424214449155363</v>
          </cell>
        </row>
        <row r="31">
          <cell r="O31">
            <v>1.4912313480890507</v>
          </cell>
        </row>
        <row r="32">
          <cell r="O32">
            <v>1.5533243829490417</v>
          </cell>
        </row>
        <row r="33">
          <cell r="O33">
            <v>1.6119245778718208</v>
          </cell>
        </row>
        <row r="34">
          <cell r="O34">
            <v>1.6679136482345147</v>
          </cell>
        </row>
        <row r="35">
          <cell r="O35">
            <v>1.7110524331328392</v>
          </cell>
        </row>
        <row r="36">
          <cell r="O36">
            <v>1.7462064213094162</v>
          </cell>
        </row>
        <row r="37">
          <cell r="O37">
            <v>1.7752272100866031</v>
          </cell>
        </row>
        <row r="38">
          <cell r="O38">
            <v>1.7994122616408652</v>
          </cell>
        </row>
        <row r="39">
          <cell r="O39">
            <v>1.8196818416721461</v>
          </cell>
        </row>
        <row r="40">
          <cell r="O40">
            <v>1.8366984133963979</v>
          </cell>
        </row>
        <row r="41">
          <cell r="O41">
            <v>1.8509473385904849</v>
          </cell>
        </row>
        <row r="42">
          <cell r="O42">
            <v>1.8627915409566729</v>
          </cell>
        </row>
        <row r="43">
          <cell r="O43">
            <v>1.8725086305616632</v>
          </cell>
        </row>
        <row r="44">
          <cell r="O44">
            <v>1.8803161994652025</v>
          </cell>
        </row>
        <row r="45">
          <cell r="O45">
            <v>1.8863891273079287</v>
          </cell>
        </row>
        <row r="46">
          <cell r="O46">
            <v>1.8908714794861483</v>
          </cell>
        </row>
        <row r="47">
          <cell r="O47">
            <v>1.8938847370546308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2.6230077780148638E-2</v>
          </cell>
        </row>
        <row r="36">
          <cell r="O36">
            <v>4.7475938410272762E-2</v>
          </cell>
        </row>
        <row r="37">
          <cell r="O37">
            <v>6.5613263678815176E-2</v>
          </cell>
        </row>
        <row r="38">
          <cell r="O38">
            <v>8.1935621842973191E-2</v>
          </cell>
        </row>
        <row r="39">
          <cell r="O39">
            <v>9.734726143155302E-2</v>
          </cell>
        </row>
        <row r="40">
          <cell r="O40">
            <v>0.11249276006319235</v>
          </cell>
        </row>
        <row r="41">
          <cell r="O41">
            <v>0.12784432796198023</v>
          </cell>
        </row>
        <row r="42">
          <cell r="O42">
            <v>0.14376071525528197</v>
          </cell>
        </row>
        <row r="43">
          <cell r="O43">
            <v>0.16052707932226856</v>
          </cell>
        </row>
        <row r="44">
          <cell r="O44">
            <v>0.17838208921943338</v>
          </cell>
        </row>
        <row r="45">
          <cell r="O45">
            <v>0.19753647966490301</v>
          </cell>
        </row>
        <row r="46">
          <cell r="O46">
            <v>0.21818588279341553</v>
          </cell>
        </row>
        <row r="47">
          <cell r="O47">
            <v>0.24051983771423774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7.7007941999999987E-3</v>
          </cell>
          <cell r="D6">
            <v>5.7755956499999997E-4</v>
          </cell>
        </row>
        <row r="7">
          <cell r="B7">
            <v>7.9060093200000008E-3</v>
          </cell>
          <cell r="D7">
            <v>5.9295069899999999E-4</v>
          </cell>
        </row>
        <row r="8">
          <cell r="B8">
            <v>8.1155962799999998E-3</v>
          </cell>
          <cell r="D8">
            <v>6.0866972099999999E-4</v>
          </cell>
        </row>
        <row r="9">
          <cell r="B9">
            <v>8.3212153199999986E-3</v>
          </cell>
          <cell r="D9">
            <v>6.2409114899999985E-4</v>
          </cell>
        </row>
        <row r="10">
          <cell r="B10">
            <v>8.5273333200000002E-3</v>
          </cell>
          <cell r="D10">
            <v>6.3954999900000002E-4</v>
          </cell>
        </row>
        <row r="11">
          <cell r="B11">
            <v>8.7319900799999999E-3</v>
          </cell>
          <cell r="D11">
            <v>6.5489925599999986E-4</v>
          </cell>
        </row>
        <row r="12">
          <cell r="B12">
            <v>9.2050505216999985E-3</v>
          </cell>
          <cell r="D12">
            <v>6.9037878912749985E-4</v>
          </cell>
        </row>
        <row r="13">
          <cell r="B13">
            <v>9.7277033541728689E-3</v>
          </cell>
          <cell r="D13">
            <v>7.295777515629651E-4</v>
          </cell>
        </row>
        <row r="14">
          <cell r="B14">
            <v>1.027267059581044E-2</v>
          </cell>
          <cell r="D14">
            <v>7.7045029468578304E-4</v>
          </cell>
        </row>
        <row r="15">
          <cell r="B15">
            <v>1.0840799643171929E-2</v>
          </cell>
          <cell r="D15">
            <v>8.1305997323789455E-4</v>
          </cell>
        </row>
        <row r="16">
          <cell r="B16">
            <v>1.1432968069541574E-2</v>
          </cell>
          <cell r="D16">
            <v>8.5747260521561793E-4</v>
          </cell>
        </row>
        <row r="17">
          <cell r="B17">
            <v>1.2050084656704124E-2</v>
          </cell>
          <cell r="D17">
            <v>9.0375634925280921E-4</v>
          </cell>
        </row>
        <row r="18">
          <cell r="B18">
            <v>1.269309046102045E-2</v>
          </cell>
          <cell r="D18">
            <v>9.519817845765337E-4</v>
          </cell>
        </row>
        <row r="19">
          <cell r="B19">
            <v>1.3362959914920404E-2</v>
          </cell>
          <cell r="D19">
            <v>1.0022219936190301E-3</v>
          </cell>
        </row>
        <row r="20">
          <cell r="B20">
            <v>1.4060701964965689E-2</v>
          </cell>
          <cell r="D20">
            <v>1.0545526473724268E-3</v>
          </cell>
        </row>
        <row r="21">
          <cell r="B21">
            <v>1.4787361247672657E-2</v>
          </cell>
          <cell r="D21">
            <v>1.1090520935754494E-3</v>
          </cell>
        </row>
        <row r="22">
          <cell r="B22">
            <v>1.5544019304322886E-2</v>
          </cell>
          <cell r="D22">
            <v>1.1658014478242165E-3</v>
          </cell>
        </row>
        <row r="23">
          <cell r="B23">
            <v>1.6331795836028753E-2</v>
          </cell>
          <cell r="D23">
            <v>1.2248846877021564E-3</v>
          </cell>
        </row>
        <row r="24">
          <cell r="B24">
            <v>1.7151850000361919E-2</v>
          </cell>
          <cell r="D24">
            <v>1.2863887500271438E-3</v>
          </cell>
        </row>
        <row r="25">
          <cell r="B25">
            <v>1.7998587199999999E-2</v>
          </cell>
          <cell r="D25">
            <v>1.34989404E-3</v>
          </cell>
        </row>
        <row r="32">
          <cell r="B32">
            <v>5.9208768368750005E-2</v>
          </cell>
          <cell r="D32">
            <v>1.3663561931250001E-3</v>
          </cell>
        </row>
        <row r="33">
          <cell r="B33">
            <v>6.0786597121250001E-2</v>
          </cell>
          <cell r="D33">
            <v>1.4027676258750001E-3</v>
          </cell>
        </row>
        <row r="34">
          <cell r="B34">
            <v>6.2398039453749998E-2</v>
          </cell>
          <cell r="D34">
            <v>1.4399547566249999E-3</v>
          </cell>
        </row>
        <row r="35">
          <cell r="B35">
            <v>6.3978973808750006E-2</v>
          </cell>
          <cell r="D35">
            <v>1.4764378571250002E-3</v>
          </cell>
        </row>
        <row r="36">
          <cell r="B36">
            <v>6.5563744496250007E-2</v>
          </cell>
          <cell r="D36">
            <v>1.513009488375E-3</v>
          </cell>
        </row>
        <row r="37">
          <cell r="B37">
            <v>6.7137280210000011E-2</v>
          </cell>
          <cell r="D37">
            <v>1.5493218510000001E-3</v>
          </cell>
        </row>
        <row r="38">
          <cell r="B38">
            <v>6.8813300806250019E-2</v>
          </cell>
          <cell r="D38">
            <v>1.5879992493750003E-3</v>
          </cell>
        </row>
        <row r="39">
          <cell r="B39">
            <v>7.070534345875E-2</v>
          </cell>
          <cell r="D39">
            <v>1.6316617721249997E-3</v>
          </cell>
        </row>
        <row r="40">
          <cell r="B40">
            <v>7.2597386111249981E-2</v>
          </cell>
          <cell r="D40">
            <v>1.6753242948749998E-3</v>
          </cell>
        </row>
        <row r="41">
          <cell r="B41">
            <v>7.448942876374999E-2</v>
          </cell>
          <cell r="D41">
            <v>1.7189868176249996E-3</v>
          </cell>
        </row>
        <row r="42">
          <cell r="B42">
            <v>7.6381471416249999E-2</v>
          </cell>
          <cell r="D42">
            <v>1.7626493403750001E-3</v>
          </cell>
        </row>
        <row r="43">
          <cell r="B43">
            <v>7.827351406874998E-2</v>
          </cell>
          <cell r="D43">
            <v>1.8063118631249998E-3</v>
          </cell>
        </row>
        <row r="44">
          <cell r="B44">
            <v>8.0165556721249989E-2</v>
          </cell>
          <cell r="D44">
            <v>1.8499743858749998E-3</v>
          </cell>
        </row>
        <row r="45">
          <cell r="B45">
            <v>8.2057599373750012E-2</v>
          </cell>
          <cell r="D45">
            <v>1.8936369086250003E-3</v>
          </cell>
        </row>
        <row r="46">
          <cell r="B46">
            <v>8.3949642026249993E-2</v>
          </cell>
          <cell r="D46">
            <v>1.9372994313749997E-3</v>
          </cell>
        </row>
        <row r="47">
          <cell r="B47">
            <v>8.5841684678749988E-2</v>
          </cell>
          <cell r="D47">
            <v>1.9809619541249998E-3</v>
          </cell>
        </row>
        <row r="48">
          <cell r="B48">
            <v>8.7733727331249997E-2</v>
          </cell>
          <cell r="D48">
            <v>2.024624476875E-3</v>
          </cell>
        </row>
        <row r="49">
          <cell r="B49">
            <v>8.9625769983749978E-2</v>
          </cell>
          <cell r="D49">
            <v>2.0682869996249999E-3</v>
          </cell>
        </row>
        <row r="50">
          <cell r="B50">
            <v>9.1517812636250001E-2</v>
          </cell>
          <cell r="D50">
            <v>2.1119495223750001E-3</v>
          </cell>
        </row>
        <row r="51">
          <cell r="B51">
            <v>9.3409855288749996E-2</v>
          </cell>
          <cell r="D51">
            <v>2.155612045125E-3</v>
          </cell>
        </row>
        <row r="59">
          <cell r="B59">
            <v>0.67720161908400001</v>
          </cell>
          <cell r="D59">
            <v>2.3014780972857144E-2</v>
          </cell>
        </row>
        <row r="60">
          <cell r="B60">
            <v>0.69524807090639995</v>
          </cell>
          <cell r="D60">
            <v>2.2776836374285722E-2</v>
          </cell>
        </row>
        <row r="61">
          <cell r="B61">
            <v>0.71367897880560005</v>
          </cell>
          <cell r="D61">
            <v>2.3050011021714285E-2</v>
          </cell>
        </row>
        <row r="62">
          <cell r="B62">
            <v>0.73176095102640004</v>
          </cell>
          <cell r="D62">
            <v>2.4158674777809523E-2</v>
          </cell>
        </row>
        <row r="63">
          <cell r="B63">
            <v>0.74988680138640007</v>
          </cell>
          <cell r="D63">
            <v>2.4757089496857152E-2</v>
          </cell>
        </row>
        <row r="64">
          <cell r="B64">
            <v>0.76788415148159994</v>
          </cell>
          <cell r="D64">
            <v>2.5351261852190481E-2</v>
          </cell>
        </row>
        <row r="65">
          <cell r="B65">
            <v>0.78705367472400001</v>
          </cell>
          <cell r="D65">
            <v>2.598413284238095E-2</v>
          </cell>
        </row>
        <row r="66">
          <cell r="B66">
            <v>0.80869395509040021</v>
          </cell>
          <cell r="D66">
            <v>2.6698574484476191E-2</v>
          </cell>
        </row>
        <row r="67">
          <cell r="B67">
            <v>0.83033423545679996</v>
          </cell>
          <cell r="D67">
            <v>2.7413016126571429E-2</v>
          </cell>
        </row>
        <row r="68">
          <cell r="B68">
            <v>0.85197451582319994</v>
          </cell>
          <cell r="D68">
            <v>2.812745776866667E-2</v>
          </cell>
        </row>
        <row r="69">
          <cell r="B69">
            <v>0.87361479618960003</v>
          </cell>
          <cell r="D69">
            <v>2.8841899410761908E-2</v>
          </cell>
        </row>
        <row r="70">
          <cell r="B70">
            <v>0.89525507655600001</v>
          </cell>
          <cell r="D70">
            <v>2.9556341052857149E-2</v>
          </cell>
        </row>
        <row r="71">
          <cell r="B71">
            <v>0.91689535692240021</v>
          </cell>
          <cell r="D71">
            <v>3.027078269495238E-2</v>
          </cell>
        </row>
        <row r="72">
          <cell r="B72">
            <v>0.93853563728880007</v>
          </cell>
          <cell r="D72">
            <v>3.0985224337047625E-2</v>
          </cell>
        </row>
        <row r="73">
          <cell r="B73">
            <v>0.95892225653520002</v>
          </cell>
          <cell r="D73">
            <v>3.1658277064857139E-2</v>
          </cell>
        </row>
        <row r="74">
          <cell r="B74">
            <v>0.9805625369016</v>
          </cell>
          <cell r="D74">
            <v>3.2372718706952387E-2</v>
          </cell>
        </row>
        <row r="75">
          <cell r="B75">
            <v>1.002202817268</v>
          </cell>
          <cell r="D75">
            <v>3.3087160349047628E-2</v>
          </cell>
        </row>
        <row r="76">
          <cell r="B76">
            <v>1.0238430976344</v>
          </cell>
          <cell r="D76">
            <v>3.3801601991142863E-2</v>
          </cell>
        </row>
        <row r="77">
          <cell r="B77">
            <v>1.0454833780007999</v>
          </cell>
          <cell r="D77">
            <v>3.451604363323809E-2</v>
          </cell>
        </row>
        <row r="78">
          <cell r="B78">
            <v>1.0671236583672001</v>
          </cell>
          <cell r="D78">
            <v>3.5230485275333331E-2</v>
          </cell>
        </row>
      </sheetData>
      <sheetData sheetId="4"/>
      <sheetData sheetId="5">
        <row r="14">
          <cell r="M14">
            <v>1.6209816471486995</v>
          </cell>
        </row>
        <row r="15">
          <cell r="M15">
            <v>1.6639535944220538</v>
          </cell>
        </row>
        <row r="16">
          <cell r="M16">
            <v>1.7061119927559851</v>
          </cell>
        </row>
        <row r="17">
          <cell r="M17">
            <v>1.7483726936511612</v>
          </cell>
        </row>
        <row r="18">
          <cell r="M18">
            <v>1.7903337941884065</v>
          </cell>
        </row>
        <row r="19">
          <cell r="M19">
            <v>1.8350278345760487</v>
          </cell>
        </row>
        <row r="20">
          <cell r="M20">
            <v>1.8854824834718797</v>
          </cell>
        </row>
        <row r="21">
          <cell r="M21">
            <v>1.9359371323677115</v>
          </cell>
        </row>
        <row r="22">
          <cell r="M22">
            <v>1.986391781263543</v>
          </cell>
        </row>
        <row r="23">
          <cell r="M23">
            <v>2.0368464301593749</v>
          </cell>
        </row>
        <row r="24">
          <cell r="M24">
            <v>2.0873010790552065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1939488</v>
          </cell>
        </row>
        <row r="13">
          <cell r="G13">
            <v>2841816</v>
          </cell>
        </row>
        <row r="14">
          <cell r="G14">
            <v>6674652</v>
          </cell>
        </row>
        <row r="15">
          <cell r="G15">
            <v>7388322</v>
          </cell>
        </row>
        <row r="16">
          <cell r="G16">
            <v>9041478</v>
          </cell>
        </row>
        <row r="17">
          <cell r="G17">
            <v>11649834</v>
          </cell>
        </row>
        <row r="18">
          <cell r="G18">
            <v>18555814.638</v>
          </cell>
        </row>
        <row r="19">
          <cell r="G19">
            <v>20302182.143999998</v>
          </cell>
        </row>
        <row r="20">
          <cell r="G20">
            <v>22103723.717999998</v>
          </cell>
        </row>
        <row r="21">
          <cell r="G21">
            <v>23960439.359999999</v>
          </cell>
        </row>
        <row r="22">
          <cell r="G22">
            <v>25103798.11333333</v>
          </cell>
        </row>
        <row r="23">
          <cell r="G23">
            <v>26273002.911999989</v>
          </cell>
        </row>
        <row r="24">
          <cell r="G24">
            <v>27468053.755999982</v>
          </cell>
        </row>
        <row r="25">
          <cell r="G25">
            <v>28688950.64533332</v>
          </cell>
        </row>
        <row r="26">
          <cell r="G26">
            <v>29935693.579999983</v>
          </cell>
        </row>
        <row r="27">
          <cell r="G27">
            <v>31208282.55999998</v>
          </cell>
        </row>
        <row r="28">
          <cell r="G28">
            <v>32506717.585333314</v>
          </cell>
        </row>
        <row r="29">
          <cell r="G29">
            <v>33830998.655999973</v>
          </cell>
        </row>
        <row r="30">
          <cell r="G30">
            <v>35181125.77199997</v>
          </cell>
        </row>
        <row r="31">
          <cell r="G31">
            <v>35763504.815999962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H18" sqref="H18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81" t="s">
        <v>11</v>
      </c>
      <c r="B3" s="181" t="s">
        <v>125</v>
      </c>
      <c r="C3" s="78" t="s">
        <v>12</v>
      </c>
      <c r="D3" s="180" t="s">
        <v>12</v>
      </c>
      <c r="E3" s="180"/>
      <c r="G3" s="81" t="s">
        <v>16</v>
      </c>
      <c r="H3" s="81"/>
      <c r="I3" s="81"/>
    </row>
    <row r="4" spans="1:14" x14ac:dyDescent="0.25">
      <c r="A4" s="182"/>
      <c r="B4" s="182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9">
        <v>2011</v>
      </c>
      <c r="B5" s="90">
        <f>[1]Sheet3!E14</f>
        <v>648215</v>
      </c>
      <c r="C5" s="82">
        <v>0.22</v>
      </c>
      <c r="D5" s="151">
        <f t="shared" ref="D5:D24" si="0">C5*B5</f>
        <v>142607.29999999999</v>
      </c>
      <c r="E5" s="151">
        <f>D5/1000</f>
        <v>142.60729999999998</v>
      </c>
    </row>
    <row r="6" spans="1:14" x14ac:dyDescent="0.25">
      <c r="A6" s="89">
        <v>2012</v>
      </c>
      <c r="B6" s="90">
        <f>[1]Sheet3!E15</f>
        <v>665489</v>
      </c>
      <c r="C6" s="82">
        <v>0.22</v>
      </c>
      <c r="D6" s="151">
        <f t="shared" si="0"/>
        <v>146407.57999999999</v>
      </c>
      <c r="E6" s="151">
        <f t="shared" ref="E6:E24" si="1">D6/1000</f>
        <v>146.40758</v>
      </c>
      <c r="G6" s="83" t="s">
        <v>37</v>
      </c>
      <c r="H6" s="83"/>
      <c r="I6" s="83"/>
      <c r="J6" s="84">
        <v>2</v>
      </c>
      <c r="K6" s="85" t="s">
        <v>33</v>
      </c>
      <c r="L6" s="84">
        <v>3</v>
      </c>
      <c r="M6" s="83" t="s">
        <v>38</v>
      </c>
      <c r="N6" s="83"/>
    </row>
    <row r="7" spans="1:14" x14ac:dyDescent="0.25">
      <c r="A7" s="89">
        <v>2013</v>
      </c>
      <c r="B7" s="90">
        <f>[1]Sheet3!E16</f>
        <v>683131</v>
      </c>
      <c r="C7" s="82">
        <v>0.22</v>
      </c>
      <c r="D7" s="151">
        <f t="shared" si="0"/>
        <v>150288.82</v>
      </c>
      <c r="E7" s="151">
        <f t="shared" si="1"/>
        <v>150.28882000000002</v>
      </c>
      <c r="G7" s="83"/>
      <c r="H7" s="83"/>
      <c r="I7" s="83"/>
      <c r="J7" s="84">
        <f>(2*250)/1000</f>
        <v>0.5</v>
      </c>
      <c r="K7" s="85" t="s">
        <v>33</v>
      </c>
      <c r="L7" s="84">
        <f>(3*250)/1000</f>
        <v>0.75</v>
      </c>
      <c r="M7" s="83" t="s">
        <v>13</v>
      </c>
      <c r="N7" s="83"/>
    </row>
    <row r="8" spans="1:14" x14ac:dyDescent="0.25">
      <c r="A8" s="89">
        <v>2014</v>
      </c>
      <c r="B8" s="90">
        <f>[1]Sheet3!E17</f>
        <v>700439</v>
      </c>
      <c r="C8" s="82">
        <v>0.22</v>
      </c>
      <c r="D8" s="151">
        <f t="shared" si="0"/>
        <v>154096.57999999999</v>
      </c>
      <c r="E8" s="151">
        <f t="shared" si="1"/>
        <v>154.09657999999999</v>
      </c>
      <c r="G8" s="83"/>
      <c r="H8" s="83"/>
      <c r="I8" s="83"/>
      <c r="J8" s="86">
        <f>J7*(365/1000)</f>
        <v>0.1825</v>
      </c>
      <c r="K8" s="87" t="s">
        <v>33</v>
      </c>
      <c r="L8" s="86">
        <f>L7*(365/1000)</f>
        <v>0.27374999999999999</v>
      </c>
      <c r="M8" s="83" t="s">
        <v>39</v>
      </c>
      <c r="N8" s="83"/>
    </row>
    <row r="9" spans="1:14" x14ac:dyDescent="0.25">
      <c r="A9" s="89">
        <v>2015</v>
      </c>
      <c r="B9" s="90">
        <f>[1]Sheet3!E18</f>
        <v>717789</v>
      </c>
      <c r="C9" s="82">
        <v>0.22</v>
      </c>
      <c r="D9" s="151">
        <f t="shared" si="0"/>
        <v>157913.57999999999</v>
      </c>
      <c r="E9" s="151">
        <f t="shared" si="1"/>
        <v>157.91358</v>
      </c>
    </row>
    <row r="10" spans="1:14" x14ac:dyDescent="0.25">
      <c r="A10" s="89">
        <v>2016</v>
      </c>
      <c r="B10" s="90">
        <f>[1]Sheet3!E19</f>
        <v>735016</v>
      </c>
      <c r="C10" s="82">
        <v>0.22</v>
      </c>
      <c r="D10" s="151">
        <f t="shared" si="0"/>
        <v>161703.51999999999</v>
      </c>
      <c r="E10" s="151">
        <f t="shared" si="1"/>
        <v>161.70352</v>
      </c>
      <c r="G10" s="88" t="s">
        <v>34</v>
      </c>
      <c r="H10" s="88"/>
      <c r="I10" s="88" t="s">
        <v>35</v>
      </c>
      <c r="J10" s="88"/>
      <c r="K10" s="88"/>
    </row>
    <row r="11" spans="1:14" x14ac:dyDescent="0.25">
      <c r="A11" s="89">
        <v>2017</v>
      </c>
      <c r="B11" s="90">
        <f>[1]Sheet3!E20</f>
        <v>753365</v>
      </c>
      <c r="C11" s="82">
        <v>0.22</v>
      </c>
      <c r="D11" s="151">
        <f t="shared" si="0"/>
        <v>165740.29999999999</v>
      </c>
      <c r="E11" s="151">
        <f t="shared" si="1"/>
        <v>165.74029999999999</v>
      </c>
      <c r="G11" s="88"/>
      <c r="H11" s="88"/>
      <c r="I11" s="88" t="s">
        <v>36</v>
      </c>
      <c r="J11" s="88"/>
      <c r="K11" s="88"/>
    </row>
    <row r="12" spans="1:14" x14ac:dyDescent="0.25">
      <c r="A12" s="89">
        <v>2018</v>
      </c>
      <c r="B12" s="90">
        <f>[1]Sheet3!E21</f>
        <v>774079</v>
      </c>
      <c r="C12" s="82">
        <v>0.22</v>
      </c>
      <c r="D12" s="151">
        <f t="shared" si="0"/>
        <v>170297.38</v>
      </c>
      <c r="E12" s="151">
        <f t="shared" si="1"/>
        <v>170.29738</v>
      </c>
    </row>
    <row r="13" spans="1:14" x14ac:dyDescent="0.25">
      <c r="A13" s="89">
        <v>2019</v>
      </c>
      <c r="B13" s="90">
        <f>[1]Sheet3!E22</f>
        <v>794793</v>
      </c>
      <c r="C13" s="82">
        <v>0.22</v>
      </c>
      <c r="D13" s="151">
        <f t="shared" si="0"/>
        <v>174854.46</v>
      </c>
      <c r="E13" s="151">
        <f t="shared" si="1"/>
        <v>174.85445999999999</v>
      </c>
    </row>
    <row r="14" spans="1:14" x14ac:dyDescent="0.25">
      <c r="A14" s="89">
        <v>2020</v>
      </c>
      <c r="B14" s="90">
        <f>[1]Sheet3!E23</f>
        <v>815507</v>
      </c>
      <c r="C14" s="82">
        <v>0.22</v>
      </c>
      <c r="D14" s="151">
        <f t="shared" si="0"/>
        <v>179411.54</v>
      </c>
      <c r="E14" s="151">
        <f t="shared" si="1"/>
        <v>179.41154</v>
      </c>
    </row>
    <row r="15" spans="1:14" x14ac:dyDescent="0.25">
      <c r="A15" s="89">
        <v>2021</v>
      </c>
      <c r="B15" s="90">
        <f>[1]Sheet3!E24</f>
        <v>836221</v>
      </c>
      <c r="C15" s="82">
        <v>0.22</v>
      </c>
      <c r="D15" s="151">
        <f t="shared" si="0"/>
        <v>183968.62</v>
      </c>
      <c r="E15" s="151">
        <f t="shared" si="1"/>
        <v>183.96861999999999</v>
      </c>
    </row>
    <row r="16" spans="1:14" x14ac:dyDescent="0.25">
      <c r="A16" s="89">
        <v>2022</v>
      </c>
      <c r="B16" s="90">
        <f>[1]Sheet3!E25</f>
        <v>856935</v>
      </c>
      <c r="C16" s="82">
        <v>0.22</v>
      </c>
      <c r="D16" s="151">
        <f t="shared" si="0"/>
        <v>188525.7</v>
      </c>
      <c r="E16" s="151">
        <f t="shared" si="1"/>
        <v>188.5257</v>
      </c>
    </row>
    <row r="17" spans="1:10" x14ac:dyDescent="0.25">
      <c r="A17" s="89">
        <v>2023</v>
      </c>
      <c r="B17" s="90">
        <f>[1]Sheet3!E26</f>
        <v>877649</v>
      </c>
      <c r="C17" s="82">
        <v>0.22</v>
      </c>
      <c r="D17" s="151">
        <f t="shared" si="0"/>
        <v>193082.78</v>
      </c>
      <c r="E17" s="151">
        <f t="shared" si="1"/>
        <v>193.08277999999999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[1]Sheet3!E27</f>
        <v>898363</v>
      </c>
      <c r="C18" s="82">
        <v>0.22</v>
      </c>
      <c r="D18" s="151">
        <f t="shared" si="0"/>
        <v>197639.86000000002</v>
      </c>
      <c r="E18" s="151">
        <f t="shared" si="1"/>
        <v>197.63986000000003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[1]Sheet3!E28</f>
        <v>919077</v>
      </c>
      <c r="C19" s="82">
        <v>0.22</v>
      </c>
      <c r="D19" s="151">
        <f t="shared" si="0"/>
        <v>202196.94</v>
      </c>
      <c r="E19" s="151">
        <f t="shared" si="1"/>
        <v>202.19694000000001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[1]Sheet3!E29</f>
        <v>939791</v>
      </c>
      <c r="C20" s="82">
        <v>0.22</v>
      </c>
      <c r="D20" s="151">
        <f t="shared" si="0"/>
        <v>206754.02</v>
      </c>
      <c r="E20" s="151">
        <f t="shared" si="1"/>
        <v>206.75402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[1]Sheet3!E30</f>
        <v>960505</v>
      </c>
      <c r="C21" s="82">
        <v>0.22</v>
      </c>
      <c r="D21" s="151">
        <f t="shared" si="0"/>
        <v>211311.1</v>
      </c>
      <c r="E21" s="151">
        <f t="shared" si="1"/>
        <v>211.31110000000001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[1]Sheet3!E31</f>
        <v>981219</v>
      </c>
      <c r="C22" s="82">
        <v>0.22</v>
      </c>
      <c r="D22" s="151">
        <f t="shared" si="0"/>
        <v>215868.18</v>
      </c>
      <c r="E22" s="151">
        <f t="shared" si="1"/>
        <v>215.86818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[1]Sheet3!E32</f>
        <v>1001933</v>
      </c>
      <c r="C23" s="82">
        <v>0.22</v>
      </c>
      <c r="D23" s="151">
        <f t="shared" si="0"/>
        <v>220425.26</v>
      </c>
      <c r="E23" s="151">
        <f t="shared" si="1"/>
        <v>220.42526000000001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[1]Sheet3!E33</f>
        <v>1022647</v>
      </c>
      <c r="C24" s="82">
        <v>0.22</v>
      </c>
      <c r="D24" s="151">
        <f t="shared" si="0"/>
        <v>224982.34</v>
      </c>
      <c r="E24" s="151">
        <f t="shared" si="1"/>
        <v>224.98233999999999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51" zoomScaleNormal="100" workbookViewId="0">
      <selection activeCell="D68" sqref="D68"/>
    </sheetView>
  </sheetViews>
  <sheetFormatPr defaultRowHeight="12.75" x14ac:dyDescent="0.25"/>
  <cols>
    <col min="1" max="1" width="9.140625" style="145"/>
    <col min="2" max="2" width="15.5703125" style="145" customWidth="1"/>
    <col min="3" max="3" width="11" style="145" customWidth="1"/>
    <col min="4" max="5" width="9.140625" style="145"/>
    <col min="6" max="6" width="10" style="145" bestFit="1" customWidth="1"/>
    <col min="7" max="7" width="12.28515625" style="145" customWidth="1"/>
    <col min="8" max="8" width="9.140625" style="145"/>
    <col min="9" max="9" width="16.85546875" style="145" customWidth="1"/>
    <col min="10" max="11" width="9.140625" style="145"/>
    <col min="12" max="12" width="9" style="152" bestFit="1" customWidth="1"/>
    <col min="13" max="13" width="12" style="152" bestFit="1" customWidth="1"/>
    <col min="14" max="14" width="2.42578125" style="152" customWidth="1"/>
    <col min="15" max="15" width="7.140625" style="152" customWidth="1"/>
    <col min="16" max="19" width="9.140625" style="152"/>
    <col min="20" max="20" width="1.42578125" style="152" customWidth="1"/>
    <col min="21" max="21" width="7.140625" style="152" customWidth="1"/>
    <col min="22" max="22" width="50.28515625" style="152" customWidth="1"/>
    <col min="23" max="25" width="9.140625" style="152"/>
    <col min="26" max="16384" width="9.140625" style="145"/>
  </cols>
  <sheetData>
    <row r="2" spans="1:21" x14ac:dyDescent="0.25">
      <c r="A2" s="183" t="s">
        <v>9</v>
      </c>
      <c r="B2" s="183"/>
      <c r="C2" s="183"/>
      <c r="D2" s="183"/>
      <c r="E2" s="183"/>
      <c r="F2" s="183"/>
      <c r="G2" s="183"/>
      <c r="H2" s="183"/>
      <c r="I2" s="183"/>
    </row>
    <row r="3" spans="1:21" x14ac:dyDescent="0.25">
      <c r="A3" s="153" t="s">
        <v>153</v>
      </c>
    </row>
    <row r="4" spans="1:21" x14ac:dyDescent="0.25">
      <c r="A4" s="184" t="s">
        <v>8</v>
      </c>
      <c r="B4" s="184" t="s">
        <v>0</v>
      </c>
      <c r="C4" s="184"/>
      <c r="D4" s="184"/>
      <c r="E4" s="184"/>
      <c r="F4" s="184"/>
      <c r="G4" s="184"/>
      <c r="H4" s="184"/>
      <c r="I4" s="188" t="s">
        <v>10</v>
      </c>
    </row>
    <row r="5" spans="1:21" ht="25.5" x14ac:dyDescent="0.25">
      <c r="A5" s="184"/>
      <c r="B5" s="150" t="s">
        <v>1</v>
      </c>
      <c r="C5" s="150" t="s">
        <v>2</v>
      </c>
      <c r="D5" s="150" t="s">
        <v>148</v>
      </c>
      <c r="E5" s="150" t="s">
        <v>4</v>
      </c>
      <c r="F5" s="174" t="s">
        <v>154</v>
      </c>
      <c r="G5" s="150" t="s">
        <v>127</v>
      </c>
      <c r="H5" s="150" t="s">
        <v>7</v>
      </c>
      <c r="I5" s="189"/>
      <c r="P5" s="154"/>
    </row>
    <row r="6" spans="1:21" ht="17.25" customHeight="1" x14ac:dyDescent="0.25">
      <c r="A6" s="155">
        <v>2011</v>
      </c>
      <c r="B6" s="173">
        <v>0.31609999999999999</v>
      </c>
      <c r="C6" s="173">
        <f>4%+9.35%+8.46%+6.21%</f>
        <v>0.2802</v>
      </c>
      <c r="D6" s="173">
        <v>1.35E-2</v>
      </c>
      <c r="E6" s="173">
        <v>0.39019999999999999</v>
      </c>
      <c r="F6" s="166">
        <v>0</v>
      </c>
      <c r="G6" s="166"/>
      <c r="H6" s="166"/>
      <c r="I6" s="156">
        <f>SUM(B6:H6)</f>
        <v>1</v>
      </c>
      <c r="L6" s="92"/>
    </row>
    <row r="7" spans="1:21" x14ac:dyDescent="0.25">
      <c r="A7" s="155">
        <v>2012</v>
      </c>
      <c r="B7" s="173">
        <v>0.31609999999999999</v>
      </c>
      <c r="C7" s="173">
        <f t="shared" ref="C7:C11" si="0">4%+9.35%+8.46%+6.21%</f>
        <v>0.2802</v>
      </c>
      <c r="D7" s="173">
        <v>1.35E-2</v>
      </c>
      <c r="E7" s="173">
        <v>0.39019999999999999</v>
      </c>
      <c r="F7" s="166">
        <v>0</v>
      </c>
      <c r="G7" s="166"/>
      <c r="H7" s="166"/>
      <c r="I7" s="156">
        <f t="shared" ref="I7:I25" si="1">SUM(B7:H7)</f>
        <v>1</v>
      </c>
      <c r="L7" s="152">
        <v>2000</v>
      </c>
      <c r="M7" s="152">
        <f>M8-(M8*0.024)</f>
        <v>0</v>
      </c>
      <c r="N7" s="93"/>
      <c r="O7" s="94"/>
      <c r="P7" s="154"/>
      <c r="S7" s="157"/>
      <c r="T7" s="158"/>
      <c r="U7" s="157"/>
    </row>
    <row r="8" spans="1:21" x14ac:dyDescent="0.25">
      <c r="A8" s="155">
        <v>2013</v>
      </c>
      <c r="B8" s="173">
        <v>0.31609999999999999</v>
      </c>
      <c r="C8" s="173">
        <f t="shared" si="0"/>
        <v>0.2802</v>
      </c>
      <c r="D8" s="173">
        <v>1.35E-2</v>
      </c>
      <c r="E8" s="173">
        <v>0.39019999999999999</v>
      </c>
      <c r="F8" s="166">
        <v>0</v>
      </c>
      <c r="G8" s="166"/>
      <c r="H8" s="166"/>
      <c r="I8" s="156">
        <f t="shared" si="1"/>
        <v>1</v>
      </c>
      <c r="L8" s="152">
        <v>2001</v>
      </c>
      <c r="M8" s="152">
        <f t="shared" ref="M8:M10" si="2">M9-(M9*0.024)</f>
        <v>0</v>
      </c>
      <c r="N8" s="94"/>
      <c r="O8" s="94"/>
      <c r="P8" s="154"/>
      <c r="S8" s="159"/>
      <c r="T8" s="159"/>
      <c r="U8" s="159"/>
    </row>
    <row r="9" spans="1:21" x14ac:dyDescent="0.25">
      <c r="A9" s="155">
        <v>2014</v>
      </c>
      <c r="B9" s="173">
        <v>0.31609999999999999</v>
      </c>
      <c r="C9" s="173">
        <f t="shared" si="0"/>
        <v>0.2802</v>
      </c>
      <c r="D9" s="173">
        <v>1.35E-2</v>
      </c>
      <c r="E9" s="173">
        <v>0.39019999999999999</v>
      </c>
      <c r="F9" s="166">
        <v>0</v>
      </c>
      <c r="G9" s="166"/>
      <c r="H9" s="166"/>
      <c r="I9" s="156">
        <f t="shared" si="1"/>
        <v>1</v>
      </c>
      <c r="L9" s="152">
        <v>2002</v>
      </c>
      <c r="M9" s="152">
        <f t="shared" si="2"/>
        <v>0</v>
      </c>
      <c r="N9" s="94"/>
      <c r="O9" s="94"/>
      <c r="P9" s="154"/>
    </row>
    <row r="10" spans="1:21" x14ac:dyDescent="0.25">
      <c r="A10" s="155">
        <v>2015</v>
      </c>
      <c r="B10" s="173">
        <v>0.31609999999999999</v>
      </c>
      <c r="C10" s="173">
        <f t="shared" si="0"/>
        <v>0.2802</v>
      </c>
      <c r="D10" s="173">
        <v>1.35E-2</v>
      </c>
      <c r="E10" s="173">
        <v>0.39019999999999999</v>
      </c>
      <c r="F10" s="166">
        <v>0</v>
      </c>
      <c r="G10" s="166"/>
      <c r="H10" s="166"/>
      <c r="I10" s="156">
        <f t="shared" si="1"/>
        <v>1</v>
      </c>
      <c r="L10" s="152">
        <v>2003</v>
      </c>
      <c r="M10" s="152">
        <f t="shared" si="2"/>
        <v>0</v>
      </c>
      <c r="N10" s="93"/>
      <c r="O10" s="94"/>
      <c r="P10" s="154"/>
    </row>
    <row r="11" spans="1:21" x14ac:dyDescent="0.25">
      <c r="A11" s="155">
        <v>2016</v>
      </c>
      <c r="B11" s="173">
        <v>0.31609999999999999</v>
      </c>
      <c r="C11" s="173">
        <f t="shared" si="0"/>
        <v>0.2802</v>
      </c>
      <c r="D11" s="173">
        <v>1.35E-2</v>
      </c>
      <c r="E11" s="173">
        <v>0.39019999999999999</v>
      </c>
      <c r="F11" s="166">
        <v>0</v>
      </c>
      <c r="G11" s="166"/>
      <c r="H11" s="166"/>
      <c r="I11" s="156">
        <f t="shared" si="1"/>
        <v>1</v>
      </c>
      <c r="L11" s="152">
        <v>2004</v>
      </c>
      <c r="M11" s="152">
        <f>M12-(M12*0.024)</f>
        <v>0</v>
      </c>
    </row>
    <row r="12" spans="1:21" x14ac:dyDescent="0.25">
      <c r="A12" s="155">
        <v>2017</v>
      </c>
      <c r="B12" s="173">
        <f>B11*1.0255</f>
        <v>0.32416054999999999</v>
      </c>
      <c r="C12" s="173">
        <f>C11*(1-0.0238)</f>
        <v>0.27353124000000001</v>
      </c>
      <c r="D12" s="173">
        <f t="shared" ref="D12:D24" si="3">D11*1.0285</f>
        <v>1.388475E-2</v>
      </c>
      <c r="E12" s="173">
        <f>E11*(1-0.0119)</f>
        <v>0.38555661999999996</v>
      </c>
      <c r="F12" s="166">
        <v>0.02</v>
      </c>
      <c r="G12" s="166"/>
      <c r="H12" s="166"/>
      <c r="I12" s="156">
        <f t="shared" si="1"/>
        <v>1.01713316</v>
      </c>
      <c r="L12" s="152">
        <v>2005</v>
      </c>
      <c r="M12" s="152">
        <f>M13-(M13*O29)</f>
        <v>0</v>
      </c>
    </row>
    <row r="13" spans="1:21" x14ac:dyDescent="0.25">
      <c r="A13" s="155">
        <v>2018</v>
      </c>
      <c r="B13" s="173">
        <f t="shared" ref="B13:B24" si="4">B12*1.0255</f>
        <v>0.332426644025</v>
      </c>
      <c r="C13" s="173">
        <f t="shared" ref="C13:C24" si="5">C12*(1-0.0238)</f>
        <v>0.26702119648799999</v>
      </c>
      <c r="D13" s="173">
        <f t="shared" si="3"/>
        <v>1.4280465374999999E-2</v>
      </c>
      <c r="E13" s="173">
        <f t="shared" ref="E13:E24" si="6">E12*(1-0.0119)</f>
        <v>0.38096849622199996</v>
      </c>
      <c r="F13" s="166">
        <f>F12*1.073</f>
        <v>2.146E-2</v>
      </c>
      <c r="G13" s="166"/>
      <c r="H13" s="166"/>
      <c r="I13" s="156">
        <f t="shared" si="1"/>
        <v>1.01615680211</v>
      </c>
      <c r="L13" s="152">
        <v>2006</v>
      </c>
      <c r="M13" s="152">
        <f>M14-(M14*O29)</f>
        <v>0</v>
      </c>
    </row>
    <row r="14" spans="1:21" x14ac:dyDescent="0.25">
      <c r="A14" s="155">
        <v>2019</v>
      </c>
      <c r="B14" s="173">
        <f t="shared" si="4"/>
        <v>0.34090352344763752</v>
      </c>
      <c r="C14" s="173">
        <f t="shared" si="5"/>
        <v>0.26066609201158558</v>
      </c>
      <c r="D14" s="173">
        <f t="shared" si="3"/>
        <v>1.4687458638187498E-2</v>
      </c>
      <c r="E14" s="173">
        <f t="shared" si="6"/>
        <v>0.37643497111695817</v>
      </c>
      <c r="F14" s="166">
        <f t="shared" ref="F14:F24" si="7">F13*1.073</f>
        <v>2.3026579999999998E-2</v>
      </c>
      <c r="G14" s="166"/>
      <c r="H14" s="166"/>
      <c r="I14" s="156">
        <f t="shared" si="1"/>
        <v>1.0157186252143688</v>
      </c>
      <c r="L14" s="152">
        <v>2007</v>
      </c>
      <c r="M14" s="152">
        <f>M15-(M15*O29)</f>
        <v>0</v>
      </c>
      <c r="P14" s="154"/>
    </row>
    <row r="15" spans="1:21" x14ac:dyDescent="0.25">
      <c r="A15" s="155">
        <v>2020</v>
      </c>
      <c r="B15" s="173">
        <f t="shared" si="4"/>
        <v>0.34959656329555233</v>
      </c>
      <c r="C15" s="173">
        <f t="shared" si="5"/>
        <v>0.25446223902170984</v>
      </c>
      <c r="D15" s="173">
        <f t="shared" si="3"/>
        <v>1.5106051209375842E-2</v>
      </c>
      <c r="E15" s="173">
        <f t="shared" si="6"/>
        <v>0.37195539496066637</v>
      </c>
      <c r="F15" s="166">
        <f t="shared" si="7"/>
        <v>2.4707520339999997E-2</v>
      </c>
      <c r="G15" s="166"/>
      <c r="H15" s="166"/>
      <c r="I15" s="156">
        <f t="shared" si="1"/>
        <v>1.0158277688273043</v>
      </c>
      <c r="L15" s="152">
        <v>2008</v>
      </c>
      <c r="M15" s="152">
        <f>M27-(M27*O29)</f>
        <v>0</v>
      </c>
      <c r="S15" s="157"/>
    </row>
    <row r="16" spans="1:21" x14ac:dyDescent="0.25">
      <c r="A16" s="155">
        <v>2021</v>
      </c>
      <c r="B16" s="173">
        <f t="shared" si="4"/>
        <v>0.35851127565958896</v>
      </c>
      <c r="C16" s="173">
        <f t="shared" si="5"/>
        <v>0.24840603773299313</v>
      </c>
      <c r="D16" s="173">
        <f t="shared" si="3"/>
        <v>1.5536573668843054E-2</v>
      </c>
      <c r="E16" s="173">
        <f t="shared" si="6"/>
        <v>0.36752912576063446</v>
      </c>
      <c r="F16" s="166">
        <f t="shared" si="7"/>
        <v>2.6511169324819995E-2</v>
      </c>
      <c r="G16" s="166"/>
      <c r="H16" s="166"/>
      <c r="I16" s="156">
        <f t="shared" si="1"/>
        <v>1.0164941821468796</v>
      </c>
      <c r="S16" s="157"/>
    </row>
    <row r="17" spans="1:19" x14ac:dyDescent="0.25">
      <c r="A17" s="155">
        <v>2022</v>
      </c>
      <c r="B17" s="173">
        <f t="shared" si="4"/>
        <v>0.36765331318890848</v>
      </c>
      <c r="C17" s="173">
        <f t="shared" si="5"/>
        <v>0.24249397403494788</v>
      </c>
      <c r="D17" s="173">
        <f t="shared" si="3"/>
        <v>1.5979366018405081E-2</v>
      </c>
      <c r="E17" s="173">
        <f t="shared" si="6"/>
        <v>0.36315552916408289</v>
      </c>
      <c r="F17" s="166">
        <f t="shared" si="7"/>
        <v>2.8446484685531855E-2</v>
      </c>
      <c r="G17" s="166"/>
      <c r="H17" s="166"/>
      <c r="I17" s="156">
        <f t="shared" si="1"/>
        <v>1.0177286670918761</v>
      </c>
      <c r="S17" s="157"/>
    </row>
    <row r="18" spans="1:19" x14ac:dyDescent="0.25">
      <c r="A18" s="155">
        <v>2023</v>
      </c>
      <c r="B18" s="173">
        <f t="shared" si="4"/>
        <v>0.37702847267522566</v>
      </c>
      <c r="C18" s="173">
        <f t="shared" si="5"/>
        <v>0.23672261745291612</v>
      </c>
      <c r="D18" s="173">
        <f t="shared" si="3"/>
        <v>1.6434777949929626E-2</v>
      </c>
      <c r="E18" s="173">
        <f t="shared" si="6"/>
        <v>0.35883397836703029</v>
      </c>
      <c r="F18" s="166">
        <f t="shared" si="7"/>
        <v>3.052307806757568E-2</v>
      </c>
      <c r="G18" s="166"/>
      <c r="H18" s="166"/>
      <c r="I18" s="156">
        <f t="shared" si="1"/>
        <v>1.0195429245126773</v>
      </c>
      <c r="S18" s="157"/>
    </row>
    <row r="19" spans="1:19" x14ac:dyDescent="0.25">
      <c r="A19" s="155">
        <v>2024</v>
      </c>
      <c r="B19" s="173">
        <f t="shared" si="4"/>
        <v>0.38664269872844392</v>
      </c>
      <c r="C19" s="173">
        <f t="shared" si="5"/>
        <v>0.2310886191575367</v>
      </c>
      <c r="D19" s="173">
        <f t="shared" si="3"/>
        <v>1.690316912150262E-2</v>
      </c>
      <c r="E19" s="173">
        <f t="shared" si="6"/>
        <v>0.35456385402446261</v>
      </c>
      <c r="F19" s="166">
        <f t="shared" si="7"/>
        <v>3.27512627665087E-2</v>
      </c>
      <c r="G19" s="166"/>
      <c r="H19" s="166"/>
      <c r="I19" s="156">
        <f t="shared" si="1"/>
        <v>1.0219496037984546</v>
      </c>
      <c r="S19" s="157"/>
    </row>
    <row r="20" spans="1:19" x14ac:dyDescent="0.25">
      <c r="A20" s="155">
        <v>2025</v>
      </c>
      <c r="B20" s="173">
        <f t="shared" si="4"/>
        <v>0.39650208754601929</v>
      </c>
      <c r="C20" s="173">
        <f t="shared" si="5"/>
        <v>0.22558871002158731</v>
      </c>
      <c r="D20" s="173">
        <f t="shared" si="3"/>
        <v>1.7384909441465445E-2</v>
      </c>
      <c r="E20" s="173">
        <f t="shared" si="6"/>
        <v>0.35034454416157151</v>
      </c>
      <c r="F20" s="166">
        <f t="shared" si="7"/>
        <v>3.5142104948463836E-2</v>
      </c>
      <c r="G20" s="166"/>
      <c r="H20" s="166"/>
      <c r="I20" s="156">
        <f t="shared" si="1"/>
        <v>1.0249623561191075</v>
      </c>
      <c r="S20" s="157"/>
    </row>
    <row r="21" spans="1:19" x14ac:dyDescent="0.25">
      <c r="A21" s="155">
        <v>2026</v>
      </c>
      <c r="B21" s="173">
        <f t="shared" si="4"/>
        <v>0.40661289077844281</v>
      </c>
      <c r="C21" s="173">
        <f t="shared" si="5"/>
        <v>0.22021969872307354</v>
      </c>
      <c r="D21" s="173">
        <f t="shared" si="3"/>
        <v>1.7880379360547208E-2</v>
      </c>
      <c r="E21" s="173">
        <f t="shared" si="6"/>
        <v>0.34617544408604878</v>
      </c>
      <c r="F21" s="166">
        <f t="shared" si="7"/>
        <v>3.7707478609701695E-2</v>
      </c>
      <c r="G21" s="166"/>
      <c r="H21" s="166"/>
      <c r="I21" s="156">
        <f t="shared" si="1"/>
        <v>1.0285958915578139</v>
      </c>
      <c r="S21" s="157"/>
    </row>
    <row r="22" spans="1:19" x14ac:dyDescent="0.25">
      <c r="A22" s="155">
        <v>2027</v>
      </c>
      <c r="B22" s="173">
        <f t="shared" si="4"/>
        <v>0.41698151949329315</v>
      </c>
      <c r="C22" s="173">
        <f t="shared" si="5"/>
        <v>0.21497846989346436</v>
      </c>
      <c r="D22" s="173">
        <f t="shared" si="3"/>
        <v>1.8389970172322804E-2</v>
      </c>
      <c r="E22" s="173">
        <f t="shared" si="6"/>
        <v>0.34205595630142477</v>
      </c>
      <c r="F22" s="166">
        <f t="shared" si="7"/>
        <v>4.0460124548209915E-2</v>
      </c>
      <c r="G22" s="166"/>
      <c r="H22" s="166"/>
      <c r="I22" s="156">
        <f t="shared" si="1"/>
        <v>1.0328660404087151</v>
      </c>
      <c r="S22" s="157"/>
    </row>
    <row r="23" spans="1:19" x14ac:dyDescent="0.25">
      <c r="A23" s="155">
        <v>2028</v>
      </c>
      <c r="B23" s="173">
        <f t="shared" si="4"/>
        <v>0.42761454824037215</v>
      </c>
      <c r="C23" s="173">
        <f t="shared" si="5"/>
        <v>0.20986198230999989</v>
      </c>
      <c r="D23" s="173">
        <f t="shared" si="3"/>
        <v>1.8914084322234005E-2</v>
      </c>
      <c r="E23" s="173">
        <f t="shared" si="6"/>
        <v>0.33798549042143783</v>
      </c>
      <c r="F23" s="166">
        <f t="shared" si="7"/>
        <v>4.3413713640229237E-2</v>
      </c>
      <c r="G23" s="166"/>
      <c r="H23" s="166"/>
      <c r="I23" s="156">
        <f t="shared" si="1"/>
        <v>1.0377898189342731</v>
      </c>
      <c r="S23" s="157"/>
    </row>
    <row r="24" spans="1:19" x14ac:dyDescent="0.25">
      <c r="A24" s="155">
        <v>2029</v>
      </c>
      <c r="B24" s="173">
        <f t="shared" si="4"/>
        <v>0.43851871922050167</v>
      </c>
      <c r="C24" s="173">
        <f t="shared" si="5"/>
        <v>0.20486726713102188</v>
      </c>
      <c r="D24" s="173">
        <f t="shared" si="3"/>
        <v>1.9453135725417674E-2</v>
      </c>
      <c r="E24" s="173">
        <f t="shared" si="6"/>
        <v>0.33396346308542268</v>
      </c>
      <c r="F24" s="166">
        <f t="shared" si="7"/>
        <v>4.6582914735965972E-2</v>
      </c>
      <c r="G24" s="166"/>
      <c r="H24" s="166"/>
      <c r="I24" s="156">
        <f t="shared" si="1"/>
        <v>1.0433854998983298</v>
      </c>
      <c r="S24" s="157"/>
    </row>
    <row r="25" spans="1:19" x14ac:dyDescent="0.25">
      <c r="A25" s="155">
        <v>2030</v>
      </c>
      <c r="B25" s="173">
        <v>0.45</v>
      </c>
      <c r="C25" s="173">
        <v>0.2</v>
      </c>
      <c r="D25" s="173">
        <v>0.02</v>
      </c>
      <c r="E25" s="173">
        <v>0.33</v>
      </c>
      <c r="F25" s="166">
        <v>0.05</v>
      </c>
      <c r="G25" s="166"/>
      <c r="H25" s="166"/>
      <c r="I25" s="156">
        <f t="shared" si="1"/>
        <v>1.05</v>
      </c>
      <c r="S25" s="157"/>
    </row>
    <row r="26" spans="1:19" ht="14.25" customHeight="1" x14ac:dyDescent="0.25">
      <c r="B26" s="167">
        <f>((B25/B11)^(1/14)-1)</f>
        <v>2.5548696592848197E-2</v>
      </c>
      <c r="C26" s="167">
        <f t="shared" ref="C26:H26" si="8">((C25/C11)^(1/14)-1)</f>
        <v>-2.379701072791307E-2</v>
      </c>
      <c r="D26" s="167">
        <f t="shared" si="8"/>
        <v>2.8472272495493778E-2</v>
      </c>
      <c r="E26" s="167">
        <f>((E25/E11)^(1/14)-1)</f>
        <v>-1.1897711048976523E-2</v>
      </c>
      <c r="F26" s="167" t="e">
        <f t="shared" si="8"/>
        <v>#DIV/0!</v>
      </c>
      <c r="G26" s="167" t="e">
        <f t="shared" si="8"/>
        <v>#DIV/0!</v>
      </c>
      <c r="H26" s="167" t="e">
        <f t="shared" si="8"/>
        <v>#DIV/0!</v>
      </c>
    </row>
    <row r="27" spans="1:19" x14ac:dyDescent="0.25">
      <c r="A27" s="184" t="s">
        <v>11</v>
      </c>
      <c r="B27" s="185" t="s">
        <v>149</v>
      </c>
      <c r="C27" s="186"/>
      <c r="D27" s="186"/>
      <c r="E27" s="186"/>
      <c r="F27" s="186"/>
      <c r="G27" s="186"/>
      <c r="H27" s="187"/>
      <c r="I27" s="188" t="s">
        <v>40</v>
      </c>
    </row>
    <row r="28" spans="1:19" ht="25.5" x14ac:dyDescent="0.25">
      <c r="A28" s="184"/>
      <c r="B28" s="150" t="s">
        <v>1</v>
      </c>
      <c r="C28" s="150" t="s">
        <v>2</v>
      </c>
      <c r="D28" s="150" t="s">
        <v>148</v>
      </c>
      <c r="E28" s="144" t="s">
        <v>4</v>
      </c>
      <c r="F28" s="174" t="s">
        <v>154</v>
      </c>
      <c r="G28" s="150" t="s">
        <v>127</v>
      </c>
      <c r="H28" s="144" t="s">
        <v>7</v>
      </c>
      <c r="I28" s="189"/>
    </row>
    <row r="29" spans="1:19" x14ac:dyDescent="0.25">
      <c r="A29" s="155">
        <v>2011</v>
      </c>
      <c r="B29" s="160">
        <f t="shared" ref="B29:H29" si="9">$I$29*B6</f>
        <v>45.078167529999995</v>
      </c>
      <c r="C29" s="160">
        <f t="shared" si="9"/>
        <v>39.958565459999996</v>
      </c>
      <c r="D29" s="160">
        <f t="shared" si="9"/>
        <v>1.9251985499999997</v>
      </c>
      <c r="E29" s="161">
        <f t="shared" si="9"/>
        <v>55.645368459999993</v>
      </c>
      <c r="F29" s="175">
        <f t="shared" si="9"/>
        <v>0</v>
      </c>
      <c r="G29" s="160">
        <f t="shared" si="9"/>
        <v>0</v>
      </c>
      <c r="H29" s="162">
        <f t="shared" si="9"/>
        <v>0</v>
      </c>
      <c r="I29" s="163">
        <f>'timbulan sampah'!E5</f>
        <v>142.60729999999998</v>
      </c>
      <c r="J29" s="164">
        <f>SUM(B29:H29)</f>
        <v>142.60729999999998</v>
      </c>
    </row>
    <row r="30" spans="1:19" x14ac:dyDescent="0.25">
      <c r="A30" s="155">
        <v>2012</v>
      </c>
      <c r="B30" s="160">
        <f t="shared" ref="B30:H30" si="10">$I$30*B7</f>
        <v>46.279436038</v>
      </c>
      <c r="C30" s="160">
        <f t="shared" si="10"/>
        <v>41.023403915999999</v>
      </c>
      <c r="D30" s="160">
        <f t="shared" si="10"/>
        <v>1.97650233</v>
      </c>
      <c r="E30" s="161">
        <f t="shared" si="10"/>
        <v>57.128237715999994</v>
      </c>
      <c r="F30" s="175">
        <f t="shared" si="10"/>
        <v>0</v>
      </c>
      <c r="G30" s="160">
        <f t="shared" si="10"/>
        <v>0</v>
      </c>
      <c r="H30" s="162">
        <f t="shared" si="10"/>
        <v>0</v>
      </c>
      <c r="I30" s="163">
        <f>'timbulan sampah'!E6</f>
        <v>146.40758</v>
      </c>
      <c r="J30" s="164">
        <f t="shared" ref="J30:J48" si="11">SUM(B30:H30)</f>
        <v>146.40758</v>
      </c>
    </row>
    <row r="31" spans="1:19" x14ac:dyDescent="0.25">
      <c r="A31" s="155">
        <v>2013</v>
      </c>
      <c r="B31" s="160">
        <f t="shared" ref="B31:H31" si="12">$I$31*B8</f>
        <v>47.506296002000006</v>
      </c>
      <c r="C31" s="160">
        <f t="shared" si="12"/>
        <v>42.110927364000005</v>
      </c>
      <c r="D31" s="160">
        <f t="shared" si="12"/>
        <v>2.02889907</v>
      </c>
      <c r="E31" s="161">
        <f t="shared" si="12"/>
        <v>58.642697564000002</v>
      </c>
      <c r="F31" s="175">
        <f t="shared" si="12"/>
        <v>0</v>
      </c>
      <c r="G31" s="160">
        <f t="shared" si="12"/>
        <v>0</v>
      </c>
      <c r="H31" s="162">
        <f t="shared" si="12"/>
        <v>0</v>
      </c>
      <c r="I31" s="163">
        <f>'timbulan sampah'!E7</f>
        <v>150.28882000000002</v>
      </c>
      <c r="J31" s="164">
        <f t="shared" si="11"/>
        <v>150.28882000000002</v>
      </c>
    </row>
    <row r="32" spans="1:19" x14ac:dyDescent="0.25">
      <c r="A32" s="155">
        <v>2014</v>
      </c>
      <c r="B32" s="160">
        <f t="shared" ref="B32:H32" si="13">$I$32*B9</f>
        <v>48.709928937999997</v>
      </c>
      <c r="C32" s="160">
        <f t="shared" si="13"/>
        <v>43.177861715999995</v>
      </c>
      <c r="D32" s="160">
        <f t="shared" si="13"/>
        <v>2.0803038299999996</v>
      </c>
      <c r="E32" s="161">
        <f t="shared" si="13"/>
        <v>60.128485515999998</v>
      </c>
      <c r="F32" s="175">
        <f t="shared" si="13"/>
        <v>0</v>
      </c>
      <c r="G32" s="160">
        <f t="shared" si="13"/>
        <v>0</v>
      </c>
      <c r="H32" s="162">
        <f t="shared" si="13"/>
        <v>0</v>
      </c>
      <c r="I32" s="163">
        <f>'timbulan sampah'!E8</f>
        <v>154.09657999999999</v>
      </c>
      <c r="J32" s="164">
        <f t="shared" si="11"/>
        <v>154.09657999999999</v>
      </c>
      <c r="P32" s="154"/>
    </row>
    <row r="33" spans="1:16" x14ac:dyDescent="0.25">
      <c r="A33" s="155">
        <v>2015</v>
      </c>
      <c r="B33" s="160">
        <f t="shared" ref="B33:H33" si="14">$I$33*B10</f>
        <v>49.916482637999998</v>
      </c>
      <c r="C33" s="160">
        <f t="shared" si="14"/>
        <v>44.247385115999997</v>
      </c>
      <c r="D33" s="160">
        <f t="shared" si="14"/>
        <v>2.1318333300000001</v>
      </c>
      <c r="E33" s="161">
        <f t="shared" si="14"/>
        <v>61.617878915999995</v>
      </c>
      <c r="F33" s="175">
        <f t="shared" si="14"/>
        <v>0</v>
      </c>
      <c r="G33" s="160">
        <f t="shared" si="14"/>
        <v>0</v>
      </c>
      <c r="H33" s="162">
        <f t="shared" si="14"/>
        <v>0</v>
      </c>
      <c r="I33" s="163">
        <f>'timbulan sampah'!E9</f>
        <v>157.91358</v>
      </c>
      <c r="J33" s="164">
        <f t="shared" si="11"/>
        <v>157.91358</v>
      </c>
      <c r="P33" s="154"/>
    </row>
    <row r="34" spans="1:16" x14ac:dyDescent="0.25">
      <c r="A34" s="155">
        <v>2016</v>
      </c>
      <c r="B34" s="160">
        <f t="shared" ref="B34:H34" si="15">$I$34*B11</f>
        <v>51.114482672000001</v>
      </c>
      <c r="C34" s="160">
        <f t="shared" si="15"/>
        <v>45.309326304000002</v>
      </c>
      <c r="D34" s="160">
        <f t="shared" si="15"/>
        <v>2.1829975199999998</v>
      </c>
      <c r="E34" s="161">
        <f t="shared" si="15"/>
        <v>63.096713504</v>
      </c>
      <c r="F34" s="175">
        <f t="shared" si="15"/>
        <v>0</v>
      </c>
      <c r="G34" s="160">
        <f t="shared" si="15"/>
        <v>0</v>
      </c>
      <c r="H34" s="162">
        <f t="shared" si="15"/>
        <v>0</v>
      </c>
      <c r="I34" s="163">
        <f>'timbulan sampah'!E10</f>
        <v>161.70352</v>
      </c>
      <c r="J34" s="164">
        <f t="shared" si="11"/>
        <v>161.70352</v>
      </c>
    </row>
    <row r="35" spans="1:16" x14ac:dyDescent="0.25">
      <c r="A35" s="155">
        <v>2017</v>
      </c>
      <c r="B35" s="175">
        <f>(I35*B12)-F35</f>
        <v>50.411660805164999</v>
      </c>
      <c r="C35" s="160">
        <f t="shared" ref="C35:H35" si="16">$I$35*C12</f>
        <v>45.335149776971996</v>
      </c>
      <c r="D35" s="160">
        <f t="shared" si="16"/>
        <v>2.3012626304249997</v>
      </c>
      <c r="E35" s="161">
        <f t="shared" si="16"/>
        <v>63.902269865785989</v>
      </c>
      <c r="F35" s="175">
        <f t="shared" si="16"/>
        <v>3.3148059999999999</v>
      </c>
      <c r="G35" s="160">
        <f t="shared" si="16"/>
        <v>0</v>
      </c>
      <c r="H35" s="162">
        <f t="shared" si="16"/>
        <v>0</v>
      </c>
      <c r="I35" s="163">
        <f>'timbulan sampah'!E11</f>
        <v>165.74029999999999</v>
      </c>
      <c r="J35" s="164">
        <f t="shared" si="11"/>
        <v>165.26514907834797</v>
      </c>
    </row>
    <row r="36" spans="1:16" x14ac:dyDescent="0.25">
      <c r="A36" s="155">
        <v>2018</v>
      </c>
      <c r="B36" s="175">
        <f t="shared" ref="B36:B48" si="17">(I36*B13)-F36</f>
        <v>52.956804744850153</v>
      </c>
      <c r="C36" s="160">
        <f t="shared" ref="C36:H36" si="18">$I$36*C13</f>
        <v>45.473010166371601</v>
      </c>
      <c r="D36" s="160">
        <f t="shared" si="18"/>
        <v>2.4319258385432172</v>
      </c>
      <c r="E36" s="161">
        <f t="shared" si="18"/>
        <v>64.877936769146487</v>
      </c>
      <c r="F36" s="175">
        <f t="shared" si="18"/>
        <v>3.6545817748</v>
      </c>
      <c r="G36" s="160">
        <f t="shared" si="18"/>
        <v>0</v>
      </c>
      <c r="H36" s="162">
        <f t="shared" si="18"/>
        <v>0</v>
      </c>
      <c r="I36" s="163">
        <f>'timbulan sampah'!E12</f>
        <v>170.29738</v>
      </c>
      <c r="J36" s="164">
        <f t="shared" si="11"/>
        <v>169.39425929371146</v>
      </c>
    </row>
    <row r="37" spans="1:16" x14ac:dyDescent="0.25">
      <c r="A37" s="155">
        <v>2019</v>
      </c>
      <c r="B37" s="175">
        <f t="shared" si="17"/>
        <v>55.5822012929872</v>
      </c>
      <c r="C37" s="160">
        <f t="shared" ref="C37:H37" si="19">$I$37*C14</f>
        <v>45.578628758996111</v>
      </c>
      <c r="D37" s="160">
        <f t="shared" si="19"/>
        <v>2.5681676489526102</v>
      </c>
      <c r="E37" s="161">
        <f t="shared" si="19"/>
        <v>65.821333599771307</v>
      </c>
      <c r="F37" s="175">
        <f t="shared" si="19"/>
        <v>4.0263002115467996</v>
      </c>
      <c r="G37" s="160">
        <f t="shared" si="19"/>
        <v>0</v>
      </c>
      <c r="H37" s="162">
        <f t="shared" si="19"/>
        <v>0</v>
      </c>
      <c r="I37" s="163">
        <f>'timbulan sampah'!E13</f>
        <v>174.85445999999999</v>
      </c>
      <c r="J37" s="164">
        <f t="shared" si="11"/>
        <v>173.57663151225404</v>
      </c>
    </row>
    <row r="38" spans="1:16" x14ac:dyDescent="0.25">
      <c r="A38" s="155">
        <v>2020</v>
      </c>
      <c r="B38" s="175">
        <f t="shared" si="17"/>
        <v>58.2888435257818</v>
      </c>
      <c r="C38" s="160">
        <f t="shared" ref="C38:H38" si="20">$I$38*C15</f>
        <v>45.653462174733058</v>
      </c>
      <c r="D38" s="160">
        <f t="shared" si="20"/>
        <v>2.7101999107929822</v>
      </c>
      <c r="E38" s="161">
        <f t="shared" si="20"/>
        <v>66.733090221201394</v>
      </c>
      <c r="F38" s="175">
        <f t="shared" si="20"/>
        <v>4.432814273780723</v>
      </c>
      <c r="G38" s="160">
        <f t="shared" si="20"/>
        <v>0</v>
      </c>
      <c r="H38" s="162">
        <f t="shared" si="20"/>
        <v>0</v>
      </c>
      <c r="I38" s="163">
        <f>'timbulan sampah'!E14</f>
        <v>179.41154</v>
      </c>
      <c r="J38" s="164">
        <f t="shared" si="11"/>
        <v>177.81841010628997</v>
      </c>
    </row>
    <row r="39" spans="1:16" x14ac:dyDescent="0.25">
      <c r="A39" s="155">
        <v>2021</v>
      </c>
      <c r="B39" s="175">
        <f t="shared" si="17"/>
        <v>61.077601402260697</v>
      </c>
      <c r="C39" s="160">
        <f t="shared" ref="C39:H39" si="21">$I$39*C16</f>
        <v>45.698915961406669</v>
      </c>
      <c r="D39" s="160">
        <f t="shared" si="21"/>
        <v>2.8582420173853933</v>
      </c>
      <c r="E39" s="161">
        <f t="shared" si="21"/>
        <v>67.61382607599036</v>
      </c>
      <c r="F39" s="175">
        <f t="shared" si="21"/>
        <v>4.8772232352734655</v>
      </c>
      <c r="G39" s="160">
        <f t="shared" si="21"/>
        <v>0</v>
      </c>
      <c r="H39" s="162">
        <f t="shared" si="21"/>
        <v>0</v>
      </c>
      <c r="I39" s="163">
        <f>'timbulan sampah'!E15</f>
        <v>183.96861999999999</v>
      </c>
      <c r="J39" s="164">
        <f t="shared" si="11"/>
        <v>182.12580869231661</v>
      </c>
    </row>
    <row r="40" spans="1:16" x14ac:dyDescent="0.25">
      <c r="A40" s="155">
        <v>2022</v>
      </c>
      <c r="B40" s="175">
        <f t="shared" si="17"/>
        <v>63.949204788379028</v>
      </c>
      <c r="C40" s="160">
        <f t="shared" ref="C40:H40" si="22">$I$40*C17</f>
        <v>45.716346200720373</v>
      </c>
      <c r="D40" s="160">
        <f t="shared" si="22"/>
        <v>3.012521164176031</v>
      </c>
      <c r="E40" s="161">
        <f t="shared" si="22"/>
        <v>68.464150344529145</v>
      </c>
      <c r="F40" s="175">
        <f t="shared" si="22"/>
        <v>5.3628934378791726</v>
      </c>
      <c r="G40" s="160">
        <f t="shared" si="22"/>
        <v>0</v>
      </c>
      <c r="H40" s="162">
        <f t="shared" si="22"/>
        <v>0</v>
      </c>
      <c r="I40" s="163">
        <f>'timbulan sampah'!E16</f>
        <v>188.5257</v>
      </c>
      <c r="J40" s="164">
        <f t="shared" si="11"/>
        <v>186.50511593568376</v>
      </c>
    </row>
    <row r="41" spans="1:16" x14ac:dyDescent="0.25">
      <c r="A41" s="155">
        <v>2023</v>
      </c>
      <c r="B41" s="175">
        <f t="shared" si="17"/>
        <v>66.904224875842061</v>
      </c>
      <c r="C41" s="160">
        <f t="shared" ref="C41:H41" si="23">$I$41*C18</f>
        <v>45.707061066685561</v>
      </c>
      <c r="D41" s="160">
        <f t="shared" si="23"/>
        <v>3.1732726152551125</v>
      </c>
      <c r="E41" s="161">
        <f t="shared" si="23"/>
        <v>69.28466210156607</v>
      </c>
      <c r="F41" s="175">
        <f t="shared" si="23"/>
        <v>5.8934807674445393</v>
      </c>
      <c r="G41" s="160">
        <f t="shared" si="23"/>
        <v>0</v>
      </c>
      <c r="H41" s="162">
        <f t="shared" si="23"/>
        <v>0</v>
      </c>
      <c r="I41" s="163">
        <f>'timbulan sampah'!E17</f>
        <v>193.08277999999999</v>
      </c>
      <c r="J41" s="164">
        <f t="shared" si="11"/>
        <v>190.96270142679333</v>
      </c>
    </row>
    <row r="42" spans="1:16" x14ac:dyDescent="0.25">
      <c r="A42" s="155">
        <v>2024</v>
      </c>
      <c r="B42" s="175">
        <f t="shared" si="17"/>
        <v>69.943053858715857</v>
      </c>
      <c r="C42" s="160">
        <f t="shared" ref="C42:H42" si="24">$I$42*C19</f>
        <v>45.672322337888879</v>
      </c>
      <c r="D42" s="160">
        <f t="shared" si="24"/>
        <v>3.3407399787301011</v>
      </c>
      <c r="E42" s="161">
        <f t="shared" si="24"/>
        <v>70.07595047045524</v>
      </c>
      <c r="F42" s="175">
        <f t="shared" si="24"/>
        <v>6.4729549879959931</v>
      </c>
      <c r="G42" s="160">
        <f t="shared" si="24"/>
        <v>0</v>
      </c>
      <c r="H42" s="162">
        <f t="shared" si="24"/>
        <v>0</v>
      </c>
      <c r="I42" s="163">
        <f>'timbulan sampah'!E18</f>
        <v>197.63986000000003</v>
      </c>
      <c r="J42" s="164">
        <f t="shared" si="11"/>
        <v>195.50502163378604</v>
      </c>
    </row>
    <row r="43" spans="1:16" x14ac:dyDescent="0.25">
      <c r="A43" s="155">
        <v>2025</v>
      </c>
      <c r="B43" s="175">
        <f t="shared" si="17"/>
        <v>73.065882719678967</v>
      </c>
      <c r="C43" s="160">
        <f t="shared" ref="C43:H43" si="25">$I$43*C20</f>
        <v>45.613346864912295</v>
      </c>
      <c r="D43" s="160">
        <f t="shared" si="25"/>
        <v>3.5151754912414224</v>
      </c>
      <c r="E43" s="161">
        <f t="shared" si="25"/>
        <v>70.838594775164637</v>
      </c>
      <c r="F43" s="175">
        <f t="shared" si="25"/>
        <v>7.1056260857382458</v>
      </c>
      <c r="G43" s="160">
        <f t="shared" si="25"/>
        <v>0</v>
      </c>
      <c r="H43" s="162">
        <f t="shared" si="25"/>
        <v>0</v>
      </c>
      <c r="I43" s="163">
        <f>'timbulan sampah'!E19</f>
        <v>202.19694000000001</v>
      </c>
      <c r="J43" s="164">
        <f t="shared" si="11"/>
        <v>200.13862593673556</v>
      </c>
    </row>
    <row r="44" spans="1:16" x14ac:dyDescent="0.25">
      <c r="A44" s="155">
        <v>2026</v>
      </c>
      <c r="B44" s="175">
        <f t="shared" si="17"/>
        <v>76.272676965644152</v>
      </c>
      <c r="C44" s="160">
        <f t="shared" ref="C44:H44" si="26">$I$44*C21</f>
        <v>45.531307994184317</v>
      </c>
      <c r="D44" s="160">
        <f t="shared" si="26"/>
        <v>3.6968403119181645</v>
      </c>
      <c r="E44" s="161">
        <f t="shared" si="26"/>
        <v>71.573164690075814</v>
      </c>
      <c r="F44" s="175">
        <f t="shared" si="26"/>
        <v>7.7961727866198363</v>
      </c>
      <c r="G44" s="160">
        <f t="shared" si="26"/>
        <v>0</v>
      </c>
      <c r="H44" s="162">
        <f t="shared" si="26"/>
        <v>0</v>
      </c>
      <c r="I44" s="163">
        <f>'timbulan sampah'!E20</f>
        <v>206.75402</v>
      </c>
      <c r="J44" s="164">
        <f t="shared" si="11"/>
        <v>204.87016274844231</v>
      </c>
    </row>
    <row r="45" spans="1:16" x14ac:dyDescent="0.25">
      <c r="A45" s="155">
        <v>2027</v>
      </c>
      <c r="B45" s="175">
        <f t="shared" si="17"/>
        <v>79.563150139379985</v>
      </c>
      <c r="C45" s="160">
        <f t="shared" ref="C45:H45" si="27">$I$45*C22</f>
        <v>45.427336949504841</v>
      </c>
      <c r="D45" s="160">
        <f t="shared" si="27"/>
        <v>3.8860048260807214</v>
      </c>
      <c r="E45" s="161">
        <f t="shared" si="27"/>
        <v>72.280220387606008</v>
      </c>
      <c r="F45" s="175">
        <f t="shared" si="27"/>
        <v>8.5496734244192414</v>
      </c>
      <c r="G45" s="160">
        <f t="shared" si="27"/>
        <v>0</v>
      </c>
      <c r="H45" s="162">
        <f t="shared" si="27"/>
        <v>0</v>
      </c>
      <c r="I45" s="163">
        <f>'timbulan sampah'!E21</f>
        <v>211.31110000000001</v>
      </c>
      <c r="J45" s="164">
        <f t="shared" si="11"/>
        <v>209.70638572699082</v>
      </c>
    </row>
    <row r="46" spans="1:16" x14ac:dyDescent="0.25">
      <c r="A46" s="155">
        <v>2028</v>
      </c>
      <c r="B46" s="175">
        <f t="shared" si="17"/>
        <v>82.936734919613883</v>
      </c>
      <c r="C46" s="160">
        <f t="shared" ref="C46:H46" si="28">$I$46*C23</f>
        <v>45.302524172451868</v>
      </c>
      <c r="D46" s="160">
        <f t="shared" si="28"/>
        <v>4.0829489590071883</v>
      </c>
      <c r="E46" s="161">
        <f t="shared" si="28"/>
        <v>72.960312683683213</v>
      </c>
      <c r="F46" s="175">
        <f t="shared" si="28"/>
        <v>9.3716393505574604</v>
      </c>
      <c r="G46" s="160">
        <f t="shared" si="28"/>
        <v>0</v>
      </c>
      <c r="H46" s="161">
        <f t="shared" si="28"/>
        <v>0</v>
      </c>
      <c r="I46" s="163">
        <f>'timbulan sampah'!E22</f>
        <v>215.86818</v>
      </c>
      <c r="J46" s="164">
        <f t="shared" si="11"/>
        <v>214.65416008531363</v>
      </c>
    </row>
    <row r="47" spans="1:16" x14ac:dyDescent="0.25">
      <c r="A47" s="155">
        <v>2029</v>
      </c>
      <c r="B47" s="175">
        <f t="shared" si="17"/>
        <v>86.392551606812944</v>
      </c>
      <c r="C47" s="160">
        <f t="shared" ref="C47:H47" si="29">$I$47*C24</f>
        <v>45.157920622844955</v>
      </c>
      <c r="D47" s="160">
        <f t="shared" si="29"/>
        <v>4.2879625000904795</v>
      </c>
      <c r="E47" s="161">
        <f t="shared" si="29"/>
        <v>73.6139831811047</v>
      </c>
      <c r="F47" s="175">
        <f t="shared" si="29"/>
        <v>10.268051092233131</v>
      </c>
      <c r="G47" s="160">
        <f t="shared" si="29"/>
        <v>0</v>
      </c>
      <c r="H47" s="161">
        <f t="shared" si="29"/>
        <v>0</v>
      </c>
      <c r="I47" s="163">
        <f>'timbulan sampah'!E23</f>
        <v>220.42526000000001</v>
      </c>
      <c r="J47" s="164">
        <f t="shared" si="11"/>
        <v>219.72046900308618</v>
      </c>
    </row>
    <row r="48" spans="1:16" x14ac:dyDescent="0.25">
      <c r="A48" s="155">
        <v>2030</v>
      </c>
      <c r="B48" s="175">
        <f t="shared" si="17"/>
        <v>89.992936</v>
      </c>
      <c r="C48" s="160">
        <f t="shared" ref="C48:H48" si="30">$I$48*C25</f>
        <v>44.996468</v>
      </c>
      <c r="D48" s="160">
        <f t="shared" si="30"/>
        <v>4.4996467999999998</v>
      </c>
      <c r="E48" s="161">
        <f t="shared" si="30"/>
        <v>74.244172200000008</v>
      </c>
      <c r="F48" s="175">
        <f t="shared" si="30"/>
        <v>11.249117</v>
      </c>
      <c r="G48" s="160">
        <f t="shared" si="30"/>
        <v>0</v>
      </c>
      <c r="H48" s="161">
        <f t="shared" si="30"/>
        <v>0</v>
      </c>
      <c r="I48" s="163">
        <f>'timbulan sampah'!E24</f>
        <v>224.98233999999999</v>
      </c>
      <c r="J48" s="164">
        <f t="shared" si="11"/>
        <v>224.98234000000002</v>
      </c>
    </row>
    <row r="50" spans="2:6" x14ac:dyDescent="0.25">
      <c r="B50" s="178">
        <f>B29*1000</f>
        <v>45078.167529999992</v>
      </c>
    </row>
    <row r="51" spans="2:6" x14ac:dyDescent="0.25">
      <c r="B51" s="178">
        <f t="shared" ref="B51:B69" si="31">B30*1000</f>
        <v>46279.436038</v>
      </c>
      <c r="E51" s="155">
        <v>2017</v>
      </c>
      <c r="F51" s="176">
        <f>F35*1000</f>
        <v>3314.806</v>
      </c>
    </row>
    <row r="52" spans="2:6" x14ac:dyDescent="0.25">
      <c r="B52" s="178">
        <f t="shared" si="31"/>
        <v>47506.296002000003</v>
      </c>
      <c r="E52" s="155">
        <v>2018</v>
      </c>
      <c r="F52" s="176">
        <f t="shared" ref="F52:F64" si="32">F36*1000</f>
        <v>3654.5817747999999</v>
      </c>
    </row>
    <row r="53" spans="2:6" x14ac:dyDescent="0.25">
      <c r="B53" s="178">
        <f t="shared" si="31"/>
        <v>48709.928937999997</v>
      </c>
      <c r="E53" s="155">
        <v>2019</v>
      </c>
      <c r="F53" s="176">
        <f t="shared" si="32"/>
        <v>4026.3002115467998</v>
      </c>
    </row>
    <row r="54" spans="2:6" x14ac:dyDescent="0.25">
      <c r="B54" s="178">
        <f t="shared" si="31"/>
        <v>49916.482638000001</v>
      </c>
      <c r="E54" s="155">
        <v>2020</v>
      </c>
      <c r="F54" s="176">
        <f t="shared" si="32"/>
        <v>4432.8142737807229</v>
      </c>
    </row>
    <row r="55" spans="2:6" x14ac:dyDescent="0.25">
      <c r="B55" s="178">
        <f t="shared" si="31"/>
        <v>51114.482671999998</v>
      </c>
      <c r="E55" s="155">
        <v>2021</v>
      </c>
      <c r="F55" s="176">
        <f t="shared" si="32"/>
        <v>4877.2232352734654</v>
      </c>
    </row>
    <row r="56" spans="2:6" x14ac:dyDescent="0.25">
      <c r="B56" s="178">
        <f t="shared" si="31"/>
        <v>50411.660805164996</v>
      </c>
      <c r="E56" s="155">
        <v>2022</v>
      </c>
      <c r="F56" s="176">
        <f t="shared" si="32"/>
        <v>5362.8934378791728</v>
      </c>
    </row>
    <row r="57" spans="2:6" x14ac:dyDescent="0.25">
      <c r="B57" s="178">
        <f t="shared" si="31"/>
        <v>52956.804744850153</v>
      </c>
      <c r="E57" s="155">
        <v>2023</v>
      </c>
      <c r="F57" s="176">
        <f t="shared" si="32"/>
        <v>5893.4807674445392</v>
      </c>
    </row>
    <row r="58" spans="2:6" x14ac:dyDescent="0.25">
      <c r="B58" s="178">
        <f t="shared" si="31"/>
        <v>55582.2012929872</v>
      </c>
      <c r="E58" s="155">
        <v>2024</v>
      </c>
      <c r="F58" s="176">
        <f t="shared" si="32"/>
        <v>6472.9549879959932</v>
      </c>
    </row>
    <row r="59" spans="2:6" x14ac:dyDescent="0.25">
      <c r="B59" s="178">
        <f t="shared" si="31"/>
        <v>58288.843525781798</v>
      </c>
      <c r="E59" s="155">
        <v>2025</v>
      </c>
      <c r="F59" s="176">
        <f t="shared" si="32"/>
        <v>7105.6260857382458</v>
      </c>
    </row>
    <row r="60" spans="2:6" x14ac:dyDescent="0.25">
      <c r="B60" s="178">
        <f t="shared" si="31"/>
        <v>61077.601402260698</v>
      </c>
      <c r="E60" s="155">
        <v>2026</v>
      </c>
      <c r="F60" s="176">
        <f t="shared" si="32"/>
        <v>7796.1727866198362</v>
      </c>
    </row>
    <row r="61" spans="2:6" x14ac:dyDescent="0.25">
      <c r="B61" s="178">
        <f t="shared" si="31"/>
        <v>63949.204788379029</v>
      </c>
      <c r="E61" s="155">
        <v>2027</v>
      </c>
      <c r="F61" s="176">
        <f t="shared" si="32"/>
        <v>8549.6734244192412</v>
      </c>
    </row>
    <row r="62" spans="2:6" x14ac:dyDescent="0.25">
      <c r="B62" s="178">
        <f t="shared" si="31"/>
        <v>66904.224875842061</v>
      </c>
      <c r="E62" s="155">
        <v>2028</v>
      </c>
      <c r="F62" s="176">
        <f t="shared" si="32"/>
        <v>9371.6393505574597</v>
      </c>
    </row>
    <row r="63" spans="2:6" x14ac:dyDescent="0.25">
      <c r="B63" s="178">
        <f t="shared" si="31"/>
        <v>69943.053858715852</v>
      </c>
      <c r="E63" s="155">
        <v>2029</v>
      </c>
      <c r="F63" s="176">
        <f t="shared" si="32"/>
        <v>10268.05109223313</v>
      </c>
    </row>
    <row r="64" spans="2:6" x14ac:dyDescent="0.25">
      <c r="B64" s="178">
        <f t="shared" si="31"/>
        <v>73065.882719678964</v>
      </c>
      <c r="E64" s="155">
        <v>2030</v>
      </c>
      <c r="F64" s="176">
        <f t="shared" si="32"/>
        <v>11249.117</v>
      </c>
    </row>
    <row r="65" spans="2:6" x14ac:dyDescent="0.25">
      <c r="B65" s="178">
        <f t="shared" si="31"/>
        <v>76272.676965644147</v>
      </c>
      <c r="F65" s="177">
        <f>SUM(F51:F64)</f>
        <v>92375.334428288596</v>
      </c>
    </row>
    <row r="66" spans="2:6" x14ac:dyDescent="0.25">
      <c r="B66" s="178">
        <f t="shared" si="31"/>
        <v>79563.150139379984</v>
      </c>
      <c r="F66" s="177">
        <f>F65/14</f>
        <v>6598.2381734491855</v>
      </c>
    </row>
    <row r="67" spans="2:6" x14ac:dyDescent="0.25">
      <c r="B67" s="178">
        <f t="shared" si="31"/>
        <v>82936.734919613882</v>
      </c>
      <c r="F67" s="177"/>
    </row>
    <row r="68" spans="2:6" x14ac:dyDescent="0.25">
      <c r="B68" s="178">
        <f t="shared" si="31"/>
        <v>86392.551606812951</v>
      </c>
    </row>
    <row r="69" spans="2:6" x14ac:dyDescent="0.25">
      <c r="B69" s="178">
        <f t="shared" si="31"/>
        <v>89992.936000000002</v>
      </c>
    </row>
    <row r="70" spans="2:6" x14ac:dyDescent="0.25">
      <c r="B70" s="179">
        <f>SUM(B50:B69)</f>
        <v>1255942.3214631118</v>
      </c>
    </row>
    <row r="71" spans="2:6" x14ac:dyDescent="0.25">
      <c r="B71" s="179">
        <f>B70/20</f>
        <v>62797.116073155586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C8" zoomScale="85" zoomScaleNormal="85" workbookViewId="0">
      <selection activeCell="M76" sqref="M76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9" width="9.425781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152</v>
      </c>
    </row>
    <row r="6" spans="1:24" ht="35.25" customHeight="1" x14ac:dyDescent="0.25">
      <c r="A6" s="201" t="s">
        <v>11</v>
      </c>
      <c r="B6" s="207" t="s">
        <v>118</v>
      </c>
      <c r="C6" s="207"/>
      <c r="D6" s="207"/>
      <c r="E6" s="106" t="s">
        <v>114</v>
      </c>
      <c r="F6" s="201" t="s">
        <v>11</v>
      </c>
      <c r="G6" s="207" t="s">
        <v>111</v>
      </c>
      <c r="H6" s="207"/>
      <c r="I6" s="207"/>
      <c r="J6" s="96" t="s">
        <v>115</v>
      </c>
      <c r="K6" s="201" t="s">
        <v>11</v>
      </c>
      <c r="L6" s="207" t="s">
        <v>112</v>
      </c>
      <c r="M6" s="207"/>
      <c r="N6" s="207"/>
      <c r="O6" s="96" t="s">
        <v>115</v>
      </c>
      <c r="P6" s="201" t="s">
        <v>11</v>
      </c>
      <c r="Q6" s="207" t="s">
        <v>113</v>
      </c>
      <c r="R6" s="207"/>
      <c r="S6" s="207"/>
      <c r="X6" s="97"/>
    </row>
    <row r="7" spans="1:24" ht="18" x14ac:dyDescent="0.25">
      <c r="A7" s="201"/>
      <c r="B7" s="201" t="s">
        <v>128</v>
      </c>
      <c r="C7" s="201"/>
      <c r="D7" s="207" t="s">
        <v>129</v>
      </c>
      <c r="E7" s="107"/>
      <c r="F7" s="201"/>
      <c r="G7" s="201" t="s">
        <v>128</v>
      </c>
      <c r="H7" s="201"/>
      <c r="I7" s="207" t="s">
        <v>129</v>
      </c>
      <c r="K7" s="201"/>
      <c r="L7" s="201" t="s">
        <v>128</v>
      </c>
      <c r="M7" s="201"/>
      <c r="N7" s="207" t="s">
        <v>129</v>
      </c>
      <c r="P7" s="201"/>
      <c r="Q7" s="201" t="s">
        <v>128</v>
      </c>
      <c r="R7" s="201"/>
      <c r="S7" s="207" t="s">
        <v>129</v>
      </c>
      <c r="X7" s="97"/>
    </row>
    <row r="8" spans="1:24" ht="18" x14ac:dyDescent="0.25">
      <c r="A8" s="201"/>
      <c r="B8" s="108" t="s">
        <v>130</v>
      </c>
      <c r="C8" s="108" t="s">
        <v>131</v>
      </c>
      <c r="D8" s="207"/>
      <c r="E8" s="109"/>
      <c r="F8" s="201"/>
      <c r="G8" s="108" t="s">
        <v>130</v>
      </c>
      <c r="H8" s="108" t="s">
        <v>131</v>
      </c>
      <c r="I8" s="207"/>
      <c r="K8" s="201"/>
      <c r="L8" s="108" t="s">
        <v>130</v>
      </c>
      <c r="M8" s="108" t="s">
        <v>131</v>
      </c>
      <c r="N8" s="207"/>
      <c r="P8" s="201"/>
      <c r="Q8" s="108" t="s">
        <v>130</v>
      </c>
      <c r="R8" s="108" t="s">
        <v>131</v>
      </c>
      <c r="S8" s="207"/>
    </row>
    <row r="9" spans="1:24" x14ac:dyDescent="0.25">
      <c r="A9" s="89">
        <v>2011</v>
      </c>
      <c r="B9" s="168">
        <f>[2]Results!O28</f>
        <v>1.7866822594584642</v>
      </c>
      <c r="C9" s="135">
        <f>B9*21</f>
        <v>37.520327448627746</v>
      </c>
      <c r="D9" s="169">
        <f t="shared" ref="D9:D14" si="0">E9+C9</f>
        <v>37.520327448627746</v>
      </c>
      <c r="E9" s="112"/>
      <c r="F9" s="89">
        <v>2011</v>
      </c>
      <c r="G9" s="168">
        <f>[3]Results!O28</f>
        <v>0</v>
      </c>
      <c r="H9" s="135">
        <f>G9*21</f>
        <v>0</v>
      </c>
      <c r="I9" s="169">
        <f t="shared" ref="I9:I14" si="1">J9+H9</f>
        <v>0</v>
      </c>
      <c r="K9" s="89">
        <v>2011</v>
      </c>
      <c r="L9" s="170">
        <f>[4]Results!O28</f>
        <v>1.2670126392920262</v>
      </c>
      <c r="M9" s="135">
        <f>L9*21</f>
        <v>26.60726542513255</v>
      </c>
      <c r="N9" s="169">
        <f>O9+M9</f>
        <v>26.60726542513255</v>
      </c>
      <c r="P9" s="89">
        <v>2011</v>
      </c>
      <c r="Q9" s="170">
        <f>[5]Results!O28</f>
        <v>0</v>
      </c>
      <c r="R9" s="135">
        <f>Q9*21</f>
        <v>0</v>
      </c>
      <c r="S9" s="169">
        <f>T9+R9</f>
        <v>0</v>
      </c>
    </row>
    <row r="10" spans="1:24" x14ac:dyDescent="0.25">
      <c r="A10" s="89">
        <v>2012</v>
      </c>
      <c r="B10" s="168">
        <f>[2]Results!O29</f>
        <v>1.904468740363118</v>
      </c>
      <c r="C10" s="135">
        <f t="shared" ref="C10:C14" si="2">B10*21</f>
        <v>39.993843547625474</v>
      </c>
      <c r="D10" s="169">
        <f t="shared" si="0"/>
        <v>39.993843547625474</v>
      </c>
      <c r="E10" s="112"/>
      <c r="F10" s="89">
        <v>2012</v>
      </c>
      <c r="G10" s="168">
        <f>[3]Results!O29</f>
        <v>0</v>
      </c>
      <c r="H10" s="135">
        <f t="shared" ref="H10:H14" si="3">G10*21</f>
        <v>0</v>
      </c>
      <c r="I10" s="169">
        <f t="shared" si="1"/>
        <v>0</v>
      </c>
      <c r="K10" s="89">
        <v>2012</v>
      </c>
      <c r="L10" s="170">
        <f>[4]Results!O29</f>
        <v>1.3505400596007484</v>
      </c>
      <c r="M10" s="135">
        <f t="shared" ref="M10:M14" si="4">L10*21</f>
        <v>28.361341251615716</v>
      </c>
      <c r="N10" s="169">
        <f t="shared" ref="N10:N14" si="5">O10+M10</f>
        <v>28.361341251615716</v>
      </c>
      <c r="P10" s="89">
        <v>2012</v>
      </c>
      <c r="Q10" s="170">
        <f>[5]Results!O29</f>
        <v>0</v>
      </c>
      <c r="R10" s="135">
        <f t="shared" ref="R10:R14" si="6">Q10*21</f>
        <v>0</v>
      </c>
      <c r="S10" s="169">
        <f t="shared" ref="S10:S14" si="7">T10+R10</f>
        <v>0</v>
      </c>
    </row>
    <row r="11" spans="1:24" x14ac:dyDescent="0.25">
      <c r="A11" s="89">
        <v>2013</v>
      </c>
      <c r="B11" s="168">
        <f>[2]Results!O30</f>
        <v>2.0083609358405159</v>
      </c>
      <c r="C11" s="135">
        <f t="shared" si="2"/>
        <v>42.175579652650832</v>
      </c>
      <c r="D11" s="169">
        <f t="shared" si="0"/>
        <v>42.175579652650832</v>
      </c>
      <c r="E11" s="112"/>
      <c r="F11" s="89">
        <v>2013</v>
      </c>
      <c r="G11" s="168">
        <f>[3]Results!O30</f>
        <v>0</v>
      </c>
      <c r="H11" s="135">
        <f t="shared" si="3"/>
        <v>0</v>
      </c>
      <c r="I11" s="169">
        <f t="shared" si="1"/>
        <v>0</v>
      </c>
      <c r="K11" s="89">
        <v>2013</v>
      </c>
      <c r="L11" s="170">
        <f>[4]Results!O30</f>
        <v>1.424214449155363</v>
      </c>
      <c r="M11" s="135">
        <f t="shared" si="4"/>
        <v>29.908503432262624</v>
      </c>
      <c r="N11" s="169">
        <f t="shared" si="5"/>
        <v>29.908503432262624</v>
      </c>
      <c r="P11" s="89">
        <v>2013</v>
      </c>
      <c r="Q11" s="170">
        <f>[5]Results!O30</f>
        <v>0</v>
      </c>
      <c r="R11" s="135">
        <f t="shared" si="6"/>
        <v>0</v>
      </c>
      <c r="S11" s="169">
        <f t="shared" si="7"/>
        <v>0</v>
      </c>
    </row>
    <row r="12" spans="1:24" x14ac:dyDescent="0.25">
      <c r="A12" s="89">
        <v>2014</v>
      </c>
      <c r="B12" s="168">
        <f>[2]Results!O31</f>
        <v>2.1028650478718274</v>
      </c>
      <c r="C12" s="135">
        <f t="shared" si="2"/>
        <v>44.160166005308376</v>
      </c>
      <c r="D12" s="169">
        <f t="shared" si="0"/>
        <v>44.160166005308376</v>
      </c>
      <c r="E12" s="112"/>
      <c r="F12" s="89">
        <v>2014</v>
      </c>
      <c r="G12" s="168">
        <f>[3]Results!O31</f>
        <v>0</v>
      </c>
      <c r="H12" s="135">
        <f t="shared" si="3"/>
        <v>0</v>
      </c>
      <c r="I12" s="169">
        <f t="shared" si="1"/>
        <v>0</v>
      </c>
      <c r="K12" s="89">
        <v>2014</v>
      </c>
      <c r="L12" s="170">
        <f>[4]Results!O31</f>
        <v>1.4912313480890507</v>
      </c>
      <c r="M12" s="135">
        <f t="shared" si="4"/>
        <v>31.315858309870062</v>
      </c>
      <c r="N12" s="169">
        <f t="shared" si="5"/>
        <v>31.315858309870062</v>
      </c>
      <c r="P12" s="89">
        <v>2014</v>
      </c>
      <c r="Q12" s="170">
        <f>[5]Results!O31</f>
        <v>0</v>
      </c>
      <c r="R12" s="135">
        <f t="shared" si="6"/>
        <v>0</v>
      </c>
      <c r="S12" s="169">
        <f t="shared" si="7"/>
        <v>0</v>
      </c>
    </row>
    <row r="13" spans="1:24" x14ac:dyDescent="0.25">
      <c r="A13" s="89">
        <v>2015</v>
      </c>
      <c r="B13" s="168">
        <f>[2]Results!O32</f>
        <v>2.1904257559341183</v>
      </c>
      <c r="C13" s="135">
        <f t="shared" si="2"/>
        <v>45.99894087461648</v>
      </c>
      <c r="D13" s="169">
        <f t="shared" si="0"/>
        <v>45.99894087461648</v>
      </c>
      <c r="E13" s="112"/>
      <c r="F13" s="89">
        <v>2015</v>
      </c>
      <c r="G13" s="168">
        <f>[3]Results!O32</f>
        <v>0</v>
      </c>
      <c r="H13" s="135">
        <f t="shared" si="3"/>
        <v>0</v>
      </c>
      <c r="I13" s="169">
        <f t="shared" si="1"/>
        <v>0</v>
      </c>
      <c r="K13" s="89">
        <v>2015</v>
      </c>
      <c r="L13" s="170">
        <f>[4]Results!O32</f>
        <v>1.5533243829490417</v>
      </c>
      <c r="M13" s="135">
        <f t="shared" si="4"/>
        <v>32.619812041929876</v>
      </c>
      <c r="N13" s="169">
        <f t="shared" si="5"/>
        <v>32.619812041929876</v>
      </c>
      <c r="P13" s="89">
        <v>2015</v>
      </c>
      <c r="Q13" s="170">
        <f>[5]Results!O32</f>
        <v>0</v>
      </c>
      <c r="R13" s="135">
        <f t="shared" si="6"/>
        <v>0</v>
      </c>
      <c r="S13" s="169">
        <f t="shared" si="7"/>
        <v>0</v>
      </c>
    </row>
    <row r="14" spans="1:24" x14ac:dyDescent="0.25">
      <c r="A14" s="89">
        <v>2016</v>
      </c>
      <c r="B14" s="168">
        <f>[2]Results!O33</f>
        <v>2.2730610236673918</v>
      </c>
      <c r="C14" s="135">
        <f t="shared" si="2"/>
        <v>47.734281497015232</v>
      </c>
      <c r="D14" s="169">
        <f t="shared" si="0"/>
        <v>47.734281497015232</v>
      </c>
      <c r="E14" s="112"/>
      <c r="F14" s="89">
        <v>2016</v>
      </c>
      <c r="G14" s="168">
        <f>[3]Results!O33</f>
        <v>0</v>
      </c>
      <c r="H14" s="135">
        <f t="shared" si="3"/>
        <v>0</v>
      </c>
      <c r="I14" s="169">
        <f t="shared" si="1"/>
        <v>0</v>
      </c>
      <c r="K14" s="89">
        <v>2016</v>
      </c>
      <c r="L14" s="170">
        <f>[4]Results!O33</f>
        <v>1.6119245778718208</v>
      </c>
      <c r="M14" s="135">
        <f t="shared" si="4"/>
        <v>33.850416135308237</v>
      </c>
      <c r="N14" s="169">
        <f t="shared" si="5"/>
        <v>33.850416135308237</v>
      </c>
      <c r="P14" s="89">
        <v>2016</v>
      </c>
      <c r="Q14" s="170">
        <f>[5]Results!O33</f>
        <v>0</v>
      </c>
      <c r="R14" s="135">
        <f t="shared" si="6"/>
        <v>0</v>
      </c>
      <c r="S14" s="169">
        <f t="shared" si="7"/>
        <v>0</v>
      </c>
    </row>
    <row r="15" spans="1:24" x14ac:dyDescent="0.25">
      <c r="A15" s="89">
        <v>2017</v>
      </c>
      <c r="B15" s="168">
        <f>[2]Results!O34</f>
        <v>2.3520142050630355</v>
      </c>
      <c r="C15" s="135">
        <f t="shared" ref="C15:C29" si="8">B15*21</f>
        <v>49.392298306323745</v>
      </c>
      <c r="D15" s="169">
        <f t="shared" ref="D15:D29" si="9">E15+C15</f>
        <v>49.392298306323745</v>
      </c>
      <c r="E15" s="112"/>
      <c r="F15" s="89">
        <v>2017</v>
      </c>
      <c r="G15" s="168">
        <f>[3]Results!O34</f>
        <v>0</v>
      </c>
      <c r="H15" s="135">
        <f t="shared" ref="H15:H29" si="10">G15*21</f>
        <v>0</v>
      </c>
      <c r="I15" s="169">
        <f t="shared" ref="I15:I29" si="11">J15+H15</f>
        <v>0</v>
      </c>
      <c r="K15" s="89">
        <v>2017</v>
      </c>
      <c r="L15" s="170">
        <f>[4]Results!O34</f>
        <v>1.6679136482345147</v>
      </c>
      <c r="M15" s="135">
        <f t="shared" ref="M15:M29" si="12">L15*21</f>
        <v>35.026186612924811</v>
      </c>
      <c r="N15" s="169">
        <f t="shared" ref="N15:N29" si="13">O15+M15</f>
        <v>35.026186612924811</v>
      </c>
      <c r="P15" s="89">
        <v>2017</v>
      </c>
      <c r="Q15" s="170">
        <f>[5]Results!O34</f>
        <v>0</v>
      </c>
      <c r="R15" s="135">
        <f t="shared" ref="R15:R29" si="14">Q15*21</f>
        <v>0</v>
      </c>
      <c r="S15" s="169">
        <f t="shared" ref="S15:S29" si="15">T15+R15</f>
        <v>0</v>
      </c>
    </row>
    <row r="16" spans="1:24" x14ac:dyDescent="0.25">
      <c r="A16" s="89">
        <v>2018</v>
      </c>
      <c r="B16" s="168">
        <f>[2]Results!O35</f>
        <v>2.4031932531259685</v>
      </c>
      <c r="C16" s="135">
        <f t="shared" si="8"/>
        <v>50.467058315645339</v>
      </c>
      <c r="D16" s="169">
        <f t="shared" si="9"/>
        <v>50.467058315645339</v>
      </c>
      <c r="E16" s="112"/>
      <c r="F16" s="89">
        <v>2018</v>
      </c>
      <c r="G16" s="168">
        <f>[3]Results!O35</f>
        <v>0</v>
      </c>
      <c r="H16" s="135">
        <f t="shared" si="10"/>
        <v>0</v>
      </c>
      <c r="I16" s="169">
        <f t="shared" si="11"/>
        <v>0</v>
      </c>
      <c r="K16" s="89">
        <v>2018</v>
      </c>
      <c r="L16" s="170">
        <f>[4]Results!O35</f>
        <v>1.7110524331328392</v>
      </c>
      <c r="M16" s="135">
        <f t="shared" si="12"/>
        <v>35.932101095789619</v>
      </c>
      <c r="N16" s="169">
        <f t="shared" si="13"/>
        <v>35.932101095789619</v>
      </c>
      <c r="P16" s="89">
        <v>2018</v>
      </c>
      <c r="Q16" s="170">
        <f>[5]Results!O35</f>
        <v>2.6230077780148638E-2</v>
      </c>
      <c r="R16" s="135">
        <f t="shared" si="14"/>
        <v>0.55083163338312136</v>
      </c>
      <c r="S16" s="169">
        <f t="shared" si="15"/>
        <v>0.55083163338312136</v>
      </c>
    </row>
    <row r="17" spans="1:19" x14ac:dyDescent="0.25">
      <c r="A17" s="89">
        <v>2019</v>
      </c>
      <c r="B17" s="168">
        <f>[2]Results!O36</f>
        <v>2.4774514324383117</v>
      </c>
      <c r="C17" s="135">
        <f t="shared" si="8"/>
        <v>52.026480081204546</v>
      </c>
      <c r="D17" s="169">
        <f t="shared" si="9"/>
        <v>52.026480081204546</v>
      </c>
      <c r="E17" s="112"/>
      <c r="F17" s="89">
        <v>2019</v>
      </c>
      <c r="G17" s="168">
        <f>[3]Results!O36</f>
        <v>0</v>
      </c>
      <c r="H17" s="135">
        <f t="shared" si="10"/>
        <v>0</v>
      </c>
      <c r="I17" s="169">
        <f t="shared" si="11"/>
        <v>0</v>
      </c>
      <c r="K17" s="89">
        <v>2019</v>
      </c>
      <c r="L17" s="170">
        <f>[4]Results!O36</f>
        <v>1.7462064213094162</v>
      </c>
      <c r="M17" s="135">
        <f t="shared" si="12"/>
        <v>36.670334847497742</v>
      </c>
      <c r="N17" s="169">
        <f t="shared" si="13"/>
        <v>36.670334847497742</v>
      </c>
      <c r="P17" s="89">
        <v>2019</v>
      </c>
      <c r="Q17" s="170">
        <f>[5]Results!O36</f>
        <v>4.7475938410272762E-2</v>
      </c>
      <c r="R17" s="135">
        <f t="shared" si="14"/>
        <v>0.99699470661572798</v>
      </c>
      <c r="S17" s="169">
        <f t="shared" si="15"/>
        <v>0.99699470661572798</v>
      </c>
    </row>
    <row r="18" spans="1:19" x14ac:dyDescent="0.25">
      <c r="A18" s="89">
        <v>2020</v>
      </c>
      <c r="B18" s="168">
        <f>[2]Results!O37</f>
        <v>2.5688323003845728</v>
      </c>
      <c r="C18" s="135">
        <f t="shared" si="8"/>
        <v>53.945478308076027</v>
      </c>
      <c r="D18" s="169">
        <f t="shared" si="9"/>
        <v>53.945478308076027</v>
      </c>
      <c r="E18" s="112"/>
      <c r="F18" s="89">
        <v>2020</v>
      </c>
      <c r="G18" s="168">
        <f>[3]Results!O37</f>
        <v>0</v>
      </c>
      <c r="H18" s="135">
        <f t="shared" si="10"/>
        <v>0</v>
      </c>
      <c r="I18" s="169">
        <f t="shared" si="11"/>
        <v>0</v>
      </c>
      <c r="K18" s="89">
        <v>2020</v>
      </c>
      <c r="L18" s="170">
        <f>[4]Results!O37</f>
        <v>1.7752272100866031</v>
      </c>
      <c r="M18" s="135">
        <f t="shared" si="12"/>
        <v>37.279771411818665</v>
      </c>
      <c r="N18" s="169">
        <f t="shared" si="13"/>
        <v>37.279771411818665</v>
      </c>
      <c r="P18" s="89">
        <v>2020</v>
      </c>
      <c r="Q18" s="170">
        <f>[5]Results!O37</f>
        <v>6.5613263678815176E-2</v>
      </c>
      <c r="R18" s="135">
        <f t="shared" si="14"/>
        <v>1.3778785372551188</v>
      </c>
      <c r="S18" s="169">
        <f t="shared" si="15"/>
        <v>1.3778785372551188</v>
      </c>
    </row>
    <row r="19" spans="1:19" x14ac:dyDescent="0.25">
      <c r="A19" s="89">
        <v>2021</v>
      </c>
      <c r="B19" s="168">
        <f>[2]Results!O38</f>
        <v>2.5511653883864356</v>
      </c>
      <c r="C19" s="135">
        <f t="shared" si="8"/>
        <v>53.574473156115147</v>
      </c>
      <c r="D19" s="169">
        <f t="shared" si="9"/>
        <v>53.574473156115147</v>
      </c>
      <c r="E19" s="112"/>
      <c r="F19" s="89">
        <v>2021</v>
      </c>
      <c r="G19" s="168">
        <f>[3]Results!O38</f>
        <v>0</v>
      </c>
      <c r="H19" s="135">
        <f t="shared" si="10"/>
        <v>0</v>
      </c>
      <c r="I19" s="169">
        <f t="shared" si="11"/>
        <v>0</v>
      </c>
      <c r="K19" s="89">
        <v>2021</v>
      </c>
      <c r="L19" s="170">
        <f>[4]Results!O38</f>
        <v>1.7994122616408652</v>
      </c>
      <c r="M19" s="135">
        <f t="shared" si="12"/>
        <v>37.787657494458166</v>
      </c>
      <c r="N19" s="169">
        <f t="shared" si="13"/>
        <v>37.787657494458166</v>
      </c>
      <c r="P19" s="89">
        <v>2021</v>
      </c>
      <c r="Q19" s="170">
        <f>[5]Results!O38</f>
        <v>8.1935621842973191E-2</v>
      </c>
      <c r="R19" s="135">
        <f t="shared" si="14"/>
        <v>1.7206480587024371</v>
      </c>
      <c r="S19" s="169">
        <f t="shared" si="15"/>
        <v>1.7206480587024371</v>
      </c>
    </row>
    <row r="20" spans="1:19" x14ac:dyDescent="0.25">
      <c r="A20" s="89">
        <v>2022</v>
      </c>
      <c r="B20" s="168">
        <f>[2]Results!O39</f>
        <v>2.6603083643479448</v>
      </c>
      <c r="C20" s="135">
        <f t="shared" si="8"/>
        <v>55.866475651306843</v>
      </c>
      <c r="D20" s="169">
        <f t="shared" si="9"/>
        <v>55.866475651306843</v>
      </c>
      <c r="E20" s="112"/>
      <c r="F20" s="89">
        <v>2022</v>
      </c>
      <c r="G20" s="168">
        <f>[3]Results!O39</f>
        <v>0</v>
      </c>
      <c r="H20" s="135">
        <f t="shared" si="10"/>
        <v>0</v>
      </c>
      <c r="I20" s="169">
        <f t="shared" si="11"/>
        <v>0</v>
      </c>
      <c r="K20" s="89">
        <v>2022</v>
      </c>
      <c r="L20" s="170">
        <f>[4]Results!O39</f>
        <v>1.8196818416721461</v>
      </c>
      <c r="M20" s="135">
        <f t="shared" si="12"/>
        <v>38.213318675115069</v>
      </c>
      <c r="N20" s="169">
        <f t="shared" si="13"/>
        <v>38.213318675115069</v>
      </c>
      <c r="P20" s="89">
        <v>2022</v>
      </c>
      <c r="Q20" s="170">
        <f>[5]Results!O39</f>
        <v>9.734726143155302E-2</v>
      </c>
      <c r="R20" s="135">
        <f t="shared" si="14"/>
        <v>2.0442924900626136</v>
      </c>
      <c r="S20" s="169">
        <f t="shared" si="15"/>
        <v>2.0442924900626136</v>
      </c>
    </row>
    <row r="21" spans="1:19" x14ac:dyDescent="0.25">
      <c r="A21" s="89">
        <v>2023</v>
      </c>
      <c r="B21" s="168">
        <f>[2]Results!O40</f>
        <v>2.7778514177032383</v>
      </c>
      <c r="C21" s="135">
        <f t="shared" si="8"/>
        <v>58.334879771768001</v>
      </c>
      <c r="D21" s="169">
        <f t="shared" si="9"/>
        <v>58.334879771768001</v>
      </c>
      <c r="E21" s="112"/>
      <c r="F21" s="89">
        <v>2023</v>
      </c>
      <c r="G21" s="168">
        <f>[3]Results!O40</f>
        <v>0</v>
      </c>
      <c r="H21" s="135">
        <f t="shared" si="10"/>
        <v>0</v>
      </c>
      <c r="I21" s="169">
        <f t="shared" si="11"/>
        <v>0</v>
      </c>
      <c r="K21" s="89">
        <v>2023</v>
      </c>
      <c r="L21" s="170">
        <f>[4]Results!O40</f>
        <v>1.8366984133963979</v>
      </c>
      <c r="M21" s="135">
        <f t="shared" si="12"/>
        <v>38.570666681324354</v>
      </c>
      <c r="N21" s="169">
        <f t="shared" si="13"/>
        <v>38.570666681324354</v>
      </c>
      <c r="P21" s="89">
        <v>2023</v>
      </c>
      <c r="Q21" s="170">
        <f>[5]Results!O40</f>
        <v>0.11249276006319235</v>
      </c>
      <c r="R21" s="135">
        <f t="shared" si="14"/>
        <v>2.3623479613270395</v>
      </c>
      <c r="S21" s="169">
        <f t="shared" si="15"/>
        <v>2.3623479613270395</v>
      </c>
    </row>
    <row r="22" spans="1:19" x14ac:dyDescent="0.25">
      <c r="A22" s="89">
        <v>2024</v>
      </c>
      <c r="B22" s="168">
        <f>[2]Results!O41</f>
        <v>2.9025538725109734</v>
      </c>
      <c r="C22" s="135">
        <f t="shared" si="8"/>
        <v>60.953631322730445</v>
      </c>
      <c r="D22" s="169">
        <f t="shared" si="9"/>
        <v>60.953631322730445</v>
      </c>
      <c r="E22" s="112"/>
      <c r="F22" s="89">
        <v>2024</v>
      </c>
      <c r="G22" s="168">
        <f>[3]Results!O41</f>
        <v>0</v>
      </c>
      <c r="H22" s="135">
        <f t="shared" si="10"/>
        <v>0</v>
      </c>
      <c r="I22" s="169">
        <f t="shared" si="11"/>
        <v>0</v>
      </c>
      <c r="K22" s="89">
        <v>2024</v>
      </c>
      <c r="L22" s="170">
        <f>[4]Results!O41</f>
        <v>1.8509473385904849</v>
      </c>
      <c r="M22" s="135">
        <f t="shared" si="12"/>
        <v>38.869894110400182</v>
      </c>
      <c r="N22" s="169">
        <f t="shared" si="13"/>
        <v>38.869894110400182</v>
      </c>
      <c r="P22" s="89">
        <v>2024</v>
      </c>
      <c r="Q22" s="170">
        <f>[5]Results!O41</f>
        <v>0.12784432796198023</v>
      </c>
      <c r="R22" s="135">
        <f t="shared" si="14"/>
        <v>2.6847308872015847</v>
      </c>
      <c r="S22" s="169">
        <f t="shared" si="15"/>
        <v>2.6847308872015847</v>
      </c>
    </row>
    <row r="23" spans="1:19" x14ac:dyDescent="0.25">
      <c r="A23" s="89">
        <v>2025</v>
      </c>
      <c r="B23" s="168">
        <f>[2]Results!O42</f>
        <v>3.0335728452545569</v>
      </c>
      <c r="C23" s="135">
        <f t="shared" si="8"/>
        <v>63.705029750345695</v>
      </c>
      <c r="D23" s="169">
        <f t="shared" si="9"/>
        <v>63.705029750345695</v>
      </c>
      <c r="E23" s="112"/>
      <c r="F23" s="89">
        <v>2025</v>
      </c>
      <c r="G23" s="168">
        <f>[3]Results!O42</f>
        <v>0</v>
      </c>
      <c r="H23" s="135">
        <f t="shared" si="10"/>
        <v>0</v>
      </c>
      <c r="I23" s="169">
        <f t="shared" si="11"/>
        <v>0</v>
      </c>
      <c r="K23" s="89">
        <v>2025</v>
      </c>
      <c r="L23" s="170">
        <f>[4]Results!O42</f>
        <v>1.8627915409566729</v>
      </c>
      <c r="M23" s="135">
        <f t="shared" si="12"/>
        <v>39.118622360090129</v>
      </c>
      <c r="N23" s="169">
        <f t="shared" si="13"/>
        <v>39.118622360090129</v>
      </c>
      <c r="P23" s="89">
        <v>2025</v>
      </c>
      <c r="Q23" s="170">
        <f>[5]Results!O42</f>
        <v>0.14376071525528197</v>
      </c>
      <c r="R23" s="135">
        <f t="shared" si="14"/>
        <v>3.0189750203609216</v>
      </c>
      <c r="S23" s="169">
        <f t="shared" si="15"/>
        <v>3.0189750203609216</v>
      </c>
    </row>
    <row r="24" spans="1:19" x14ac:dyDescent="0.25">
      <c r="A24" s="89">
        <v>2026</v>
      </c>
      <c r="B24" s="168">
        <f>[2]Results!O43</f>
        <v>3.1703325215466567</v>
      </c>
      <c r="C24" s="135">
        <f t="shared" si="8"/>
        <v>66.576982952479796</v>
      </c>
      <c r="D24" s="169">
        <f t="shared" si="9"/>
        <v>66.576982952479796</v>
      </c>
      <c r="E24" s="112"/>
      <c r="F24" s="89">
        <v>2026</v>
      </c>
      <c r="G24" s="168">
        <f>[3]Results!O43</f>
        <v>0</v>
      </c>
      <c r="H24" s="135">
        <f t="shared" si="10"/>
        <v>0</v>
      </c>
      <c r="I24" s="169">
        <f t="shared" si="11"/>
        <v>0</v>
      </c>
      <c r="K24" s="89">
        <v>2026</v>
      </c>
      <c r="L24" s="170">
        <f>[4]Results!O43</f>
        <v>1.8725086305616632</v>
      </c>
      <c r="M24" s="135">
        <f t="shared" si="12"/>
        <v>39.322681241794925</v>
      </c>
      <c r="N24" s="169">
        <f t="shared" si="13"/>
        <v>39.322681241794925</v>
      </c>
      <c r="P24" s="89">
        <v>2026</v>
      </c>
      <c r="Q24" s="170">
        <f>[5]Results!O43</f>
        <v>0.16052707932226856</v>
      </c>
      <c r="R24" s="135">
        <f t="shared" si="14"/>
        <v>3.3710686657676399</v>
      </c>
      <c r="S24" s="169">
        <f t="shared" si="15"/>
        <v>3.3710686657676399</v>
      </c>
    </row>
    <row r="25" spans="1:19" x14ac:dyDescent="0.25">
      <c r="A25" s="89">
        <v>2027</v>
      </c>
      <c r="B25" s="168">
        <f>[2]Results!O44</f>
        <v>3.3124356778407336</v>
      </c>
      <c r="C25" s="135">
        <f t="shared" si="8"/>
        <v>69.561149234655403</v>
      </c>
      <c r="D25" s="169">
        <f t="shared" si="9"/>
        <v>69.561149234655403</v>
      </c>
      <c r="E25" s="112"/>
      <c r="F25" s="89">
        <v>2027</v>
      </c>
      <c r="G25" s="168">
        <f>[3]Results!O44</f>
        <v>0</v>
      </c>
      <c r="H25" s="135">
        <f t="shared" si="10"/>
        <v>0</v>
      </c>
      <c r="I25" s="169">
        <f t="shared" si="11"/>
        <v>0</v>
      </c>
      <c r="K25" s="89">
        <v>2027</v>
      </c>
      <c r="L25" s="170">
        <f>[4]Results!O44</f>
        <v>1.8803161994652025</v>
      </c>
      <c r="M25" s="135">
        <f t="shared" si="12"/>
        <v>39.48664018876925</v>
      </c>
      <c r="N25" s="169">
        <f t="shared" si="13"/>
        <v>39.48664018876925</v>
      </c>
      <c r="P25" s="89">
        <v>2027</v>
      </c>
      <c r="Q25" s="170">
        <f>[5]Results!O44</f>
        <v>0.17838208921943338</v>
      </c>
      <c r="R25" s="135">
        <f t="shared" si="14"/>
        <v>3.7460238736081011</v>
      </c>
      <c r="S25" s="169">
        <f t="shared" si="15"/>
        <v>3.7460238736081011</v>
      </c>
    </row>
    <row r="26" spans="1:19" x14ac:dyDescent="0.25">
      <c r="A26" s="89">
        <v>2028</v>
      </c>
      <c r="B26" s="168">
        <f>[2]Results!O45</f>
        <v>3.4596035646129031</v>
      </c>
      <c r="C26" s="135">
        <f t="shared" si="8"/>
        <v>72.651674856870969</v>
      </c>
      <c r="D26" s="169">
        <f t="shared" si="9"/>
        <v>72.651674856870969</v>
      </c>
      <c r="E26" s="112"/>
      <c r="F26" s="89">
        <v>2028</v>
      </c>
      <c r="G26" s="168">
        <f>[3]Results!O45</f>
        <v>0</v>
      </c>
      <c r="H26" s="135">
        <f t="shared" si="10"/>
        <v>0</v>
      </c>
      <c r="I26" s="169">
        <f t="shared" si="11"/>
        <v>0</v>
      </c>
      <c r="K26" s="89">
        <v>2028</v>
      </c>
      <c r="L26" s="170">
        <f>[4]Results!O45</f>
        <v>1.8863891273079287</v>
      </c>
      <c r="M26" s="135">
        <f t="shared" si="12"/>
        <v>39.614171673466501</v>
      </c>
      <c r="N26" s="169">
        <f t="shared" si="13"/>
        <v>39.614171673466501</v>
      </c>
      <c r="P26" s="89">
        <v>2028</v>
      </c>
      <c r="Q26" s="170">
        <f>[5]Results!O45</f>
        <v>0.19753647966490301</v>
      </c>
      <c r="R26" s="135">
        <f t="shared" si="14"/>
        <v>4.1482660729629632</v>
      </c>
      <c r="S26" s="169">
        <f t="shared" si="15"/>
        <v>4.1482660729629632</v>
      </c>
    </row>
    <row r="27" spans="1:19" x14ac:dyDescent="0.25">
      <c r="A27" s="89">
        <v>2029</v>
      </c>
      <c r="B27" s="168">
        <f>[2]Results!O46</f>
        <v>3.6116348298693479</v>
      </c>
      <c r="C27" s="135">
        <f t="shared" si="8"/>
        <v>75.844331427256307</v>
      </c>
      <c r="D27" s="169">
        <f t="shared" si="9"/>
        <v>75.844331427256307</v>
      </c>
      <c r="E27" s="112"/>
      <c r="F27" s="89">
        <v>2029</v>
      </c>
      <c r="G27" s="168">
        <f>[3]Results!O46</f>
        <v>0</v>
      </c>
      <c r="H27" s="135">
        <f t="shared" si="10"/>
        <v>0</v>
      </c>
      <c r="I27" s="169">
        <f t="shared" si="11"/>
        <v>0</v>
      </c>
      <c r="K27" s="89">
        <v>2029</v>
      </c>
      <c r="L27" s="170">
        <f>[4]Results!O46</f>
        <v>1.8908714794861483</v>
      </c>
      <c r="M27" s="135">
        <f t="shared" si="12"/>
        <v>39.708301069209114</v>
      </c>
      <c r="N27" s="169">
        <f t="shared" si="13"/>
        <v>39.708301069209114</v>
      </c>
      <c r="P27" s="89">
        <v>2029</v>
      </c>
      <c r="Q27" s="170">
        <f>[5]Results!O46</f>
        <v>0.21818588279341553</v>
      </c>
      <c r="R27" s="135">
        <f t="shared" si="14"/>
        <v>4.5819035386617264</v>
      </c>
      <c r="S27" s="169">
        <f t="shared" si="15"/>
        <v>4.5819035386617264</v>
      </c>
    </row>
    <row r="28" spans="1:19" x14ac:dyDescent="0.25">
      <c r="A28" s="89">
        <v>2030</v>
      </c>
      <c r="B28" s="168">
        <f>[2]Results!O47</f>
        <v>3.7682500972837514</v>
      </c>
      <c r="C28" s="135">
        <f t="shared" si="8"/>
        <v>79.133252042958773</v>
      </c>
      <c r="D28" s="169">
        <f t="shared" si="9"/>
        <v>79.133252042958773</v>
      </c>
      <c r="E28" s="112"/>
      <c r="F28" s="89">
        <v>2030</v>
      </c>
      <c r="G28" s="168">
        <f>[3]Results!O47</f>
        <v>0</v>
      </c>
      <c r="H28" s="135">
        <f t="shared" si="10"/>
        <v>0</v>
      </c>
      <c r="I28" s="169">
        <f t="shared" si="11"/>
        <v>0</v>
      </c>
      <c r="K28" s="89">
        <v>2030</v>
      </c>
      <c r="L28" s="170">
        <f>[4]Results!O47</f>
        <v>1.8938847370546308</v>
      </c>
      <c r="M28" s="135">
        <f t="shared" si="12"/>
        <v>39.771579478147245</v>
      </c>
      <c r="N28" s="169">
        <f t="shared" si="13"/>
        <v>39.771579478147245</v>
      </c>
      <c r="P28" s="89">
        <v>2030</v>
      </c>
      <c r="Q28" s="170">
        <f>[5]Results!O47</f>
        <v>0.24051983771423774</v>
      </c>
      <c r="R28" s="135">
        <f t="shared" si="14"/>
        <v>5.0509165919989929</v>
      </c>
      <c r="S28" s="169">
        <f t="shared" si="15"/>
        <v>5.0509165919989929</v>
      </c>
    </row>
    <row r="29" spans="1:19" x14ac:dyDescent="0.25">
      <c r="A29" s="89">
        <v>2031</v>
      </c>
      <c r="B29" s="149"/>
      <c r="C29" s="110">
        <f t="shared" si="8"/>
        <v>0</v>
      </c>
      <c r="D29" s="111">
        <f t="shared" si="9"/>
        <v>0</v>
      </c>
      <c r="E29" s="112"/>
      <c r="F29" s="89">
        <v>2031</v>
      </c>
      <c r="G29" s="149"/>
      <c r="H29" s="110">
        <f t="shared" si="10"/>
        <v>0</v>
      </c>
      <c r="I29" s="111">
        <f t="shared" si="11"/>
        <v>0</v>
      </c>
      <c r="K29" s="89">
        <v>2031</v>
      </c>
      <c r="L29" s="148"/>
      <c r="M29" s="110">
        <f t="shared" si="12"/>
        <v>0</v>
      </c>
      <c r="N29" s="111">
        <f t="shared" si="13"/>
        <v>0</v>
      </c>
      <c r="P29" s="89">
        <v>2031</v>
      </c>
      <c r="Q29" s="148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126</v>
      </c>
    </row>
    <row r="32" spans="1:19" ht="15.75" thickBot="1" x14ac:dyDescent="0.3">
      <c r="A32" s="208" t="s">
        <v>11</v>
      </c>
      <c r="B32" s="210" t="s">
        <v>81</v>
      </c>
      <c r="C32" s="211"/>
      <c r="D32" s="211"/>
      <c r="E32" s="211"/>
      <c r="F32" s="212"/>
    </row>
    <row r="33" spans="1:6" ht="18.75" thickBot="1" x14ac:dyDescent="0.3">
      <c r="A33" s="209"/>
      <c r="B33" s="210" t="s">
        <v>128</v>
      </c>
      <c r="C33" s="212"/>
      <c r="D33" s="210" t="s">
        <v>132</v>
      </c>
      <c r="E33" s="212"/>
      <c r="F33" s="213" t="s">
        <v>129</v>
      </c>
    </row>
    <row r="34" spans="1:6" ht="18" x14ac:dyDescent="0.25">
      <c r="A34" s="209"/>
      <c r="B34" s="116" t="s">
        <v>130</v>
      </c>
      <c r="C34" s="116" t="s">
        <v>131</v>
      </c>
      <c r="D34" s="116" t="s">
        <v>133</v>
      </c>
      <c r="E34" s="116" t="s">
        <v>131</v>
      </c>
      <c r="F34" s="214"/>
    </row>
    <row r="35" spans="1:6" x14ac:dyDescent="0.25">
      <c r="A35" s="89">
        <v>2011</v>
      </c>
      <c r="B35" s="110">
        <f>[6]REKAPITULASI!B6</f>
        <v>7.7007941999999987E-3</v>
      </c>
      <c r="C35" s="110">
        <f>B35*21</f>
        <v>0.16171667819999996</v>
      </c>
      <c r="D35" s="110">
        <f>[6]REKAPITULASI!D6</f>
        <v>5.7755956499999997E-4</v>
      </c>
      <c r="E35" s="110">
        <f>D35*310</f>
        <v>0.17904346515</v>
      </c>
      <c r="F35" s="169">
        <f>E35+C35</f>
        <v>0.34076014334999993</v>
      </c>
    </row>
    <row r="36" spans="1:6" x14ac:dyDescent="0.25">
      <c r="A36" s="89">
        <v>2012</v>
      </c>
      <c r="B36" s="110">
        <f>[6]REKAPITULASI!B7</f>
        <v>7.9060093200000008E-3</v>
      </c>
      <c r="C36" s="110">
        <f t="shared" ref="C36:C45" si="16">B36*21</f>
        <v>0.16602619572000002</v>
      </c>
      <c r="D36" s="110">
        <f>[6]REKAPITULASI!D7</f>
        <v>5.9295069899999999E-4</v>
      </c>
      <c r="E36" s="110">
        <f t="shared" ref="E36:E45" si="17">D36*310</f>
        <v>0.18381471668999999</v>
      </c>
      <c r="F36" s="169">
        <f t="shared" ref="F36:F45" si="18">E36+C36</f>
        <v>0.34984091241000004</v>
      </c>
    </row>
    <row r="37" spans="1:6" x14ac:dyDescent="0.25">
      <c r="A37" s="89">
        <v>2013</v>
      </c>
      <c r="B37" s="110">
        <f>[6]REKAPITULASI!B8</f>
        <v>8.1155962799999998E-3</v>
      </c>
      <c r="C37" s="110">
        <f t="shared" si="16"/>
        <v>0.17042752187999999</v>
      </c>
      <c r="D37" s="110">
        <f>[6]REKAPITULASI!D8</f>
        <v>6.0866972099999999E-4</v>
      </c>
      <c r="E37" s="110">
        <f t="shared" si="17"/>
        <v>0.18868761350999999</v>
      </c>
      <c r="F37" s="169">
        <f t="shared" si="18"/>
        <v>0.35911513538999995</v>
      </c>
    </row>
    <row r="38" spans="1:6" x14ac:dyDescent="0.25">
      <c r="A38" s="89">
        <v>2014</v>
      </c>
      <c r="B38" s="110">
        <f>[6]REKAPITULASI!B9</f>
        <v>8.3212153199999986E-3</v>
      </c>
      <c r="C38" s="110">
        <f t="shared" si="16"/>
        <v>0.17474552171999996</v>
      </c>
      <c r="D38" s="110">
        <f>[6]REKAPITULASI!D9</f>
        <v>6.2409114899999985E-4</v>
      </c>
      <c r="E38" s="110">
        <f t="shared" si="17"/>
        <v>0.19346825618999997</v>
      </c>
      <c r="F38" s="169">
        <f t="shared" si="18"/>
        <v>0.36821377790999993</v>
      </c>
    </row>
    <row r="39" spans="1:6" x14ac:dyDescent="0.25">
      <c r="A39" s="89">
        <v>2015</v>
      </c>
      <c r="B39" s="110">
        <f>[6]REKAPITULASI!B10</f>
        <v>8.5273333200000002E-3</v>
      </c>
      <c r="C39" s="110">
        <f t="shared" si="16"/>
        <v>0.17907399972000002</v>
      </c>
      <c r="D39" s="110">
        <f>[6]REKAPITULASI!D10</f>
        <v>6.3954999900000002E-4</v>
      </c>
      <c r="E39" s="110">
        <f t="shared" si="17"/>
        <v>0.19826049969000001</v>
      </c>
      <c r="F39" s="169">
        <f t="shared" si="18"/>
        <v>0.37733449941000002</v>
      </c>
    </row>
    <row r="40" spans="1:6" x14ac:dyDescent="0.25">
      <c r="A40" s="89">
        <v>2016</v>
      </c>
      <c r="B40" s="110">
        <f>[6]REKAPITULASI!B11</f>
        <v>8.7319900799999999E-3</v>
      </c>
      <c r="C40" s="110">
        <f t="shared" si="16"/>
        <v>0.18337179168000001</v>
      </c>
      <c r="D40" s="110">
        <f>[6]REKAPITULASI!D11</f>
        <v>6.5489925599999986E-4</v>
      </c>
      <c r="E40" s="110">
        <f t="shared" si="17"/>
        <v>0.20301876935999996</v>
      </c>
      <c r="F40" s="169">
        <f t="shared" si="18"/>
        <v>0.38639056103999997</v>
      </c>
    </row>
    <row r="41" spans="1:6" x14ac:dyDescent="0.25">
      <c r="A41" s="89">
        <v>2017</v>
      </c>
      <c r="B41" s="110">
        <f>[6]REKAPITULASI!B12</f>
        <v>9.2050505216999985E-3</v>
      </c>
      <c r="C41" s="110">
        <f t="shared" si="16"/>
        <v>0.19330606095569997</v>
      </c>
      <c r="D41" s="110">
        <f>[6]REKAPITULASI!D12</f>
        <v>6.9037878912749985E-4</v>
      </c>
      <c r="E41" s="110">
        <f t="shared" si="17"/>
        <v>0.21401742462952494</v>
      </c>
      <c r="F41" s="169">
        <f t="shared" si="18"/>
        <v>0.40732348558522491</v>
      </c>
    </row>
    <row r="42" spans="1:6" x14ac:dyDescent="0.25">
      <c r="A42" s="89">
        <v>2018</v>
      </c>
      <c r="B42" s="110">
        <f>[6]REKAPITULASI!B13</f>
        <v>9.7277033541728689E-3</v>
      </c>
      <c r="C42" s="110">
        <f t="shared" si="16"/>
        <v>0.20428177043763024</v>
      </c>
      <c r="D42" s="110">
        <f>[6]REKAPITULASI!D13</f>
        <v>7.295777515629651E-4</v>
      </c>
      <c r="E42" s="110">
        <f t="shared" si="17"/>
        <v>0.22616910298451917</v>
      </c>
      <c r="F42" s="169">
        <f t="shared" si="18"/>
        <v>0.43045087342214938</v>
      </c>
    </row>
    <row r="43" spans="1:6" x14ac:dyDescent="0.25">
      <c r="A43" s="89">
        <v>2019</v>
      </c>
      <c r="B43" s="110">
        <f>[6]REKAPITULASI!B14</f>
        <v>1.027267059581044E-2</v>
      </c>
      <c r="C43" s="110">
        <f t="shared" si="16"/>
        <v>0.21572608251201925</v>
      </c>
      <c r="D43" s="110">
        <f>[6]REKAPITULASI!D14</f>
        <v>7.7045029468578304E-4</v>
      </c>
      <c r="E43" s="110">
        <f t="shared" si="17"/>
        <v>0.23883959135259275</v>
      </c>
      <c r="F43" s="169">
        <f t="shared" si="18"/>
        <v>0.454565673864612</v>
      </c>
    </row>
    <row r="44" spans="1:6" x14ac:dyDescent="0.25">
      <c r="A44" s="89">
        <v>2020</v>
      </c>
      <c r="B44" s="110">
        <f>[6]REKAPITULASI!B15</f>
        <v>1.0840799643171929E-2</v>
      </c>
      <c r="C44" s="110">
        <f t="shared" si="16"/>
        <v>0.2276567925066105</v>
      </c>
      <c r="D44" s="110">
        <f>[6]REKAPITULASI!D15</f>
        <v>8.1305997323789455E-4</v>
      </c>
      <c r="E44" s="110">
        <f t="shared" si="17"/>
        <v>0.25204859170374733</v>
      </c>
      <c r="F44" s="169">
        <f t="shared" si="18"/>
        <v>0.4797053842103578</v>
      </c>
    </row>
    <row r="45" spans="1:6" x14ac:dyDescent="0.25">
      <c r="A45" s="89">
        <v>2021</v>
      </c>
      <c r="B45" s="110">
        <f>[6]REKAPITULASI!B16</f>
        <v>1.1432968069541574E-2</v>
      </c>
      <c r="C45" s="110">
        <f t="shared" si="16"/>
        <v>0.24009232946037304</v>
      </c>
      <c r="D45" s="110">
        <f>[6]REKAPITULASI!D16</f>
        <v>8.5747260521561793E-4</v>
      </c>
      <c r="E45" s="110">
        <f t="shared" si="17"/>
        <v>0.26581650761684156</v>
      </c>
      <c r="F45" s="169">
        <f t="shared" si="18"/>
        <v>0.50590883707721457</v>
      </c>
    </row>
    <row r="46" spans="1:6" x14ac:dyDescent="0.25">
      <c r="A46" s="89">
        <v>2022</v>
      </c>
      <c r="B46" s="110">
        <f>[6]REKAPITULASI!B17</f>
        <v>1.2050084656704124E-2</v>
      </c>
      <c r="C46" s="110">
        <f t="shared" ref="C46:C55" si="19">B46*21</f>
        <v>0.25305177779078658</v>
      </c>
      <c r="D46" s="110">
        <f>[6]REKAPITULASI!D17</f>
        <v>9.0375634925280921E-4</v>
      </c>
      <c r="E46" s="110">
        <f t="shared" ref="E46:E55" si="20">D46*310</f>
        <v>0.28016446826837088</v>
      </c>
      <c r="F46" s="169">
        <f t="shared" ref="F46:F55" si="21">E46+C46</f>
        <v>0.53321624605915741</v>
      </c>
    </row>
    <row r="47" spans="1:6" x14ac:dyDescent="0.25">
      <c r="A47" s="89">
        <v>2023</v>
      </c>
      <c r="B47" s="110">
        <f>[6]REKAPITULASI!B18</f>
        <v>1.269309046102045E-2</v>
      </c>
      <c r="C47" s="110">
        <f t="shared" si="19"/>
        <v>0.26655489968142942</v>
      </c>
      <c r="D47" s="110">
        <f>[6]REKAPITULASI!D18</f>
        <v>9.519817845765337E-4</v>
      </c>
      <c r="E47" s="110">
        <f t="shared" si="20"/>
        <v>0.29511435321872542</v>
      </c>
      <c r="F47" s="169">
        <f t="shared" si="21"/>
        <v>0.56166925290015479</v>
      </c>
    </row>
    <row r="48" spans="1:6" x14ac:dyDescent="0.25">
      <c r="A48" s="89">
        <v>2024</v>
      </c>
      <c r="B48" s="110">
        <f>[6]REKAPITULASI!B19</f>
        <v>1.3362959914920404E-2</v>
      </c>
      <c r="C48" s="110">
        <f t="shared" si="19"/>
        <v>0.28062215821332848</v>
      </c>
      <c r="D48" s="110">
        <f>[6]REKAPITULASI!D19</f>
        <v>1.0022219936190301E-3</v>
      </c>
      <c r="E48" s="110">
        <f t="shared" si="20"/>
        <v>0.31068881802189935</v>
      </c>
      <c r="F48" s="169">
        <f t="shared" si="21"/>
        <v>0.59131097623522777</v>
      </c>
    </row>
    <row r="49" spans="1:10" x14ac:dyDescent="0.25">
      <c r="A49" s="89">
        <v>2025</v>
      </c>
      <c r="B49" s="110">
        <f>[6]REKAPITULASI!B20</f>
        <v>1.4060701964965689E-2</v>
      </c>
      <c r="C49" s="110">
        <f t="shared" si="19"/>
        <v>0.29527474126427949</v>
      </c>
      <c r="D49" s="110">
        <f>[6]REKAPITULASI!D20</f>
        <v>1.0545526473724268E-3</v>
      </c>
      <c r="E49" s="110">
        <f t="shared" si="20"/>
        <v>0.32691132068545231</v>
      </c>
      <c r="F49" s="169">
        <f t="shared" si="21"/>
        <v>0.62218606194973181</v>
      </c>
    </row>
    <row r="50" spans="1:10" x14ac:dyDescent="0.25">
      <c r="A50" s="89">
        <v>2026</v>
      </c>
      <c r="B50" s="110">
        <f>[6]REKAPITULASI!B21</f>
        <v>1.4787361247672657E-2</v>
      </c>
      <c r="C50" s="110">
        <f t="shared" si="19"/>
        <v>0.31053458620112578</v>
      </c>
      <c r="D50" s="110">
        <f>[6]REKAPITULASI!D21</f>
        <v>1.1090520935754494E-3</v>
      </c>
      <c r="E50" s="110">
        <f t="shared" si="20"/>
        <v>0.34380614900838929</v>
      </c>
      <c r="F50" s="169">
        <f t="shared" si="21"/>
        <v>0.65434073520951508</v>
      </c>
    </row>
    <row r="51" spans="1:10" x14ac:dyDescent="0.25">
      <c r="A51" s="89">
        <v>2027</v>
      </c>
      <c r="B51" s="110">
        <f>[6]REKAPITULASI!B22</f>
        <v>1.5544019304322886E-2</v>
      </c>
      <c r="C51" s="110">
        <f t="shared" si="19"/>
        <v>0.3264244053907806</v>
      </c>
      <c r="D51" s="110">
        <f>[6]REKAPITULASI!D22</f>
        <v>1.1658014478242165E-3</v>
      </c>
      <c r="E51" s="110">
        <f t="shared" si="20"/>
        <v>0.36139844882550709</v>
      </c>
      <c r="F51" s="169">
        <f t="shared" si="21"/>
        <v>0.68782285421628764</v>
      </c>
    </row>
    <row r="52" spans="1:10" x14ac:dyDescent="0.25">
      <c r="A52" s="89">
        <v>2028</v>
      </c>
      <c r="B52" s="110">
        <f>[6]REKAPITULASI!B23</f>
        <v>1.6331795836028753E-2</v>
      </c>
      <c r="C52" s="110">
        <f t="shared" si="19"/>
        <v>0.3429677125566038</v>
      </c>
      <c r="D52" s="110">
        <f>[6]REKAPITULASI!D23</f>
        <v>1.2248846877021564E-3</v>
      </c>
      <c r="E52" s="110">
        <f t="shared" si="20"/>
        <v>0.37971425318766849</v>
      </c>
      <c r="F52" s="169">
        <f t="shared" si="21"/>
        <v>0.72268196574427224</v>
      </c>
    </row>
    <row r="53" spans="1:10" x14ac:dyDescent="0.25">
      <c r="A53" s="89">
        <v>2029</v>
      </c>
      <c r="B53" s="110">
        <f>[6]REKAPITULASI!B24</f>
        <v>1.7151850000361919E-2</v>
      </c>
      <c r="C53" s="110">
        <f t="shared" si="19"/>
        <v>0.36018885000760031</v>
      </c>
      <c r="D53" s="110">
        <f>[6]REKAPITULASI!D24</f>
        <v>1.2863887500271438E-3</v>
      </c>
      <c r="E53" s="110">
        <f t="shared" si="20"/>
        <v>0.39878051250841456</v>
      </c>
      <c r="F53" s="169">
        <f t="shared" si="21"/>
        <v>0.75896936251601488</v>
      </c>
    </row>
    <row r="54" spans="1:10" x14ac:dyDescent="0.25">
      <c r="A54" s="89">
        <v>2030</v>
      </c>
      <c r="B54" s="110">
        <f>[6]REKAPITULASI!B25</f>
        <v>1.7998587199999999E-2</v>
      </c>
      <c r="C54" s="110">
        <f t="shared" si="19"/>
        <v>0.37797033120000001</v>
      </c>
      <c r="D54" s="110">
        <f>[6]REKAPITULASI!D25</f>
        <v>1.34989404E-3</v>
      </c>
      <c r="E54" s="110">
        <f t="shared" si="20"/>
        <v>0.41846715239999999</v>
      </c>
      <c r="F54" s="169">
        <f t="shared" si="21"/>
        <v>0.7964374836</v>
      </c>
    </row>
    <row r="55" spans="1:10" x14ac:dyDescent="0.25">
      <c r="A55" s="89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88</v>
      </c>
      <c r="J57" s="95">
        <v>1000</v>
      </c>
    </row>
    <row r="58" spans="1:10" ht="15.75" thickBot="1" x14ac:dyDescent="0.3">
      <c r="A58" s="202" t="s">
        <v>11</v>
      </c>
      <c r="B58" s="204" t="s">
        <v>89</v>
      </c>
      <c r="C58" s="205"/>
      <c r="D58" s="205"/>
      <c r="E58" s="205"/>
      <c r="F58" s="205"/>
    </row>
    <row r="59" spans="1:10" ht="18.75" thickBot="1" x14ac:dyDescent="0.3">
      <c r="A59" s="203"/>
      <c r="B59" s="204" t="s">
        <v>128</v>
      </c>
      <c r="C59" s="206"/>
      <c r="D59" s="204" t="s">
        <v>132</v>
      </c>
      <c r="E59" s="206"/>
      <c r="F59" s="117" t="s">
        <v>134</v>
      </c>
      <c r="H59" s="192" t="s">
        <v>11</v>
      </c>
      <c r="I59" s="192" t="s">
        <v>144</v>
      </c>
      <c r="J59" s="192"/>
    </row>
    <row r="60" spans="1:10" ht="18" x14ac:dyDescent="0.25">
      <c r="A60" s="203"/>
      <c r="B60" s="118" t="s">
        <v>130</v>
      </c>
      <c r="C60" s="118" t="s">
        <v>131</v>
      </c>
      <c r="D60" s="118" t="s">
        <v>133</v>
      </c>
      <c r="E60" s="118" t="s">
        <v>131</v>
      </c>
      <c r="F60" s="118" t="s">
        <v>135</v>
      </c>
      <c r="H60" s="192"/>
      <c r="I60" s="141" t="s">
        <v>145</v>
      </c>
      <c r="J60" s="141" t="s">
        <v>146</v>
      </c>
    </row>
    <row r="61" spans="1:10" x14ac:dyDescent="0.25">
      <c r="A61" s="89">
        <v>2011</v>
      </c>
      <c r="B61" s="136">
        <f>[6]REKAPITULASI!B32</f>
        <v>5.9208768368750005E-2</v>
      </c>
      <c r="C61" s="120">
        <f>B61*21</f>
        <v>1.2433841357437501</v>
      </c>
      <c r="D61" s="136">
        <f>[6]REKAPITULASI!D32</f>
        <v>1.3663561931250001E-3</v>
      </c>
      <c r="E61" s="120">
        <f>D61*310</f>
        <v>0.42357041986875005</v>
      </c>
      <c r="F61" s="169">
        <f>SUM(C61+E61)</f>
        <v>1.6669545556125001</v>
      </c>
      <c r="H61" s="89">
        <v>2011</v>
      </c>
      <c r="I61" s="142">
        <f>D9+I9+N9+F35+F61-S9</f>
        <v>66.135307572722795</v>
      </c>
      <c r="J61" s="171">
        <f>I61*$J$57</f>
        <v>66135.307572722799</v>
      </c>
    </row>
    <row r="62" spans="1:10" x14ac:dyDescent="0.25">
      <c r="A62" s="89">
        <v>2012</v>
      </c>
      <c r="B62" s="136">
        <f>[6]REKAPITULASI!B33</f>
        <v>6.0786597121250001E-2</v>
      </c>
      <c r="C62" s="120">
        <f t="shared" ref="C62:C81" si="22">B62*21</f>
        <v>1.2765185395462499</v>
      </c>
      <c r="D62" s="136">
        <f>[6]REKAPITULASI!D33</f>
        <v>1.4027676258750001E-3</v>
      </c>
      <c r="E62" s="120">
        <f t="shared" ref="E62:E81" si="23">D62*310</f>
        <v>0.43485796402125004</v>
      </c>
      <c r="F62" s="169">
        <f t="shared" ref="F62:F81" si="24">SUM(C62+E62)</f>
        <v>1.7113765035674999</v>
      </c>
      <c r="H62" s="89">
        <v>2012</v>
      </c>
      <c r="I62" s="142">
        <f t="shared" ref="I62:I81" si="25">D10+I10+N10+F36+F62-S10</f>
        <v>70.416402215218682</v>
      </c>
      <c r="J62" s="171">
        <f t="shared" ref="J62:J70" si="26">I62*$J$57</f>
        <v>70416.402215218681</v>
      </c>
    </row>
    <row r="63" spans="1:10" x14ac:dyDescent="0.25">
      <c r="A63" s="89">
        <v>2013</v>
      </c>
      <c r="B63" s="136">
        <f>[6]REKAPITULASI!B34</f>
        <v>6.2398039453749998E-2</v>
      </c>
      <c r="C63" s="120">
        <f t="shared" si="22"/>
        <v>1.31035882852875</v>
      </c>
      <c r="D63" s="136">
        <f>[6]REKAPITULASI!D34</f>
        <v>1.4399547566249999E-3</v>
      </c>
      <c r="E63" s="120">
        <f t="shared" si="23"/>
        <v>0.44638597455374995</v>
      </c>
      <c r="F63" s="169">
        <f t="shared" si="24"/>
        <v>1.7567448030824999</v>
      </c>
      <c r="H63" s="89">
        <v>2013</v>
      </c>
      <c r="I63" s="142">
        <f t="shared" si="25"/>
        <v>74.199943023385956</v>
      </c>
      <c r="J63" s="171">
        <f t="shared" si="26"/>
        <v>74199.94302338596</v>
      </c>
    </row>
    <row r="64" spans="1:10" x14ac:dyDescent="0.25">
      <c r="A64" s="89">
        <v>2014</v>
      </c>
      <c r="B64" s="136">
        <f>[6]REKAPITULASI!B35</f>
        <v>6.3978973808750006E-2</v>
      </c>
      <c r="C64" s="120">
        <f t="shared" si="22"/>
        <v>1.3435584499837501</v>
      </c>
      <c r="D64" s="136">
        <f>[6]REKAPITULASI!D35</f>
        <v>1.4764378571250002E-3</v>
      </c>
      <c r="E64" s="120">
        <f t="shared" si="23"/>
        <v>0.45769573570875005</v>
      </c>
      <c r="F64" s="169">
        <f t="shared" si="24"/>
        <v>1.8012541856925002</v>
      </c>
      <c r="H64" s="89">
        <v>2014</v>
      </c>
      <c r="I64" s="142">
        <f t="shared" si="25"/>
        <v>77.645492278780935</v>
      </c>
      <c r="J64" s="171">
        <f t="shared" si="26"/>
        <v>77645.492278780934</v>
      </c>
    </row>
    <row r="65" spans="1:10" x14ac:dyDescent="0.25">
      <c r="A65" s="89">
        <v>2015</v>
      </c>
      <c r="B65" s="136">
        <f>[6]REKAPITULASI!B36</f>
        <v>6.5563744496250007E-2</v>
      </c>
      <c r="C65" s="120">
        <f t="shared" si="22"/>
        <v>1.3768386344212502</v>
      </c>
      <c r="D65" s="136">
        <f>[6]REKAPITULASI!D36</f>
        <v>1.513009488375E-3</v>
      </c>
      <c r="E65" s="120">
        <f t="shared" si="23"/>
        <v>0.46903294139625001</v>
      </c>
      <c r="F65" s="169">
        <f t="shared" si="24"/>
        <v>1.8458715758175002</v>
      </c>
      <c r="H65" s="89">
        <v>2015</v>
      </c>
      <c r="I65" s="142">
        <f t="shared" si="25"/>
        <v>80.841958991773851</v>
      </c>
      <c r="J65" s="171">
        <f t="shared" si="26"/>
        <v>80841.958991773849</v>
      </c>
    </row>
    <row r="66" spans="1:10" x14ac:dyDescent="0.25">
      <c r="A66" s="89">
        <v>2016</v>
      </c>
      <c r="B66" s="136">
        <f>[6]REKAPITULASI!B37</f>
        <v>6.7137280210000011E-2</v>
      </c>
      <c r="C66" s="120">
        <f t="shared" si="22"/>
        <v>1.4098828844100002</v>
      </c>
      <c r="D66" s="136">
        <f>[6]REKAPITULASI!D37</f>
        <v>1.5493218510000001E-3</v>
      </c>
      <c r="E66" s="120">
        <f t="shared" si="23"/>
        <v>0.48028977381000004</v>
      </c>
      <c r="F66" s="169">
        <f t="shared" si="24"/>
        <v>1.8901726582200002</v>
      </c>
      <c r="H66" s="89">
        <v>2016</v>
      </c>
      <c r="I66" s="142">
        <f t="shared" si="25"/>
        <v>83.861260851583467</v>
      </c>
      <c r="J66" s="171">
        <f t="shared" si="26"/>
        <v>83861.260851583473</v>
      </c>
    </row>
    <row r="67" spans="1:10" x14ac:dyDescent="0.25">
      <c r="A67" s="89">
        <v>2017</v>
      </c>
      <c r="B67" s="136">
        <f>[6]REKAPITULASI!B38</f>
        <v>6.8813300806250019E-2</v>
      </c>
      <c r="C67" s="120">
        <f t="shared" si="22"/>
        <v>1.4450793169312504</v>
      </c>
      <c r="D67" s="136">
        <f>[6]REKAPITULASI!D38</f>
        <v>1.5879992493750003E-3</v>
      </c>
      <c r="E67" s="120">
        <f t="shared" si="23"/>
        <v>0.49227976730625012</v>
      </c>
      <c r="F67" s="169">
        <f t="shared" si="24"/>
        <v>1.9373590842375004</v>
      </c>
      <c r="H67" s="89">
        <v>2017</v>
      </c>
      <c r="I67" s="142">
        <f t="shared" si="25"/>
        <v>86.763167489071279</v>
      </c>
      <c r="J67" s="171">
        <f t="shared" si="26"/>
        <v>86763.167489071275</v>
      </c>
    </row>
    <row r="68" spans="1:10" x14ac:dyDescent="0.25">
      <c r="A68" s="89">
        <v>2018</v>
      </c>
      <c r="B68" s="136">
        <f>[6]REKAPITULASI!B39</f>
        <v>7.070534345875E-2</v>
      </c>
      <c r="C68" s="120">
        <f t="shared" si="22"/>
        <v>1.48481221263375</v>
      </c>
      <c r="D68" s="136">
        <f>[6]REKAPITULASI!D39</f>
        <v>1.6316617721249997E-3</v>
      </c>
      <c r="E68" s="120">
        <f t="shared" si="23"/>
        <v>0.50581514935874994</v>
      </c>
      <c r="F68" s="169">
        <f t="shared" si="24"/>
        <v>1.9906273619924999</v>
      </c>
      <c r="H68" s="89">
        <v>2018</v>
      </c>
      <c r="I68" s="142">
        <f t="shared" si="25"/>
        <v>88.26940601346648</v>
      </c>
      <c r="J68" s="171">
        <f t="shared" si="26"/>
        <v>88269.406013466476</v>
      </c>
    </row>
    <row r="69" spans="1:10" x14ac:dyDescent="0.25">
      <c r="A69" s="89">
        <v>2019</v>
      </c>
      <c r="B69" s="136">
        <f>[6]REKAPITULASI!B40</f>
        <v>7.2597386111249981E-2</v>
      </c>
      <c r="C69" s="120">
        <f t="shared" si="22"/>
        <v>1.5245451083362496</v>
      </c>
      <c r="D69" s="136">
        <f>[6]REKAPITULASI!D40</f>
        <v>1.6753242948749998E-3</v>
      </c>
      <c r="E69" s="120">
        <f t="shared" si="23"/>
        <v>0.51935053141124998</v>
      </c>
      <c r="F69" s="169">
        <f t="shared" si="24"/>
        <v>2.0438956397474994</v>
      </c>
      <c r="H69" s="89">
        <v>2019</v>
      </c>
      <c r="I69" s="142">
        <f t="shared" si="25"/>
        <v>90.198281535698669</v>
      </c>
      <c r="J69" s="171">
        <f t="shared" si="26"/>
        <v>90198.281535698668</v>
      </c>
    </row>
    <row r="70" spans="1:10" x14ac:dyDescent="0.25">
      <c r="A70" s="89">
        <v>2020</v>
      </c>
      <c r="B70" s="136">
        <f>[6]REKAPITULASI!B41</f>
        <v>7.448942876374999E-2</v>
      </c>
      <c r="C70" s="120">
        <f t="shared" si="22"/>
        <v>1.5642780040387498</v>
      </c>
      <c r="D70" s="136">
        <f>[6]REKAPITULASI!D41</f>
        <v>1.7189868176249996E-3</v>
      </c>
      <c r="E70" s="120">
        <f t="shared" si="23"/>
        <v>0.53288591346374992</v>
      </c>
      <c r="F70" s="169">
        <f t="shared" si="24"/>
        <v>2.0971639175024999</v>
      </c>
      <c r="H70" s="89">
        <v>2020</v>
      </c>
      <c r="I70" s="142">
        <f t="shared" si="25"/>
        <v>92.424240484352438</v>
      </c>
      <c r="J70" s="171">
        <f t="shared" si="26"/>
        <v>92424.240484352442</v>
      </c>
    </row>
    <row r="71" spans="1:10" x14ac:dyDescent="0.25">
      <c r="A71" s="89">
        <v>2021</v>
      </c>
      <c r="B71" s="136">
        <f>[6]REKAPITULASI!B42</f>
        <v>7.6381471416249999E-2</v>
      </c>
      <c r="C71" s="120">
        <f t="shared" si="22"/>
        <v>1.6040108997412499</v>
      </c>
      <c r="D71" s="136">
        <f>[6]REKAPITULASI!D42</f>
        <v>1.7626493403750001E-3</v>
      </c>
      <c r="E71" s="120">
        <f t="shared" si="23"/>
        <v>0.54642129551625007</v>
      </c>
      <c r="F71" s="169">
        <f t="shared" si="24"/>
        <v>2.1504321952574998</v>
      </c>
      <c r="H71" s="89">
        <v>2021</v>
      </c>
      <c r="I71" s="142">
        <f t="shared" si="25"/>
        <v>92.297823624205577</v>
      </c>
      <c r="J71" s="171">
        <f>I71*$J$57</f>
        <v>92297.823624205572</v>
      </c>
    </row>
    <row r="72" spans="1:10" x14ac:dyDescent="0.25">
      <c r="A72" s="89">
        <v>2022</v>
      </c>
      <c r="B72" s="136">
        <f>[6]REKAPITULASI!B43</f>
        <v>7.827351406874998E-2</v>
      </c>
      <c r="C72" s="120">
        <f t="shared" si="22"/>
        <v>1.6437437954437495</v>
      </c>
      <c r="D72" s="136">
        <f>[6]REKAPITULASI!D43</f>
        <v>1.8063118631249998E-3</v>
      </c>
      <c r="E72" s="120">
        <f t="shared" si="23"/>
        <v>0.55995667756874989</v>
      </c>
      <c r="F72" s="169">
        <f t="shared" si="24"/>
        <v>2.2037004730124994</v>
      </c>
      <c r="H72" s="89">
        <v>2022</v>
      </c>
      <c r="I72" s="142">
        <f t="shared" si="25"/>
        <v>94.772418555430946</v>
      </c>
      <c r="J72" s="171">
        <f t="shared" ref="J72:J81" si="27">I72*$J$57</f>
        <v>94772.418555430952</v>
      </c>
    </row>
    <row r="73" spans="1:10" x14ac:dyDescent="0.25">
      <c r="A73" s="89">
        <v>2023</v>
      </c>
      <c r="B73" s="136">
        <f>[6]REKAPITULASI!B44</f>
        <v>8.0165556721249989E-2</v>
      </c>
      <c r="C73" s="120">
        <f t="shared" si="22"/>
        <v>1.6834766911462498</v>
      </c>
      <c r="D73" s="136">
        <f>[6]REKAPITULASI!D44</f>
        <v>1.8499743858749998E-3</v>
      </c>
      <c r="E73" s="120">
        <f t="shared" si="23"/>
        <v>0.57349205962124994</v>
      </c>
      <c r="F73" s="169">
        <f t="shared" si="24"/>
        <v>2.2569687507674998</v>
      </c>
      <c r="H73" s="89">
        <v>2023</v>
      </c>
      <c r="I73" s="142">
        <f t="shared" si="25"/>
        <v>97.361836495432968</v>
      </c>
      <c r="J73" s="171">
        <f t="shared" si="27"/>
        <v>97361.836495432974</v>
      </c>
    </row>
    <row r="74" spans="1:10" x14ac:dyDescent="0.25">
      <c r="A74" s="89">
        <v>2024</v>
      </c>
      <c r="B74" s="136">
        <f>[6]REKAPITULASI!B45</f>
        <v>8.2057599373750012E-2</v>
      </c>
      <c r="C74" s="120">
        <f t="shared" si="22"/>
        <v>1.7232095868487503</v>
      </c>
      <c r="D74" s="136">
        <f>[6]REKAPITULASI!D45</f>
        <v>1.8936369086250003E-3</v>
      </c>
      <c r="E74" s="120">
        <f t="shared" si="23"/>
        <v>0.58702744167375009</v>
      </c>
      <c r="F74" s="169">
        <f t="shared" si="24"/>
        <v>2.3102370285225002</v>
      </c>
      <c r="H74" s="89">
        <v>2024</v>
      </c>
      <c r="I74" s="142">
        <f t="shared" si="25"/>
        <v>100.04034255068676</v>
      </c>
      <c r="J74" s="171">
        <f t="shared" si="27"/>
        <v>100040.34255068676</v>
      </c>
    </row>
    <row r="75" spans="1:10" x14ac:dyDescent="0.25">
      <c r="A75" s="89">
        <v>2025</v>
      </c>
      <c r="B75" s="136">
        <f>[6]REKAPITULASI!B46</f>
        <v>8.3949642026249993E-2</v>
      </c>
      <c r="C75" s="120">
        <f t="shared" si="22"/>
        <v>1.7629424825512499</v>
      </c>
      <c r="D75" s="136">
        <f>[6]REKAPITULASI!D46</f>
        <v>1.9372994313749997E-3</v>
      </c>
      <c r="E75" s="120">
        <f t="shared" si="23"/>
        <v>0.60056282372624992</v>
      </c>
      <c r="F75" s="169">
        <f t="shared" si="24"/>
        <v>2.3635053062774998</v>
      </c>
      <c r="H75" s="89">
        <v>2025</v>
      </c>
      <c r="I75" s="142">
        <f t="shared" si="25"/>
        <v>102.79036845830214</v>
      </c>
      <c r="J75" s="171">
        <f t="shared" si="27"/>
        <v>102790.36845830214</v>
      </c>
    </row>
    <row r="76" spans="1:10" x14ac:dyDescent="0.25">
      <c r="A76" s="89">
        <v>2026</v>
      </c>
      <c r="B76" s="136">
        <f>[6]REKAPITULASI!B47</f>
        <v>8.5841684678749988E-2</v>
      </c>
      <c r="C76" s="120">
        <f t="shared" si="22"/>
        <v>1.8026753782537497</v>
      </c>
      <c r="D76" s="136">
        <f>[6]REKAPITULASI!D47</f>
        <v>1.9809619541249998E-3</v>
      </c>
      <c r="E76" s="120">
        <f t="shared" si="23"/>
        <v>0.61409820577874996</v>
      </c>
      <c r="F76" s="169">
        <f t="shared" si="24"/>
        <v>2.4167735840324998</v>
      </c>
      <c r="H76" s="89">
        <v>2026</v>
      </c>
      <c r="I76" s="142">
        <f t="shared" si="25"/>
        <v>105.5997098477491</v>
      </c>
      <c r="J76" s="171">
        <f t="shared" si="27"/>
        <v>105599.70984774909</v>
      </c>
    </row>
    <row r="77" spans="1:10" x14ac:dyDescent="0.25">
      <c r="A77" s="89">
        <v>2027</v>
      </c>
      <c r="B77" s="136">
        <f>[6]REKAPITULASI!B48</f>
        <v>8.7733727331249997E-2</v>
      </c>
      <c r="C77" s="120">
        <f t="shared" si="22"/>
        <v>1.84240827395625</v>
      </c>
      <c r="D77" s="136">
        <f>[6]REKAPITULASI!D48</f>
        <v>2.024624476875E-3</v>
      </c>
      <c r="E77" s="120">
        <f t="shared" si="23"/>
        <v>0.62763358783125001</v>
      </c>
      <c r="F77" s="169">
        <f t="shared" si="24"/>
        <v>2.4700418617875002</v>
      </c>
      <c r="H77" s="89">
        <v>2027</v>
      </c>
      <c r="I77" s="142">
        <f t="shared" si="25"/>
        <v>108.45963026582035</v>
      </c>
      <c r="J77" s="171">
        <f t="shared" si="27"/>
        <v>108459.63026582035</v>
      </c>
    </row>
    <row r="78" spans="1:10" x14ac:dyDescent="0.25">
      <c r="A78" s="89">
        <v>2028</v>
      </c>
      <c r="B78" s="136">
        <f>[6]REKAPITULASI!B49</f>
        <v>8.9625769983749978E-2</v>
      </c>
      <c r="C78" s="120">
        <f t="shared" si="22"/>
        <v>1.8821411696587496</v>
      </c>
      <c r="D78" s="136">
        <f>[6]REKAPITULASI!D49</f>
        <v>2.0682869996249999E-3</v>
      </c>
      <c r="E78" s="120">
        <f t="shared" si="23"/>
        <v>0.64116896988374994</v>
      </c>
      <c r="F78" s="169">
        <f t="shared" si="24"/>
        <v>2.5233101395424997</v>
      </c>
      <c r="H78" s="89">
        <v>2028</v>
      </c>
      <c r="I78" s="142">
        <f t="shared" si="25"/>
        <v>111.36357256266128</v>
      </c>
      <c r="J78" s="171">
        <f t="shared" si="27"/>
        <v>111363.57256266127</v>
      </c>
    </row>
    <row r="79" spans="1:10" x14ac:dyDescent="0.25">
      <c r="A79" s="89">
        <v>2029</v>
      </c>
      <c r="B79" s="136">
        <f>[6]REKAPITULASI!B50</f>
        <v>9.1517812636250001E-2</v>
      </c>
      <c r="C79" s="120">
        <f t="shared" si="22"/>
        <v>1.9218740653612501</v>
      </c>
      <c r="D79" s="136">
        <f>[6]REKAPITULASI!D50</f>
        <v>2.1119495223750001E-3</v>
      </c>
      <c r="E79" s="120">
        <f t="shared" si="23"/>
        <v>0.6547043519362501</v>
      </c>
      <c r="F79" s="169">
        <f t="shared" si="24"/>
        <v>2.5765784172975001</v>
      </c>
      <c r="H79" s="89">
        <v>2029</v>
      </c>
      <c r="I79" s="142">
        <f t="shared" si="25"/>
        <v>114.30627673761721</v>
      </c>
      <c r="J79" s="171">
        <f t="shared" si="27"/>
        <v>114306.27673761721</v>
      </c>
    </row>
    <row r="80" spans="1:10" x14ac:dyDescent="0.25">
      <c r="A80" s="89">
        <v>2030</v>
      </c>
      <c r="B80" s="136">
        <f>[6]REKAPITULASI!B51</f>
        <v>9.3409855288749996E-2</v>
      </c>
      <c r="C80" s="120">
        <f t="shared" si="22"/>
        <v>1.9616069610637499</v>
      </c>
      <c r="D80" s="136">
        <f>[6]REKAPITULASI!D51</f>
        <v>2.155612045125E-3</v>
      </c>
      <c r="E80" s="120">
        <f t="shared" si="23"/>
        <v>0.66823973398875003</v>
      </c>
      <c r="F80" s="169">
        <f t="shared" si="24"/>
        <v>2.6298466950524997</v>
      </c>
      <c r="H80" s="89">
        <v>2030</v>
      </c>
      <c r="I80" s="142">
        <f t="shared" si="25"/>
        <v>117.28019910775953</v>
      </c>
      <c r="J80" s="171">
        <f t="shared" si="27"/>
        <v>117280.19910775953</v>
      </c>
    </row>
    <row r="81" spans="1:10" x14ac:dyDescent="0.25">
      <c r="A81" s="89">
        <v>2031</v>
      </c>
      <c r="B81" s="119"/>
      <c r="C81" s="120">
        <f t="shared" si="22"/>
        <v>0</v>
      </c>
      <c r="D81" s="119"/>
      <c r="E81" s="120">
        <f t="shared" si="23"/>
        <v>0</v>
      </c>
      <c r="F81" s="121">
        <f t="shared" si="24"/>
        <v>0</v>
      </c>
      <c r="H81" s="89">
        <v>2031</v>
      </c>
      <c r="I81" s="142">
        <f t="shared" si="25"/>
        <v>0</v>
      </c>
      <c r="J81" s="143">
        <f t="shared" si="27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143</v>
      </c>
      <c r="B85" s="101"/>
      <c r="C85" s="100"/>
      <c r="D85" s="101"/>
      <c r="G85" s="95">
        <v>1000</v>
      </c>
    </row>
    <row r="86" spans="1:10" ht="18.75" thickBot="1" x14ac:dyDescent="0.3">
      <c r="A86" s="195" t="s">
        <v>11</v>
      </c>
      <c r="B86" s="197" t="s">
        <v>136</v>
      </c>
      <c r="C86" s="198"/>
      <c r="D86" s="190" t="s">
        <v>137</v>
      </c>
      <c r="E86" s="191"/>
      <c r="F86" s="193" t="s">
        <v>95</v>
      </c>
      <c r="G86" s="194"/>
    </row>
    <row r="87" spans="1:10" ht="81.75" thickBot="1" x14ac:dyDescent="0.3">
      <c r="A87" s="196"/>
      <c r="B87" s="124" t="s">
        <v>138</v>
      </c>
      <c r="C87" s="124" t="s">
        <v>139</v>
      </c>
      <c r="D87" s="125" t="s">
        <v>140</v>
      </c>
      <c r="E87" s="125" t="s">
        <v>141</v>
      </c>
      <c r="F87" s="126" t="s">
        <v>142</v>
      </c>
      <c r="G87" s="126" t="s">
        <v>147</v>
      </c>
    </row>
    <row r="88" spans="1:10" ht="15.75" thickBot="1" x14ac:dyDescent="0.3">
      <c r="A88" s="196"/>
      <c r="B88" s="199" t="s">
        <v>101</v>
      </c>
      <c r="C88" s="127" t="s">
        <v>102</v>
      </c>
      <c r="D88" s="128" t="s">
        <v>103</v>
      </c>
      <c r="E88" s="129" t="s">
        <v>104</v>
      </c>
      <c r="F88" s="130" t="s">
        <v>105</v>
      </c>
      <c r="G88" s="130" t="s">
        <v>105</v>
      </c>
    </row>
    <row r="89" spans="1:10" x14ac:dyDescent="0.25">
      <c r="A89" s="196"/>
      <c r="B89" s="200"/>
      <c r="C89" s="131" t="s">
        <v>106</v>
      </c>
      <c r="D89" s="132"/>
      <c r="E89" s="133" t="s">
        <v>107</v>
      </c>
      <c r="F89" s="134" t="s">
        <v>108</v>
      </c>
      <c r="G89" s="134" t="s">
        <v>108</v>
      </c>
    </row>
    <row r="90" spans="1:10" x14ac:dyDescent="0.25">
      <c r="A90" s="89">
        <v>2011</v>
      </c>
      <c r="B90" s="137">
        <f>[6]REKAPITULASI!B59</f>
        <v>0.67720161908400001</v>
      </c>
      <c r="C90" s="140">
        <f>B90*21</f>
        <v>14.221234000763999</v>
      </c>
      <c r="D90" s="139">
        <f>[6]REKAPITULASI!D59</f>
        <v>2.3014780972857144E-2</v>
      </c>
      <c r="E90" s="135">
        <f>D90*310</f>
        <v>7.1345821015857149</v>
      </c>
      <c r="F90" s="138">
        <f>C90+E90</f>
        <v>21.355816102349714</v>
      </c>
      <c r="G90" s="172">
        <f>F90*$G$85</f>
        <v>21355.816102349712</v>
      </c>
    </row>
    <row r="91" spans="1:10" x14ac:dyDescent="0.25">
      <c r="A91" s="89">
        <v>2012</v>
      </c>
      <c r="B91" s="137">
        <f>[6]REKAPITULASI!B60</f>
        <v>0.69524807090639995</v>
      </c>
      <c r="C91" s="140">
        <f t="shared" ref="C91:C110" si="28">B91*21</f>
        <v>14.600209489034398</v>
      </c>
      <c r="D91" s="139">
        <f>[6]REKAPITULASI!D60</f>
        <v>2.2776836374285722E-2</v>
      </c>
      <c r="E91" s="135">
        <f t="shared" ref="E91:E110" si="29">D91*310</f>
        <v>7.0608192760285737</v>
      </c>
      <c r="F91" s="138">
        <f t="shared" ref="F91:F110" si="30">C91+E91</f>
        <v>21.661028765062973</v>
      </c>
      <c r="G91" s="172">
        <f t="shared" ref="G91:G109" si="31">F91*$G$85</f>
        <v>21661.028765062973</v>
      </c>
    </row>
    <row r="92" spans="1:10" x14ac:dyDescent="0.25">
      <c r="A92" s="89">
        <v>2013</v>
      </c>
      <c r="B92" s="137">
        <f>[6]REKAPITULASI!B61</f>
        <v>0.71367897880560005</v>
      </c>
      <c r="C92" s="140">
        <f t="shared" si="28"/>
        <v>14.987258554917601</v>
      </c>
      <c r="D92" s="139">
        <f>[6]REKAPITULASI!D61</f>
        <v>2.3050011021714285E-2</v>
      </c>
      <c r="E92" s="135">
        <f t="shared" si="29"/>
        <v>7.1455034167314286</v>
      </c>
      <c r="F92" s="138">
        <f t="shared" si="30"/>
        <v>22.132761971649028</v>
      </c>
      <c r="G92" s="172">
        <f t="shared" si="31"/>
        <v>22132.76197164903</v>
      </c>
    </row>
    <row r="93" spans="1:10" x14ac:dyDescent="0.25">
      <c r="A93" s="89">
        <v>2014</v>
      </c>
      <c r="B93" s="137">
        <f>[6]REKAPITULASI!B62</f>
        <v>0.73176095102640004</v>
      </c>
      <c r="C93" s="140">
        <f t="shared" si="28"/>
        <v>15.3669799715544</v>
      </c>
      <c r="D93" s="139">
        <f>[6]REKAPITULASI!D62</f>
        <v>2.4158674777809523E-2</v>
      </c>
      <c r="E93" s="135">
        <f t="shared" si="29"/>
        <v>7.4891891811209526</v>
      </c>
      <c r="F93" s="138">
        <f t="shared" si="30"/>
        <v>22.856169152675353</v>
      </c>
      <c r="G93" s="172">
        <f t="shared" si="31"/>
        <v>22856.169152675353</v>
      </c>
    </row>
    <row r="94" spans="1:10" x14ac:dyDescent="0.25">
      <c r="A94" s="89">
        <v>2015</v>
      </c>
      <c r="B94" s="137">
        <f>[6]REKAPITULASI!B63</f>
        <v>0.74988680138640007</v>
      </c>
      <c r="C94" s="140">
        <f t="shared" si="28"/>
        <v>15.747622829114402</v>
      </c>
      <c r="D94" s="139">
        <f>[6]REKAPITULASI!D63</f>
        <v>2.4757089496857152E-2</v>
      </c>
      <c r="E94" s="135">
        <f t="shared" si="29"/>
        <v>7.6746977440257176</v>
      </c>
      <c r="F94" s="138">
        <f t="shared" si="30"/>
        <v>23.422320573140119</v>
      </c>
      <c r="G94" s="172">
        <f t="shared" si="31"/>
        <v>23422.320573140118</v>
      </c>
    </row>
    <row r="95" spans="1:10" x14ac:dyDescent="0.25">
      <c r="A95" s="89">
        <v>2016</v>
      </c>
      <c r="B95" s="137">
        <f>[6]REKAPITULASI!B64</f>
        <v>0.76788415148159994</v>
      </c>
      <c r="C95" s="140">
        <f t="shared" si="28"/>
        <v>16.125567181113599</v>
      </c>
      <c r="D95" s="139">
        <f>[6]REKAPITULASI!D64</f>
        <v>2.5351261852190481E-2</v>
      </c>
      <c r="E95" s="135">
        <f t="shared" si="29"/>
        <v>7.8588911741790488</v>
      </c>
      <c r="F95" s="138">
        <f t="shared" si="30"/>
        <v>23.984458355292649</v>
      </c>
      <c r="G95" s="172">
        <f t="shared" si="31"/>
        <v>23984.458355292649</v>
      </c>
    </row>
    <row r="96" spans="1:10" x14ac:dyDescent="0.25">
      <c r="A96" s="89">
        <v>2017</v>
      </c>
      <c r="B96" s="137">
        <f>[6]REKAPITULASI!B65</f>
        <v>0.78705367472400001</v>
      </c>
      <c r="C96" s="140">
        <f t="shared" si="28"/>
        <v>16.528127169204001</v>
      </c>
      <c r="D96" s="139">
        <f>[6]REKAPITULASI!D65</f>
        <v>2.598413284238095E-2</v>
      </c>
      <c r="E96" s="135">
        <f t="shared" si="29"/>
        <v>8.0550811811380942</v>
      </c>
      <c r="F96" s="138">
        <f t="shared" si="30"/>
        <v>24.583208350342098</v>
      </c>
      <c r="G96" s="172">
        <f t="shared" si="31"/>
        <v>24583.208350342098</v>
      </c>
    </row>
    <row r="97" spans="1:7" x14ac:dyDescent="0.25">
      <c r="A97" s="89">
        <v>2018</v>
      </c>
      <c r="B97" s="137">
        <f>[6]REKAPITULASI!B66</f>
        <v>0.80869395509040021</v>
      </c>
      <c r="C97" s="140">
        <f t="shared" si="28"/>
        <v>16.982573056898403</v>
      </c>
      <c r="D97" s="139">
        <f>[6]REKAPITULASI!D66</f>
        <v>2.6698574484476191E-2</v>
      </c>
      <c r="E97" s="135">
        <f t="shared" si="29"/>
        <v>8.2765580901876188</v>
      </c>
      <c r="F97" s="138">
        <f t="shared" si="30"/>
        <v>25.259131147086023</v>
      </c>
      <c r="G97" s="172">
        <f t="shared" si="31"/>
        <v>25259.131147086024</v>
      </c>
    </row>
    <row r="98" spans="1:7" x14ac:dyDescent="0.25">
      <c r="A98" s="89">
        <v>2019</v>
      </c>
      <c r="B98" s="137">
        <f>[6]REKAPITULASI!B67</f>
        <v>0.83033423545679996</v>
      </c>
      <c r="C98" s="140">
        <f t="shared" si="28"/>
        <v>17.437018944592801</v>
      </c>
      <c r="D98" s="139">
        <f>[6]REKAPITULASI!D67</f>
        <v>2.7413016126571429E-2</v>
      </c>
      <c r="E98" s="135">
        <f t="shared" si="29"/>
        <v>8.4980349992371433</v>
      </c>
      <c r="F98" s="138">
        <f t="shared" si="30"/>
        <v>25.935053943829942</v>
      </c>
      <c r="G98" s="172">
        <f t="shared" si="31"/>
        <v>25935.053943829942</v>
      </c>
    </row>
    <row r="99" spans="1:7" x14ac:dyDescent="0.25">
      <c r="A99" s="89">
        <v>2020</v>
      </c>
      <c r="B99" s="137">
        <f>[6]REKAPITULASI!B68</f>
        <v>0.85197451582319994</v>
      </c>
      <c r="C99" s="140">
        <f t="shared" si="28"/>
        <v>17.891464832287198</v>
      </c>
      <c r="D99" s="139">
        <f>[6]REKAPITULASI!D68</f>
        <v>2.812745776866667E-2</v>
      </c>
      <c r="E99" s="135">
        <f t="shared" si="29"/>
        <v>8.7195119082866679</v>
      </c>
      <c r="F99" s="138">
        <f t="shared" si="30"/>
        <v>26.610976740573868</v>
      </c>
      <c r="G99" s="172">
        <f t="shared" si="31"/>
        <v>26610.976740573868</v>
      </c>
    </row>
    <row r="100" spans="1:7" x14ac:dyDescent="0.25">
      <c r="A100" s="89">
        <v>2021</v>
      </c>
      <c r="B100" s="137">
        <f>[6]REKAPITULASI!B69</f>
        <v>0.87361479618960003</v>
      </c>
      <c r="C100" s="140">
        <f t="shared" si="28"/>
        <v>18.3459107199816</v>
      </c>
      <c r="D100" s="139">
        <f>[6]REKAPITULASI!D69</f>
        <v>2.8841899410761908E-2</v>
      </c>
      <c r="E100" s="135">
        <f t="shared" si="29"/>
        <v>8.9409888173361907</v>
      </c>
      <c r="F100" s="138">
        <f t="shared" si="30"/>
        <v>27.28689953731779</v>
      </c>
      <c r="G100" s="172">
        <f t="shared" si="31"/>
        <v>27286.89953731779</v>
      </c>
    </row>
    <row r="101" spans="1:7" x14ac:dyDescent="0.25">
      <c r="A101" s="89">
        <v>2022</v>
      </c>
      <c r="B101" s="137">
        <f>[6]REKAPITULASI!B70</f>
        <v>0.89525507655600001</v>
      </c>
      <c r="C101" s="140">
        <f t="shared" si="28"/>
        <v>18.800356607676001</v>
      </c>
      <c r="D101" s="139">
        <f>[6]REKAPITULASI!D70</f>
        <v>2.9556341052857149E-2</v>
      </c>
      <c r="E101" s="135">
        <f t="shared" si="29"/>
        <v>9.162465726385717</v>
      </c>
      <c r="F101" s="138">
        <f t="shared" si="30"/>
        <v>27.96282233406172</v>
      </c>
      <c r="G101" s="172">
        <f t="shared" si="31"/>
        <v>27962.822334061719</v>
      </c>
    </row>
    <row r="102" spans="1:7" x14ac:dyDescent="0.25">
      <c r="A102" s="89">
        <v>2023</v>
      </c>
      <c r="B102" s="137">
        <f>[6]REKAPITULASI!B71</f>
        <v>0.91689535692240021</v>
      </c>
      <c r="C102" s="140">
        <f t="shared" si="28"/>
        <v>19.254802495370406</v>
      </c>
      <c r="D102" s="139">
        <f>[6]REKAPITULASI!D71</f>
        <v>3.027078269495238E-2</v>
      </c>
      <c r="E102" s="135">
        <f t="shared" si="29"/>
        <v>9.383942635435238</v>
      </c>
      <c r="F102" s="138">
        <f t="shared" si="30"/>
        <v>28.638745130805646</v>
      </c>
      <c r="G102" s="172">
        <f t="shared" si="31"/>
        <v>28638.745130805644</v>
      </c>
    </row>
    <row r="103" spans="1:7" x14ac:dyDescent="0.25">
      <c r="A103" s="89">
        <v>2024</v>
      </c>
      <c r="B103" s="137">
        <f>[6]REKAPITULASI!B72</f>
        <v>0.93853563728880007</v>
      </c>
      <c r="C103" s="140">
        <f t="shared" si="28"/>
        <v>19.7092483830648</v>
      </c>
      <c r="D103" s="139">
        <f>[6]REKAPITULASI!D72</f>
        <v>3.0985224337047625E-2</v>
      </c>
      <c r="E103" s="135">
        <f t="shared" si="29"/>
        <v>9.6054195444847643</v>
      </c>
      <c r="F103" s="138">
        <f t="shared" si="30"/>
        <v>29.314667927549564</v>
      </c>
      <c r="G103" s="172">
        <f t="shared" si="31"/>
        <v>29314.667927549563</v>
      </c>
    </row>
    <row r="104" spans="1:7" x14ac:dyDescent="0.25">
      <c r="A104" s="89">
        <v>2025</v>
      </c>
      <c r="B104" s="137">
        <f>[6]REKAPITULASI!B73</f>
        <v>0.95892225653520002</v>
      </c>
      <c r="C104" s="140">
        <f t="shared" si="28"/>
        <v>20.137367387239202</v>
      </c>
      <c r="D104" s="139">
        <f>[6]REKAPITULASI!D73</f>
        <v>3.1658277064857139E-2</v>
      </c>
      <c r="E104" s="135">
        <f t="shared" si="29"/>
        <v>9.814065890105713</v>
      </c>
      <c r="F104" s="138">
        <f t="shared" si="30"/>
        <v>29.951433277344915</v>
      </c>
      <c r="G104" s="172">
        <f t="shared" si="31"/>
        <v>29951.433277344913</v>
      </c>
    </row>
    <row r="105" spans="1:7" x14ac:dyDescent="0.25">
      <c r="A105" s="89">
        <v>2026</v>
      </c>
      <c r="B105" s="137">
        <f>[6]REKAPITULASI!B74</f>
        <v>0.9805625369016</v>
      </c>
      <c r="C105" s="140">
        <f t="shared" si="28"/>
        <v>20.5918132749336</v>
      </c>
      <c r="D105" s="139">
        <f>[6]REKAPITULASI!D74</f>
        <v>3.2372718706952387E-2</v>
      </c>
      <c r="E105" s="135">
        <f t="shared" si="29"/>
        <v>10.035542799155239</v>
      </c>
      <c r="F105" s="138">
        <f t="shared" si="30"/>
        <v>30.627356074088837</v>
      </c>
      <c r="G105" s="172">
        <f t="shared" si="31"/>
        <v>30627.356074088839</v>
      </c>
    </row>
    <row r="106" spans="1:7" x14ac:dyDescent="0.25">
      <c r="A106" s="89">
        <v>2027</v>
      </c>
      <c r="B106" s="137">
        <f>[6]REKAPITULASI!B75</f>
        <v>1.002202817268</v>
      </c>
      <c r="C106" s="140">
        <f t="shared" si="28"/>
        <v>21.046259162628001</v>
      </c>
      <c r="D106" s="139">
        <f>[6]REKAPITULASI!D75</f>
        <v>3.3087160349047628E-2</v>
      </c>
      <c r="E106" s="135">
        <f t="shared" si="29"/>
        <v>10.257019708204766</v>
      </c>
      <c r="F106" s="138">
        <f t="shared" si="30"/>
        <v>31.303278870832767</v>
      </c>
      <c r="G106" s="172">
        <f t="shared" si="31"/>
        <v>31303.278870832768</v>
      </c>
    </row>
    <row r="107" spans="1:7" x14ac:dyDescent="0.25">
      <c r="A107" s="89">
        <v>2028</v>
      </c>
      <c r="B107" s="137">
        <f>[6]REKAPITULASI!B76</f>
        <v>1.0238430976344</v>
      </c>
      <c r="C107" s="140">
        <f t="shared" si="28"/>
        <v>21.500705050322399</v>
      </c>
      <c r="D107" s="139">
        <f>[6]REKAPITULASI!D76</f>
        <v>3.3801601991142863E-2</v>
      </c>
      <c r="E107" s="135">
        <f t="shared" si="29"/>
        <v>10.478496617254287</v>
      </c>
      <c r="F107" s="138">
        <f t="shared" si="30"/>
        <v>31.979201667576685</v>
      </c>
      <c r="G107" s="172">
        <f t="shared" si="31"/>
        <v>31979.201667576686</v>
      </c>
    </row>
    <row r="108" spans="1:7" x14ac:dyDescent="0.25">
      <c r="A108" s="89">
        <v>2029</v>
      </c>
      <c r="B108" s="137">
        <f>[6]REKAPITULASI!B77</f>
        <v>1.0454833780007999</v>
      </c>
      <c r="C108" s="140">
        <f t="shared" si="28"/>
        <v>21.9551509380168</v>
      </c>
      <c r="D108" s="139">
        <f>[6]REKAPITULASI!D77</f>
        <v>3.451604363323809E-2</v>
      </c>
      <c r="E108" s="135">
        <f t="shared" si="29"/>
        <v>10.699973526303808</v>
      </c>
      <c r="F108" s="138">
        <f t="shared" si="30"/>
        <v>32.655124464320608</v>
      </c>
      <c r="G108" s="172">
        <f t="shared" si="31"/>
        <v>32655.124464320608</v>
      </c>
    </row>
    <row r="109" spans="1:7" x14ac:dyDescent="0.25">
      <c r="A109" s="89">
        <v>2030</v>
      </c>
      <c r="B109" s="137">
        <f>[6]REKAPITULASI!B78</f>
        <v>1.0671236583672001</v>
      </c>
      <c r="C109" s="140">
        <f t="shared" si="28"/>
        <v>22.409596825711201</v>
      </c>
      <c r="D109" s="139">
        <f>[6]REKAPITULASI!D78</f>
        <v>3.5230485275333331E-2</v>
      </c>
      <c r="E109" s="135">
        <f t="shared" si="29"/>
        <v>10.921450435353332</v>
      </c>
      <c r="F109" s="138">
        <f t="shared" si="30"/>
        <v>33.331047261064533</v>
      </c>
      <c r="G109" s="172">
        <f t="shared" si="31"/>
        <v>33331.04726106453</v>
      </c>
    </row>
    <row r="110" spans="1:7" x14ac:dyDescent="0.25">
      <c r="A110" s="89">
        <v>2031</v>
      </c>
      <c r="B110" s="137"/>
      <c r="C110" s="140">
        <f t="shared" si="28"/>
        <v>0</v>
      </c>
      <c r="D110" s="139"/>
      <c r="E110" s="135">
        <f t="shared" si="29"/>
        <v>0</v>
      </c>
      <c r="F110" s="138">
        <f t="shared" si="30"/>
        <v>0</v>
      </c>
      <c r="G110" s="98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workbookViewId="0">
      <selection activeCell="G15" sqref="G15"/>
    </sheetView>
  </sheetViews>
  <sheetFormatPr defaultRowHeight="12.75" x14ac:dyDescent="0.25"/>
  <cols>
    <col min="1" max="2" width="9.140625" style="145"/>
    <col min="3" max="3" width="14.5703125" style="145" customWidth="1"/>
    <col min="4" max="4" width="19.140625" style="145" customWidth="1"/>
    <col min="5" max="16384" width="9.140625" style="145"/>
  </cols>
  <sheetData>
    <row r="3" spans="2:4" x14ac:dyDescent="0.25">
      <c r="B3" s="215" t="s">
        <v>11</v>
      </c>
      <c r="C3" s="215" t="s">
        <v>151</v>
      </c>
      <c r="D3" s="215"/>
    </row>
    <row r="4" spans="2:4" x14ac:dyDescent="0.25">
      <c r="B4" s="215"/>
      <c r="C4" s="146" t="s">
        <v>150</v>
      </c>
      <c r="D4" s="146" t="s">
        <v>146</v>
      </c>
    </row>
    <row r="5" spans="2:4" ht="15" x14ac:dyDescent="0.25">
      <c r="B5" s="89">
        <v>2011</v>
      </c>
      <c r="C5" s="165">
        <f>'[7]4D2_CH4_Industrial_Wastewater'!$G12</f>
        <v>1939488</v>
      </c>
      <c r="D5" s="165">
        <f>(C5*21)/1000</f>
        <v>40729.248</v>
      </c>
    </row>
    <row r="6" spans="2:4" ht="15" x14ac:dyDescent="0.25">
      <c r="B6" s="89">
        <v>2012</v>
      </c>
      <c r="C6" s="165">
        <f>'[7]4D2_CH4_Industrial_Wastewater'!$G13</f>
        <v>2841816</v>
      </c>
      <c r="D6" s="165">
        <f t="shared" ref="D6:D15" si="0">(C6*21)/1000</f>
        <v>59678.135999999999</v>
      </c>
    </row>
    <row r="7" spans="2:4" ht="15" x14ac:dyDescent="0.25">
      <c r="B7" s="89">
        <v>2013</v>
      </c>
      <c r="C7" s="165">
        <f>'[7]4D2_CH4_Industrial_Wastewater'!$G14</f>
        <v>6674652</v>
      </c>
      <c r="D7" s="165">
        <f t="shared" si="0"/>
        <v>140167.69200000001</v>
      </c>
    </row>
    <row r="8" spans="2:4" ht="15" x14ac:dyDescent="0.25">
      <c r="B8" s="89">
        <v>2014</v>
      </c>
      <c r="C8" s="165">
        <f>'[7]4D2_CH4_Industrial_Wastewater'!$G15</f>
        <v>7388322</v>
      </c>
      <c r="D8" s="165">
        <f t="shared" si="0"/>
        <v>155154.76199999999</v>
      </c>
    </row>
    <row r="9" spans="2:4" ht="15" x14ac:dyDescent="0.25">
      <c r="B9" s="89">
        <v>2015</v>
      </c>
      <c r="C9" s="165">
        <f>'[7]4D2_CH4_Industrial_Wastewater'!$G16</f>
        <v>9041478</v>
      </c>
      <c r="D9" s="165">
        <f t="shared" si="0"/>
        <v>189871.038</v>
      </c>
    </row>
    <row r="10" spans="2:4" ht="15" x14ac:dyDescent="0.25">
      <c r="B10" s="89">
        <v>2016</v>
      </c>
      <c r="C10" s="165">
        <f>'[7]4D2_CH4_Industrial_Wastewater'!$G17</f>
        <v>11649834</v>
      </c>
      <c r="D10" s="165">
        <f t="shared" si="0"/>
        <v>244646.514</v>
      </c>
    </row>
    <row r="11" spans="2:4" ht="15" x14ac:dyDescent="0.25">
      <c r="B11" s="89">
        <v>2017</v>
      </c>
      <c r="C11" s="165">
        <f>'[7]4D2_CH4_Industrial_Wastewater'!$G18</f>
        <v>18555814.638</v>
      </c>
      <c r="D11" s="165">
        <f t="shared" si="0"/>
        <v>389672.10739800002</v>
      </c>
    </row>
    <row r="12" spans="2:4" ht="15" x14ac:dyDescent="0.25">
      <c r="B12" s="89">
        <v>2018</v>
      </c>
      <c r="C12" s="165">
        <f>'[7]4D2_CH4_Industrial_Wastewater'!$G19</f>
        <v>20302182.143999998</v>
      </c>
      <c r="D12" s="165">
        <f t="shared" si="0"/>
        <v>426345.8250239999</v>
      </c>
    </row>
    <row r="13" spans="2:4" ht="15" x14ac:dyDescent="0.25">
      <c r="B13" s="89">
        <v>2019</v>
      </c>
      <c r="C13" s="165">
        <f>'[7]4D2_CH4_Industrial_Wastewater'!$G20</f>
        <v>22103723.717999998</v>
      </c>
      <c r="D13" s="165">
        <f t="shared" si="0"/>
        <v>464178.19807799993</v>
      </c>
    </row>
    <row r="14" spans="2:4" ht="15" x14ac:dyDescent="0.25">
      <c r="B14" s="89">
        <v>2020</v>
      </c>
      <c r="C14" s="165">
        <f>'[7]4D2_CH4_Industrial_Wastewater'!$G21</f>
        <v>23960439.359999999</v>
      </c>
      <c r="D14" s="165">
        <f t="shared" si="0"/>
        <v>503169.22655999998</v>
      </c>
    </row>
    <row r="15" spans="2:4" ht="15" x14ac:dyDescent="0.25">
      <c r="B15" s="89">
        <v>2021</v>
      </c>
      <c r="C15" s="165">
        <f>'[7]4D2_CH4_Industrial_Wastewater'!$G22</f>
        <v>25103798.11333333</v>
      </c>
      <c r="D15" s="165">
        <f t="shared" si="0"/>
        <v>527179.76037999999</v>
      </c>
    </row>
    <row r="16" spans="2:4" ht="15" x14ac:dyDescent="0.25">
      <c r="B16" s="89">
        <v>2022</v>
      </c>
      <c r="C16" s="165">
        <f>'[7]4D2_CH4_Industrial_Wastewater'!$G23</f>
        <v>26273002.911999989</v>
      </c>
      <c r="D16" s="165">
        <f t="shared" ref="D16:D25" si="1">(C16*21)/1000</f>
        <v>551733.06115199986</v>
      </c>
    </row>
    <row r="17" spans="2:4" ht="15" x14ac:dyDescent="0.25">
      <c r="B17" s="89">
        <v>2023</v>
      </c>
      <c r="C17" s="165">
        <f>'[7]4D2_CH4_Industrial_Wastewater'!$G24</f>
        <v>27468053.755999982</v>
      </c>
      <c r="D17" s="165">
        <f t="shared" si="1"/>
        <v>576829.12887599971</v>
      </c>
    </row>
    <row r="18" spans="2:4" ht="15" x14ac:dyDescent="0.25">
      <c r="B18" s="89">
        <v>2024</v>
      </c>
      <c r="C18" s="165">
        <f>'[7]4D2_CH4_Industrial_Wastewater'!$G25</f>
        <v>28688950.64533332</v>
      </c>
      <c r="D18" s="165">
        <f t="shared" si="1"/>
        <v>602467.96355199965</v>
      </c>
    </row>
    <row r="19" spans="2:4" ht="15" x14ac:dyDescent="0.25">
      <c r="B19" s="89">
        <v>2025</v>
      </c>
      <c r="C19" s="165">
        <f>'[7]4D2_CH4_Industrial_Wastewater'!$G26</f>
        <v>29935693.579999983</v>
      </c>
      <c r="D19" s="165">
        <f t="shared" si="1"/>
        <v>628649.56517999957</v>
      </c>
    </row>
    <row r="20" spans="2:4" ht="15" x14ac:dyDescent="0.25">
      <c r="B20" s="89">
        <v>2026</v>
      </c>
      <c r="C20" s="165">
        <f>'[7]4D2_CH4_Industrial_Wastewater'!$G27</f>
        <v>31208282.55999998</v>
      </c>
      <c r="D20" s="165">
        <f t="shared" si="1"/>
        <v>655373.93375999958</v>
      </c>
    </row>
    <row r="21" spans="2:4" ht="15" x14ac:dyDescent="0.25">
      <c r="B21" s="89">
        <v>2027</v>
      </c>
      <c r="C21" s="165">
        <f>'[7]4D2_CH4_Industrial_Wastewater'!$G28</f>
        <v>32506717.585333314</v>
      </c>
      <c r="D21" s="165">
        <f t="shared" si="1"/>
        <v>682641.06929199956</v>
      </c>
    </row>
    <row r="22" spans="2:4" ht="15" x14ac:dyDescent="0.25">
      <c r="B22" s="89">
        <v>2028</v>
      </c>
      <c r="C22" s="165">
        <f>'[7]4D2_CH4_Industrial_Wastewater'!$G29</f>
        <v>33830998.655999973</v>
      </c>
      <c r="D22" s="165">
        <f t="shared" si="1"/>
        <v>710450.97177599941</v>
      </c>
    </row>
    <row r="23" spans="2:4" ht="15" x14ac:dyDescent="0.25">
      <c r="B23" s="89">
        <v>2029</v>
      </c>
      <c r="C23" s="165">
        <f>'[7]4D2_CH4_Industrial_Wastewater'!$G30</f>
        <v>35181125.77199997</v>
      </c>
      <c r="D23" s="165">
        <f t="shared" si="1"/>
        <v>738803.64121199946</v>
      </c>
    </row>
    <row r="24" spans="2:4" ht="15" x14ac:dyDescent="0.25">
      <c r="B24" s="89">
        <v>2030</v>
      </c>
      <c r="C24" s="165">
        <f>'[7]4D2_CH4_Industrial_Wastewater'!$G31</f>
        <v>35763504.815999962</v>
      </c>
      <c r="D24" s="165">
        <f t="shared" si="1"/>
        <v>751033.6011359992</v>
      </c>
    </row>
    <row r="25" spans="2:4" ht="15" x14ac:dyDescent="0.25">
      <c r="B25" s="89">
        <v>2031</v>
      </c>
      <c r="C25" s="147"/>
      <c r="D25" s="147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46" t="s">
        <v>54</v>
      </c>
      <c r="E5" s="246"/>
      <c r="F5" s="247" t="s">
        <v>64</v>
      </c>
      <c r="G5" s="247"/>
      <c r="H5" s="247"/>
      <c r="I5" s="247"/>
    </row>
    <row r="6" spans="1:9" s="20" customFormat="1" ht="16.5" customHeight="1" x14ac:dyDescent="0.25">
      <c r="A6" s="243" t="s">
        <v>48</v>
      </c>
      <c r="B6" s="243" t="s">
        <v>50</v>
      </c>
      <c r="C6" s="244"/>
      <c r="D6" s="232" t="s">
        <v>70</v>
      </c>
      <c r="E6" s="232"/>
      <c r="F6" s="233" t="s">
        <v>56</v>
      </c>
      <c r="G6" s="233"/>
      <c r="H6" s="233"/>
      <c r="I6" s="233"/>
    </row>
    <row r="7" spans="1:9" s="20" customFormat="1" ht="29.25" customHeight="1" x14ac:dyDescent="0.25">
      <c r="A7" s="243"/>
      <c r="B7" s="243"/>
      <c r="C7" s="244"/>
      <c r="D7" s="232"/>
      <c r="E7" s="232"/>
      <c r="F7" s="233" t="s">
        <v>57</v>
      </c>
      <c r="G7" s="233"/>
      <c r="H7" s="233"/>
      <c r="I7" s="233"/>
    </row>
    <row r="8" spans="1:9" s="20" customFormat="1" ht="51" customHeight="1" x14ac:dyDescent="0.25">
      <c r="A8" s="243"/>
      <c r="B8" s="29" t="s">
        <v>59</v>
      </c>
      <c r="C8" s="22"/>
      <c r="D8" s="232" t="s">
        <v>58</v>
      </c>
      <c r="E8" s="232"/>
      <c r="F8" s="233" t="s">
        <v>61</v>
      </c>
      <c r="G8" s="233"/>
      <c r="H8" s="233"/>
      <c r="I8" s="233"/>
    </row>
    <row r="9" spans="1:9" s="20" customFormat="1" ht="31.5" customHeight="1" x14ac:dyDescent="0.25">
      <c r="A9" s="243"/>
      <c r="B9" s="231" t="s">
        <v>51</v>
      </c>
      <c r="C9" s="22"/>
      <c r="D9" s="232" t="s">
        <v>60</v>
      </c>
      <c r="E9" s="232"/>
      <c r="F9" s="240" t="s">
        <v>66</v>
      </c>
      <c r="G9" s="241"/>
      <c r="H9" s="241"/>
      <c r="I9" s="242"/>
    </row>
    <row r="10" spans="1:9" s="20" customFormat="1" ht="20.25" customHeight="1" x14ac:dyDescent="0.25">
      <c r="A10" s="243"/>
      <c r="B10" s="231"/>
      <c r="C10" s="22"/>
      <c r="D10" s="232"/>
      <c r="E10" s="232"/>
      <c r="F10" s="233" t="s">
        <v>62</v>
      </c>
      <c r="G10" s="233"/>
      <c r="H10" s="233"/>
      <c r="I10" s="233"/>
    </row>
    <row r="11" spans="1:9" s="20" customFormat="1" ht="17.25" customHeight="1" x14ac:dyDescent="0.25">
      <c r="A11" s="243"/>
      <c r="B11" s="231"/>
      <c r="C11" s="22"/>
      <c r="D11" s="232"/>
      <c r="E11" s="232"/>
      <c r="F11" s="233" t="s">
        <v>63</v>
      </c>
      <c r="G11" s="233"/>
      <c r="H11" s="233"/>
      <c r="I11" s="233"/>
    </row>
    <row r="12" spans="1:9" s="20" customFormat="1" ht="60" customHeight="1" x14ac:dyDescent="0.25">
      <c r="A12" s="243" t="s">
        <v>49</v>
      </c>
      <c r="B12" s="27" t="s">
        <v>52</v>
      </c>
      <c r="C12" s="23"/>
      <c r="D12" s="24"/>
      <c r="E12" s="22"/>
      <c r="F12" s="234" t="s">
        <v>67</v>
      </c>
      <c r="G12" s="235"/>
      <c r="H12" s="235"/>
      <c r="I12" s="236"/>
    </row>
    <row r="13" spans="1:9" s="20" customFormat="1" ht="30" x14ac:dyDescent="0.25">
      <c r="A13" s="243"/>
      <c r="B13" s="28" t="s">
        <v>53</v>
      </c>
      <c r="C13" s="23"/>
      <c r="D13" s="24"/>
      <c r="E13" s="22"/>
      <c r="F13" s="237"/>
      <c r="G13" s="238"/>
      <c r="H13" s="238"/>
      <c r="I13" s="239"/>
    </row>
    <row r="18" spans="1:22" ht="21" x14ac:dyDescent="0.35">
      <c r="A18" s="245" t="s">
        <v>74</v>
      </c>
      <c r="B18" s="245"/>
      <c r="C18" s="245"/>
      <c r="D18" s="245"/>
      <c r="E18" s="245"/>
      <c r="F18" s="245"/>
      <c r="G18" s="245"/>
      <c r="H18" s="245"/>
      <c r="I18" s="245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6" t="s">
        <v>8</v>
      </c>
      <c r="B21" s="229" t="s">
        <v>40</v>
      </c>
      <c r="C21" s="229"/>
      <c r="D21" s="229"/>
      <c r="E21" s="229"/>
      <c r="F21" s="229"/>
      <c r="G21" s="229"/>
      <c r="H21" s="229"/>
      <c r="I21" s="230"/>
      <c r="K21" t="s">
        <v>22</v>
      </c>
      <c r="L21" t="s">
        <v>25</v>
      </c>
    </row>
    <row r="22" spans="1:22" ht="38.25" x14ac:dyDescent="0.25">
      <c r="A22" s="216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30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22" t="s">
        <v>71</v>
      </c>
      <c r="C24" s="35">
        <v>0</v>
      </c>
      <c r="D24" s="222" t="s">
        <v>73</v>
      </c>
      <c r="E24" s="222" t="s">
        <v>79</v>
      </c>
      <c r="F24" s="222"/>
      <c r="G24" s="222"/>
      <c r="H24" s="222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22"/>
      <c r="C25" s="35">
        <v>0</v>
      </c>
      <c r="D25" s="222"/>
      <c r="E25" s="222"/>
      <c r="F25" s="222"/>
      <c r="G25" s="222"/>
      <c r="H25" s="222"/>
      <c r="I25" s="34"/>
      <c r="K25" t="s">
        <v>27</v>
      </c>
      <c r="L25" s="220">
        <v>1000</v>
      </c>
      <c r="M25" s="220"/>
      <c r="N25" s="220"/>
      <c r="O25" s="8" t="s">
        <v>28</v>
      </c>
      <c r="R25" s="221">
        <f>L25*1000/365</f>
        <v>2739.7260273972602</v>
      </c>
      <c r="S25" s="221"/>
      <c r="T25" s="221"/>
      <c r="U25" s="11" t="s">
        <v>45</v>
      </c>
    </row>
    <row r="26" spans="1:22" x14ac:dyDescent="0.25">
      <c r="A26" s="2">
        <v>2013</v>
      </c>
      <c r="B26" s="222"/>
      <c r="C26" s="35">
        <v>0</v>
      </c>
      <c r="D26" s="222"/>
      <c r="E26" s="222"/>
      <c r="F26" s="222"/>
      <c r="G26" s="222"/>
      <c r="H26" s="222"/>
      <c r="I26" s="34"/>
      <c r="K26" t="s">
        <v>29</v>
      </c>
      <c r="L26" s="220">
        <v>3000</v>
      </c>
      <c r="M26" s="220"/>
      <c r="N26" s="220"/>
      <c r="O26" s="8" t="s">
        <v>28</v>
      </c>
    </row>
    <row r="27" spans="1:22" x14ac:dyDescent="0.25">
      <c r="A27" s="2">
        <v>2014</v>
      </c>
      <c r="B27" s="222"/>
      <c r="C27" s="35">
        <v>0</v>
      </c>
      <c r="D27" s="222"/>
      <c r="E27" s="222"/>
      <c r="F27" s="222"/>
      <c r="G27" s="222"/>
      <c r="H27" s="222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22"/>
      <c r="C28" s="35">
        <v>0</v>
      </c>
      <c r="D28" s="222"/>
      <c r="E28" s="222"/>
      <c r="F28" s="222"/>
      <c r="G28" s="222"/>
      <c r="H28" s="222"/>
      <c r="I28" s="34"/>
    </row>
    <row r="29" spans="1:22" x14ac:dyDescent="0.25">
      <c r="A29" s="2">
        <v>2016</v>
      </c>
      <c r="B29" s="222"/>
      <c r="C29" s="35">
        <v>0</v>
      </c>
      <c r="D29" s="222"/>
      <c r="E29" s="222"/>
      <c r="F29" s="222"/>
      <c r="G29" s="222"/>
      <c r="H29" s="222"/>
      <c r="I29" s="34"/>
    </row>
    <row r="30" spans="1:22" x14ac:dyDescent="0.25">
      <c r="A30" s="2">
        <v>2017</v>
      </c>
      <c r="B30" s="222"/>
      <c r="C30" s="35">
        <v>0</v>
      </c>
      <c r="D30" s="222"/>
      <c r="E30" s="222"/>
      <c r="F30" s="222"/>
      <c r="G30" s="222"/>
      <c r="H30" s="222"/>
      <c r="I30" s="34"/>
    </row>
    <row r="31" spans="1:22" ht="25.5" x14ac:dyDescent="0.25">
      <c r="A31" s="2">
        <v>2018</v>
      </c>
      <c r="B31" s="222"/>
      <c r="C31" s="35">
        <v>0</v>
      </c>
      <c r="D31" s="222"/>
      <c r="E31" s="222"/>
      <c r="F31" s="222"/>
      <c r="G31" s="222"/>
      <c r="H31" s="222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22"/>
      <c r="C32" s="35">
        <v>0</v>
      </c>
      <c r="D32" s="222"/>
      <c r="E32" s="222"/>
      <c r="F32" s="222"/>
      <c r="G32" s="222"/>
      <c r="H32" s="222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22"/>
      <c r="C33" s="35">
        <v>0</v>
      </c>
      <c r="D33" s="222"/>
      <c r="E33" s="222"/>
      <c r="F33" s="222"/>
      <c r="G33" s="222"/>
      <c r="H33" s="222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6" t="s">
        <v>8</v>
      </c>
      <c r="B37" s="223" t="s">
        <v>78</v>
      </c>
      <c r="C37" s="224"/>
      <c r="D37" s="224"/>
      <c r="E37" s="224"/>
      <c r="F37" s="224"/>
      <c r="G37" s="224"/>
      <c r="H37" s="225"/>
      <c r="I37" s="218" t="s">
        <v>40</v>
      </c>
    </row>
    <row r="38" spans="1:20" ht="38.25" x14ac:dyDescent="0.25">
      <c r="A38" s="216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19"/>
    </row>
    <row r="39" spans="1:20" x14ac:dyDescent="0.25">
      <c r="A39" s="2">
        <v>2010</v>
      </c>
      <c r="B39" s="226" t="s">
        <v>75</v>
      </c>
      <c r="C39" s="226" t="s">
        <v>76</v>
      </c>
      <c r="D39" s="226" t="s">
        <v>75</v>
      </c>
      <c r="E39" s="226" t="s">
        <v>76</v>
      </c>
      <c r="F39" s="226" t="s">
        <v>76</v>
      </c>
      <c r="G39" s="226" t="s">
        <v>76</v>
      </c>
      <c r="H39" s="226" t="s">
        <v>76</v>
      </c>
      <c r="I39" s="14">
        <f>'timbulan sampah'!E5</f>
        <v>142.60729999999998</v>
      </c>
    </row>
    <row r="40" spans="1:20" x14ac:dyDescent="0.25">
      <c r="A40" s="2">
        <v>2011</v>
      </c>
      <c r="B40" s="227"/>
      <c r="C40" s="227"/>
      <c r="D40" s="227"/>
      <c r="E40" s="227"/>
      <c r="F40" s="227"/>
      <c r="G40" s="227"/>
      <c r="H40" s="227"/>
      <c r="I40" s="14">
        <f>'timbulan sampah'!E6</f>
        <v>146.40758</v>
      </c>
      <c r="K40" t="s">
        <v>20</v>
      </c>
      <c r="O40" s="8" t="s">
        <v>21</v>
      </c>
    </row>
    <row r="41" spans="1:20" x14ac:dyDescent="0.25">
      <c r="A41" s="2">
        <v>2012</v>
      </c>
      <c r="B41" s="227"/>
      <c r="C41" s="227"/>
      <c r="D41" s="227"/>
      <c r="E41" s="227"/>
      <c r="F41" s="227"/>
      <c r="G41" s="227"/>
      <c r="H41" s="227"/>
      <c r="I41" s="14">
        <f>'timbulan sampah'!E7</f>
        <v>150.28882000000002</v>
      </c>
      <c r="K41" t="s">
        <v>23</v>
      </c>
      <c r="O41" s="8" t="s">
        <v>24</v>
      </c>
    </row>
    <row r="42" spans="1:20" x14ac:dyDescent="0.25">
      <c r="A42" s="2">
        <v>2013</v>
      </c>
      <c r="B42" s="227"/>
      <c r="C42" s="227"/>
      <c r="D42" s="227"/>
      <c r="E42" s="227"/>
      <c r="F42" s="227"/>
      <c r="G42" s="227"/>
      <c r="H42" s="227"/>
      <c r="I42" s="14">
        <f>'timbulan sampah'!E8</f>
        <v>154.09657999999999</v>
      </c>
    </row>
    <row r="43" spans="1:20" x14ac:dyDescent="0.25">
      <c r="A43" s="2">
        <v>2014</v>
      </c>
      <c r="B43" s="227"/>
      <c r="C43" s="227"/>
      <c r="D43" s="227"/>
      <c r="E43" s="227"/>
      <c r="F43" s="227"/>
      <c r="G43" s="227"/>
      <c r="H43" s="227"/>
      <c r="I43" s="14">
        <f>'timbulan sampah'!E9</f>
        <v>157.91358</v>
      </c>
    </row>
    <row r="44" spans="1:20" x14ac:dyDescent="0.25">
      <c r="A44" s="2">
        <v>2015</v>
      </c>
      <c r="B44" s="227"/>
      <c r="C44" s="227"/>
      <c r="D44" s="227"/>
      <c r="E44" s="227"/>
      <c r="F44" s="227"/>
      <c r="G44" s="227"/>
      <c r="H44" s="227"/>
      <c r="I44" s="14">
        <f>'timbulan sampah'!E10</f>
        <v>161.70352</v>
      </c>
    </row>
    <row r="45" spans="1:20" x14ac:dyDescent="0.25">
      <c r="A45" s="2">
        <v>2016</v>
      </c>
      <c r="B45" s="227"/>
      <c r="C45" s="227"/>
      <c r="D45" s="227"/>
      <c r="E45" s="227"/>
      <c r="F45" s="227"/>
      <c r="G45" s="227"/>
      <c r="H45" s="227"/>
      <c r="I45" s="14">
        <f>'timbulan sampah'!E11</f>
        <v>165.74029999999999</v>
      </c>
    </row>
    <row r="46" spans="1:20" x14ac:dyDescent="0.25">
      <c r="A46" s="2">
        <v>2017</v>
      </c>
      <c r="B46" s="227"/>
      <c r="C46" s="227"/>
      <c r="D46" s="227"/>
      <c r="E46" s="227"/>
      <c r="F46" s="227"/>
      <c r="G46" s="227"/>
      <c r="H46" s="227"/>
      <c r="I46" s="14">
        <f>'timbulan sampah'!E12</f>
        <v>170.29738</v>
      </c>
    </row>
    <row r="47" spans="1:20" x14ac:dyDescent="0.25">
      <c r="A47" s="2">
        <v>2018</v>
      </c>
      <c r="B47" s="227"/>
      <c r="C47" s="227"/>
      <c r="D47" s="227"/>
      <c r="E47" s="227"/>
      <c r="F47" s="227"/>
      <c r="G47" s="227"/>
      <c r="H47" s="227"/>
      <c r="I47" s="14">
        <f>'timbulan sampah'!E13</f>
        <v>174.85445999999999</v>
      </c>
    </row>
    <row r="48" spans="1:20" x14ac:dyDescent="0.25">
      <c r="A48" s="2">
        <v>2019</v>
      </c>
      <c r="B48" s="227"/>
      <c r="C48" s="227"/>
      <c r="D48" s="227"/>
      <c r="E48" s="227"/>
      <c r="F48" s="227"/>
      <c r="G48" s="227"/>
      <c r="H48" s="227"/>
      <c r="I48" s="14">
        <f>'timbulan sampah'!E14</f>
        <v>179.41154</v>
      </c>
    </row>
    <row r="49" spans="1:21" x14ac:dyDescent="0.25">
      <c r="A49" s="2">
        <v>2020</v>
      </c>
      <c r="B49" s="228"/>
      <c r="C49" s="228"/>
      <c r="D49" s="228"/>
      <c r="E49" s="228"/>
      <c r="F49" s="228"/>
      <c r="G49" s="228"/>
      <c r="H49" s="228"/>
      <c r="I49" s="14">
        <f>'timbulan sampah'!E15</f>
        <v>183.96861999999999</v>
      </c>
    </row>
    <row r="52" spans="1:21" x14ac:dyDescent="0.25">
      <c r="A52" s="216" t="s">
        <v>8</v>
      </c>
      <c r="B52" s="217" t="s">
        <v>0</v>
      </c>
      <c r="C52" s="217"/>
      <c r="D52" s="217"/>
      <c r="E52" s="217"/>
      <c r="F52" s="217"/>
      <c r="G52" s="217"/>
      <c r="H52" s="217"/>
      <c r="I52" s="218" t="s">
        <v>10</v>
      </c>
    </row>
    <row r="53" spans="1:21" ht="42.75" customHeight="1" x14ac:dyDescent="0.25">
      <c r="A53" s="216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19"/>
    </row>
    <row r="54" spans="1:21" ht="17.25" customHeight="1" x14ac:dyDescent="0.25">
      <c r="A54" s="2">
        <v>2010</v>
      </c>
      <c r="B54" s="248" t="s">
        <v>77</v>
      </c>
      <c r="C54" s="248" t="s">
        <v>77</v>
      </c>
      <c r="D54" s="248" t="s">
        <v>77</v>
      </c>
      <c r="E54" s="248" t="s">
        <v>77</v>
      </c>
      <c r="F54" s="248" t="s">
        <v>77</v>
      </c>
      <c r="G54" s="248" t="s">
        <v>77</v>
      </c>
      <c r="H54" s="248" t="s">
        <v>77</v>
      </c>
      <c r="I54" s="3">
        <v>1</v>
      </c>
    </row>
    <row r="55" spans="1:21" x14ac:dyDescent="0.25">
      <c r="A55" s="2">
        <v>2011</v>
      </c>
      <c r="B55" s="249"/>
      <c r="C55" s="249"/>
      <c r="D55" s="249"/>
      <c r="E55" s="249"/>
      <c r="F55" s="249"/>
      <c r="G55" s="249"/>
      <c r="H55" s="249"/>
      <c r="I55" s="3">
        <v>1</v>
      </c>
    </row>
    <row r="56" spans="1:21" x14ac:dyDescent="0.25">
      <c r="A56" s="2">
        <v>2012</v>
      </c>
      <c r="B56" s="249"/>
      <c r="C56" s="249"/>
      <c r="D56" s="249"/>
      <c r="E56" s="249"/>
      <c r="F56" s="249"/>
      <c r="G56" s="249"/>
      <c r="H56" s="249"/>
      <c r="I56" s="3">
        <v>1</v>
      </c>
    </row>
    <row r="57" spans="1:21" x14ac:dyDescent="0.25">
      <c r="A57" s="2">
        <v>2013</v>
      </c>
      <c r="B57" s="249"/>
      <c r="C57" s="249"/>
      <c r="D57" s="249"/>
      <c r="E57" s="249"/>
      <c r="F57" s="249"/>
      <c r="G57" s="249"/>
      <c r="H57" s="249"/>
      <c r="I57" s="3">
        <v>1</v>
      </c>
    </row>
    <row r="58" spans="1:21" x14ac:dyDescent="0.25">
      <c r="A58" s="2">
        <v>2014</v>
      </c>
      <c r="B58" s="249"/>
      <c r="C58" s="249"/>
      <c r="D58" s="249"/>
      <c r="E58" s="249"/>
      <c r="F58" s="249"/>
      <c r="G58" s="249"/>
      <c r="H58" s="249"/>
      <c r="I58" s="3">
        <v>1</v>
      </c>
    </row>
    <row r="59" spans="1:21" x14ac:dyDescent="0.25">
      <c r="A59" s="2">
        <v>2015</v>
      </c>
      <c r="B59" s="249"/>
      <c r="C59" s="249"/>
      <c r="D59" s="249"/>
      <c r="E59" s="249"/>
      <c r="F59" s="249"/>
      <c r="G59" s="249"/>
      <c r="H59" s="249"/>
      <c r="I59" s="3">
        <v>1</v>
      </c>
    </row>
    <row r="60" spans="1:21" x14ac:dyDescent="0.25">
      <c r="A60" s="2">
        <v>2016</v>
      </c>
      <c r="B60" s="249"/>
      <c r="C60" s="249"/>
      <c r="D60" s="249"/>
      <c r="E60" s="249"/>
      <c r="F60" s="249"/>
      <c r="G60" s="249"/>
      <c r="H60" s="249"/>
      <c r="I60" s="3">
        <v>1</v>
      </c>
    </row>
    <row r="61" spans="1:21" x14ac:dyDescent="0.25">
      <c r="A61" s="2">
        <v>2017</v>
      </c>
      <c r="B61" s="249"/>
      <c r="C61" s="249"/>
      <c r="D61" s="249"/>
      <c r="E61" s="249"/>
      <c r="F61" s="249"/>
      <c r="G61" s="249"/>
      <c r="H61" s="249"/>
      <c r="I61" s="3">
        <v>1</v>
      </c>
    </row>
    <row r="62" spans="1:21" x14ac:dyDescent="0.25">
      <c r="A62" s="2">
        <v>2018</v>
      </c>
      <c r="B62" s="249"/>
      <c r="C62" s="249"/>
      <c r="D62" s="249"/>
      <c r="E62" s="249"/>
      <c r="F62" s="249"/>
      <c r="G62" s="249"/>
      <c r="H62" s="249"/>
      <c r="I62" s="3">
        <v>1</v>
      </c>
    </row>
    <row r="63" spans="1:21" x14ac:dyDescent="0.25">
      <c r="A63" s="2">
        <v>2019</v>
      </c>
      <c r="B63" s="249"/>
      <c r="C63" s="249"/>
      <c r="D63" s="249"/>
      <c r="E63" s="249"/>
      <c r="F63" s="249"/>
      <c r="G63" s="249"/>
      <c r="H63" s="249"/>
      <c r="I63" s="3">
        <v>1</v>
      </c>
      <c r="U63" s="4"/>
    </row>
    <row r="64" spans="1:21" x14ac:dyDescent="0.25">
      <c r="A64" s="2">
        <v>2020</v>
      </c>
      <c r="B64" s="250"/>
      <c r="C64" s="250"/>
      <c r="D64" s="250"/>
      <c r="E64" s="250"/>
      <c r="F64" s="250"/>
      <c r="G64" s="250"/>
      <c r="H64" s="25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1" t="s">
        <v>11</v>
      </c>
      <c r="B6" s="252" t="s">
        <v>110</v>
      </c>
      <c r="C6" s="252"/>
      <c r="D6" s="252"/>
      <c r="E6" s="71" t="s">
        <v>114</v>
      </c>
      <c r="F6" s="251" t="s">
        <v>11</v>
      </c>
      <c r="G6" s="252" t="s">
        <v>111</v>
      </c>
      <c r="H6" s="252"/>
      <c r="I6" s="252"/>
      <c r="J6" s="72" t="s">
        <v>115</v>
      </c>
      <c r="K6" s="251" t="s">
        <v>11</v>
      </c>
      <c r="L6" s="252" t="s">
        <v>112</v>
      </c>
      <c r="M6" s="252"/>
      <c r="N6" s="252"/>
      <c r="O6" s="72" t="s">
        <v>115</v>
      </c>
      <c r="P6" s="251" t="s">
        <v>11</v>
      </c>
      <c r="Q6" s="252" t="s">
        <v>113</v>
      </c>
      <c r="R6" s="252"/>
      <c r="S6" s="252"/>
    </row>
    <row r="7" spans="1:19" x14ac:dyDescent="0.25">
      <c r="A7" s="251"/>
      <c r="B7" s="251" t="s">
        <v>82</v>
      </c>
      <c r="C7" s="251"/>
      <c r="D7" s="252" t="s">
        <v>84</v>
      </c>
      <c r="E7" s="69"/>
      <c r="F7" s="251"/>
      <c r="G7" s="251" t="s">
        <v>82</v>
      </c>
      <c r="H7" s="251"/>
      <c r="I7" s="252" t="s">
        <v>84</v>
      </c>
      <c r="K7" s="251"/>
      <c r="L7" s="251" t="s">
        <v>82</v>
      </c>
      <c r="M7" s="251"/>
      <c r="N7" s="252" t="s">
        <v>84</v>
      </c>
      <c r="P7" s="251"/>
      <c r="Q7" s="251" t="s">
        <v>82</v>
      </c>
      <c r="R7" s="251"/>
      <c r="S7" s="252" t="s">
        <v>84</v>
      </c>
    </row>
    <row r="8" spans="1:19" x14ac:dyDescent="0.25">
      <c r="A8" s="251"/>
      <c r="B8" s="74" t="s">
        <v>85</v>
      </c>
      <c r="C8" s="74" t="s">
        <v>86</v>
      </c>
      <c r="D8" s="252"/>
      <c r="E8" s="6"/>
      <c r="F8" s="251"/>
      <c r="G8" s="74" t="s">
        <v>85</v>
      </c>
      <c r="H8" s="74" t="s">
        <v>86</v>
      </c>
      <c r="I8" s="252"/>
      <c r="K8" s="251"/>
      <c r="L8" s="74" t="s">
        <v>85</v>
      </c>
      <c r="M8" s="74" t="s">
        <v>86</v>
      </c>
      <c r="N8" s="252"/>
      <c r="P8" s="251"/>
      <c r="Q8" s="74" t="s">
        <v>85</v>
      </c>
      <c r="R8" s="74" t="s">
        <v>86</v>
      </c>
      <c r="S8" s="252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59" t="s">
        <v>11</v>
      </c>
      <c r="B23" s="261" t="s">
        <v>81</v>
      </c>
      <c r="C23" s="262"/>
      <c r="D23" s="262"/>
      <c r="E23" s="262"/>
      <c r="F23" s="263"/>
      <c r="K23" t="s">
        <v>121</v>
      </c>
      <c r="L23">
        <v>280</v>
      </c>
      <c r="M23" t="s">
        <v>123</v>
      </c>
    </row>
    <row r="24" spans="1:19" ht="15.75" thickBot="1" x14ac:dyDescent="0.3">
      <c r="A24" s="260"/>
      <c r="B24" s="261" t="s">
        <v>82</v>
      </c>
      <c r="C24" s="263"/>
      <c r="D24" s="261" t="s">
        <v>83</v>
      </c>
      <c r="E24" s="263"/>
      <c r="F24" s="264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60"/>
      <c r="B25" s="36" t="s">
        <v>85</v>
      </c>
      <c r="C25" s="36" t="s">
        <v>86</v>
      </c>
      <c r="D25" s="36" t="s">
        <v>87</v>
      </c>
      <c r="E25" s="36" t="s">
        <v>86</v>
      </c>
      <c r="F25" s="265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66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67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67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1.6209816471486995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1.6639535944220538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1.7061119927559851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1.7483726936511612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1.7903337941884065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1.8350278345760487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1.8854824834718797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1.9359371323677115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1.986391781263543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2.0368464301593749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2.0873010790552065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53" t="s">
        <v>11</v>
      </c>
      <c r="B58" s="255" t="s">
        <v>93</v>
      </c>
      <c r="C58" s="256"/>
      <c r="D58" s="53" t="s">
        <v>94</v>
      </c>
      <c r="E58" s="54"/>
      <c r="F58" s="55" t="s">
        <v>95</v>
      </c>
    </row>
    <row r="59" spans="1:6" ht="63.75" thickBot="1" x14ac:dyDescent="0.3">
      <c r="A59" s="254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54"/>
      <c r="B60" s="257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54"/>
      <c r="B61" s="258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2017-09-27T07:22:07Z</dcterms:modified>
</cp:coreProperties>
</file>