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tim\"/>
    </mc:Choice>
  </mc:AlternateContent>
  <bookViews>
    <workbookView xWindow="360" yWindow="45" windowWidth="21015" windowHeight="9975" tabRatio="738" firstSheet="2" activeTab="2"/>
  </bookViews>
  <sheets>
    <sheet name="timbulan sampah" sheetId="4" r:id="rId1"/>
    <sheet name="Fraksi pengelolaan sampah BaU" sheetId="1" r:id="rId2"/>
    <sheet name="Rekapitulasi BaU Emisi GRK" sheetId="3" r:id="rId3"/>
    <sheet name="Rekap BAU_Gabung" sheetId="7" r:id="rId4"/>
    <sheet name="Rekap BAU Emisi Industri Sawitt" sheetId="6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I81" i="3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J81" i="3" s="1"/>
  <c r="H29" i="3"/>
  <c r="I29" i="3"/>
  <c r="C29" i="3"/>
  <c r="D29" i="3"/>
  <c r="S5" i="7" l="1"/>
  <c r="D26" i="7"/>
  <c r="D25" i="7"/>
  <c r="R5" i="7"/>
  <c r="D27" i="7"/>
  <c r="T5" i="7"/>
  <c r="D23" i="7"/>
  <c r="P5" i="7"/>
  <c r="D22" i="7"/>
  <c r="O5" i="7"/>
  <c r="N5" i="7"/>
  <c r="D21" i="7"/>
  <c r="D24" i="7"/>
  <c r="Q5" i="7"/>
  <c r="D28" i="7"/>
  <c r="U5" i="7"/>
  <c r="D20" i="7"/>
  <c r="M5" i="7"/>
  <c r="I6" i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T4" i="7" l="1"/>
  <c r="C27" i="7"/>
  <c r="C26" i="7"/>
  <c r="S4" i="7"/>
  <c r="F4" i="7"/>
  <c r="C13" i="7"/>
  <c r="C21" i="7"/>
  <c r="N4" i="7"/>
  <c r="G4" i="7"/>
  <c r="C14" i="7"/>
  <c r="H4" i="7"/>
  <c r="C15" i="7"/>
  <c r="C9" i="7"/>
  <c r="B4" i="7"/>
  <c r="C10" i="7"/>
  <c r="C4" i="7"/>
  <c r="C16" i="7"/>
  <c r="I4" i="7"/>
  <c r="J4" i="7"/>
  <c r="C17" i="7"/>
  <c r="D4" i="7"/>
  <c r="C11" i="7"/>
  <c r="C19" i="7"/>
  <c r="L4" i="7"/>
  <c r="C12" i="7"/>
  <c r="E4" i="7"/>
  <c r="O4" i="7"/>
  <c r="C22" i="7"/>
  <c r="C20" i="7"/>
  <c r="M4" i="7"/>
  <c r="P4" i="7"/>
  <c r="C23" i="7"/>
  <c r="C28" i="7"/>
  <c r="U4" i="7"/>
  <c r="C18" i="7"/>
  <c r="K4" i="7"/>
  <c r="C24" i="7"/>
  <c r="Q4" i="7"/>
  <c r="R4" i="7"/>
  <c r="C25" i="7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F56" i="1" s="1"/>
  <c r="E41" i="1"/>
  <c r="G41" i="1"/>
  <c r="C41" i="1"/>
  <c r="D41" i="1"/>
  <c r="D40" i="1"/>
  <c r="H40" i="1"/>
  <c r="F40" i="1"/>
  <c r="G40" i="1"/>
  <c r="E40" i="1"/>
  <c r="C40" i="1"/>
  <c r="G47" i="1"/>
  <c r="E47" i="1"/>
  <c r="C47" i="1"/>
  <c r="D47" i="1"/>
  <c r="H47" i="1"/>
  <c r="F47" i="1"/>
  <c r="G43" i="1"/>
  <c r="E43" i="1"/>
  <c r="C43" i="1"/>
  <c r="D43" i="1"/>
  <c r="H43" i="1"/>
  <c r="F43" i="1"/>
  <c r="H45" i="1"/>
  <c r="F45" i="1"/>
  <c r="F60" i="1" s="1"/>
  <c r="D45" i="1"/>
  <c r="G45" i="1"/>
  <c r="E45" i="1"/>
  <c r="C45" i="1"/>
  <c r="D48" i="1"/>
  <c r="G48" i="1"/>
  <c r="H48" i="1"/>
  <c r="F48" i="1"/>
  <c r="F63" i="1" s="1"/>
  <c r="E48" i="1"/>
  <c r="C48" i="1"/>
  <c r="D44" i="1"/>
  <c r="H44" i="1"/>
  <c r="F44" i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D42" i="1"/>
  <c r="H42" i="1"/>
  <c r="B40" i="1" l="1"/>
  <c r="B61" i="1" s="1"/>
  <c r="F55" i="1"/>
  <c r="B47" i="1"/>
  <c r="B68" i="1" s="1"/>
  <c r="F62" i="1"/>
  <c r="B43" i="1"/>
  <c r="F58" i="1"/>
  <c r="B45" i="1"/>
  <c r="B42" i="1"/>
  <c r="F57" i="1"/>
  <c r="B44" i="1"/>
  <c r="B65" i="1" s="1"/>
  <c r="F59" i="1"/>
  <c r="B41" i="1"/>
  <c r="B62" i="1" s="1"/>
  <c r="B46" i="1"/>
  <c r="F61" i="1"/>
  <c r="B48" i="1"/>
  <c r="M15" i="1"/>
  <c r="M14" i="1" s="1"/>
  <c r="M13" i="1" s="1"/>
  <c r="M12" i="1" s="1"/>
  <c r="M11" i="1" s="1"/>
  <c r="M10" i="1" s="1"/>
  <c r="M9" i="1" s="1"/>
  <c r="M8" i="1" s="1"/>
  <c r="M7" i="1" s="1"/>
  <c r="J40" i="1" l="1"/>
  <c r="J47" i="1"/>
  <c r="J41" i="1"/>
  <c r="J44" i="1"/>
  <c r="J42" i="1"/>
  <c r="B63" i="1"/>
  <c r="J48" i="1"/>
  <c r="B69" i="1"/>
  <c r="J45" i="1"/>
  <c r="B66" i="1"/>
  <c r="J46" i="1"/>
  <c r="B67" i="1"/>
  <c r="J43" i="1"/>
  <c r="B64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I47" i="2"/>
  <c r="F33" i="1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C38" i="1" l="1"/>
  <c r="C37" i="1"/>
  <c r="C39" i="1"/>
  <c r="J32" i="1"/>
  <c r="J30" i="1"/>
  <c r="J33" i="1"/>
  <c r="E29" i="1"/>
  <c r="F34" i="1"/>
  <c r="C34" i="1"/>
  <c r="F36" i="1"/>
  <c r="F51" i="1" s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F54" i="1" s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9" i="1" l="1"/>
  <c r="B60" i="1" s="1"/>
  <c r="B38" i="1"/>
  <c r="F53" i="1"/>
  <c r="B36" i="1"/>
  <c r="B57" i="1" s="1"/>
  <c r="B35" i="1"/>
  <c r="B56" i="1" s="1"/>
  <c r="F50" i="1"/>
  <c r="B37" i="1"/>
  <c r="F52" i="1"/>
  <c r="J29" i="1"/>
  <c r="J31" i="1"/>
  <c r="J34" i="1"/>
  <c r="J36" i="1"/>
  <c r="J35" i="1"/>
  <c r="J39" i="1" l="1"/>
  <c r="J37" i="1"/>
  <c r="B58" i="1"/>
  <c r="J38" i="1"/>
  <c r="B59" i="1"/>
  <c r="B70" i="1" s="1"/>
  <c r="B71" i="1" s="1"/>
  <c r="F64" i="1"/>
  <c r="F65" i="1" s="1"/>
  <c r="C9" i="3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s="1"/>
  <c r="J61" i="3" l="1"/>
  <c r="H10" i="3"/>
  <c r="I10" i="3" s="1"/>
  <c r="I62" i="3" l="1"/>
  <c r="J62" i="3" s="1"/>
  <c r="B3" i="7"/>
  <c r="B9" i="7"/>
  <c r="H11" i="3"/>
  <c r="I11" i="3" s="1"/>
  <c r="C3" i="7" l="1"/>
  <c r="B10" i="7"/>
  <c r="I63" i="3"/>
  <c r="J63" i="3" s="1"/>
  <c r="H12" i="3"/>
  <c r="I12" i="3" s="1"/>
  <c r="B11" i="7" l="1"/>
  <c r="D3" i="7"/>
  <c r="I64" i="3"/>
  <c r="J64" i="3" s="1"/>
  <c r="H13" i="3"/>
  <c r="I13" i="3" s="1"/>
  <c r="B12" i="7" l="1"/>
  <c r="E3" i="7"/>
  <c r="I65" i="3"/>
  <c r="J65" i="3" s="1"/>
  <c r="H14" i="3"/>
  <c r="I14" i="3" s="1"/>
  <c r="F3" i="7" l="1"/>
  <c r="B13" i="7"/>
  <c r="I66" i="3"/>
  <c r="J66" i="3" s="1"/>
  <c r="H15" i="3"/>
  <c r="I15" i="3" s="1"/>
  <c r="B14" i="7" l="1"/>
  <c r="G3" i="7"/>
  <c r="I67" i="3"/>
  <c r="J67" i="3" s="1"/>
  <c r="H16" i="3"/>
  <c r="I16" i="3" s="1"/>
  <c r="H3" i="7" l="1"/>
  <c r="B15" i="7"/>
  <c r="I68" i="3"/>
  <c r="J68" i="3" s="1"/>
  <c r="H17" i="3"/>
  <c r="I17" i="3" s="1"/>
  <c r="B16" i="7" l="1"/>
  <c r="I3" i="7"/>
  <c r="I69" i="3"/>
  <c r="J69" i="3" s="1"/>
  <c r="H18" i="3"/>
  <c r="I18" i="3" s="1"/>
  <c r="B17" i="7" l="1"/>
  <c r="J3" i="7"/>
  <c r="I70" i="3"/>
  <c r="J70" i="3" s="1"/>
  <c r="H19" i="3"/>
  <c r="I19" i="3" s="1"/>
  <c r="B18" i="7" l="1"/>
  <c r="K3" i="7"/>
  <c r="I71" i="3"/>
  <c r="J71" i="3" s="1"/>
  <c r="H20" i="3"/>
  <c r="I20" i="3" s="1"/>
  <c r="L3" i="7" l="1"/>
  <c r="B19" i="7"/>
  <c r="I72" i="3"/>
  <c r="J72" i="3" s="1"/>
  <c r="H21" i="3"/>
  <c r="I21" i="3" s="1"/>
  <c r="B20" i="7" l="1"/>
  <c r="E20" i="7" s="1"/>
  <c r="M3" i="7"/>
  <c r="M6" i="7" s="1"/>
  <c r="I73" i="3"/>
  <c r="J73" i="3" s="1"/>
  <c r="H22" i="3"/>
  <c r="I22" i="3" s="1"/>
  <c r="N3" i="7" l="1"/>
  <c r="N6" i="7" s="1"/>
  <c r="B21" i="7"/>
  <c r="E21" i="7" s="1"/>
  <c r="I74" i="3"/>
  <c r="J74" i="3" s="1"/>
  <c r="H23" i="3"/>
  <c r="I23" i="3" s="1"/>
  <c r="B22" i="7" l="1"/>
  <c r="E22" i="7" s="1"/>
  <c r="O3" i="7"/>
  <c r="O6" i="7" s="1"/>
  <c r="I75" i="3"/>
  <c r="J75" i="3" s="1"/>
  <c r="H24" i="3"/>
  <c r="I24" i="3" s="1"/>
  <c r="B23" i="7" l="1"/>
  <c r="E23" i="7" s="1"/>
  <c r="P3" i="7"/>
  <c r="P6" i="7" s="1"/>
  <c r="I76" i="3"/>
  <c r="J76" i="3" s="1"/>
  <c r="H25" i="3"/>
  <c r="I25" i="3" s="1"/>
  <c r="Q3" i="7" l="1"/>
  <c r="Q6" i="7" s="1"/>
  <c r="B24" i="7"/>
  <c r="E24" i="7" s="1"/>
  <c r="I77" i="3"/>
  <c r="J77" i="3" s="1"/>
  <c r="H26" i="3"/>
  <c r="I26" i="3" s="1"/>
  <c r="R3" i="7" l="1"/>
  <c r="R6" i="7" s="1"/>
  <c r="B25" i="7"/>
  <c r="E25" i="7" s="1"/>
  <c r="I78" i="3"/>
  <c r="J78" i="3" s="1"/>
  <c r="H27" i="3"/>
  <c r="I27" i="3" s="1"/>
  <c r="S3" i="7" l="1"/>
  <c r="S6" i="7" s="1"/>
  <c r="B26" i="7"/>
  <c r="E26" i="7" s="1"/>
  <c r="I79" i="3"/>
  <c r="J79" i="3" s="1"/>
  <c r="H28" i="3"/>
  <c r="I28" i="3" s="1"/>
  <c r="B27" i="7" l="1"/>
  <c r="E27" i="7" s="1"/>
  <c r="T3" i="7"/>
  <c r="T6" i="7" s="1"/>
  <c r="I80" i="3"/>
  <c r="J80" i="3" s="1"/>
  <c r="D6" i="6"/>
  <c r="D7" i="6"/>
  <c r="D8" i="6"/>
  <c r="D9" i="6"/>
  <c r="D10" i="6"/>
  <c r="D11" i="6"/>
  <c r="D12" i="6"/>
  <c r="D13" i="6"/>
  <c r="D14" i="6"/>
  <c r="D15" i="6"/>
  <c r="B28" i="7" l="1"/>
  <c r="E28" i="7" s="1"/>
  <c r="U3" i="7"/>
  <c r="U6" i="7" s="1"/>
  <c r="H5" i="7"/>
  <c r="H6" i="7" s="1"/>
  <c r="D15" i="7"/>
  <c r="E15" i="7" s="1"/>
  <c r="F5" i="7"/>
  <c r="F6" i="7" s="1"/>
  <c r="D13" i="7"/>
  <c r="E13" i="7" s="1"/>
  <c r="D14" i="7"/>
  <c r="E14" i="7" s="1"/>
  <c r="G5" i="7"/>
  <c r="G6" i="7" s="1"/>
  <c r="D12" i="7"/>
  <c r="E12" i="7" s="1"/>
  <c r="E5" i="7"/>
  <c r="E6" i="7" s="1"/>
  <c r="D19" i="7"/>
  <c r="E19" i="7" s="1"/>
  <c r="L5" i="7"/>
  <c r="L6" i="7" s="1"/>
  <c r="D11" i="7"/>
  <c r="E11" i="7" s="1"/>
  <c r="D5" i="7"/>
  <c r="D6" i="7" s="1"/>
  <c r="K5" i="7"/>
  <c r="K6" i="7" s="1"/>
  <c r="D18" i="7"/>
  <c r="E18" i="7" s="1"/>
  <c r="C5" i="7"/>
  <c r="C6" i="7" s="1"/>
  <c r="D10" i="7"/>
  <c r="E10" i="7" s="1"/>
  <c r="J5" i="7"/>
  <c r="J6" i="7" s="1"/>
  <c r="D17" i="7"/>
  <c r="E17" i="7" s="1"/>
  <c r="I5" i="7"/>
  <c r="I6" i="7" s="1"/>
  <c r="D16" i="7"/>
  <c r="E16" i="7" s="1"/>
  <c r="D5" i="6"/>
  <c r="B5" i="7" l="1"/>
  <c r="B6" i="7" s="1"/>
  <c r="V6" i="7" s="1"/>
  <c r="V7" i="7" s="1"/>
  <c r="D9" i="7"/>
  <c r="E9" i="7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<sst xmlns="http://schemas.openxmlformats.org/spreadsheetml/2006/main" count="311" uniqueCount="160">
  <si>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</si>
  <si>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</si>
  <si>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</si>
  <si>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</si>
  <si>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</si>
  <si>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</si>
  <si>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</si>
  <si>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</si>
  <si>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</si>
  <si>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</si>
  <si>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</si>
  <si>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</si>
  <si>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</si>
  <si>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</si>
  <si>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</si>
  <si>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</si>
  <si>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</si>
  <si>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</si>
  <si>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</si>
  <si>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</si>
  <si>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</si>
  <si>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</si>
  <si>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</si>
  <si>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</si>
  <si>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</si>
  <si>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</si>
  <si>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</si>
  <si>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</si>
  <si>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</si>
  <si>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</si>
  <si>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</si>
  <si>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</si>
  <si>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</si>
  <si>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</si>
  <si>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</si>
  <si>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</si>
  <si>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</si>
  <si>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</si>
  <si>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</si>
  <si>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</si>
  <si>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</si>
  <si>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</si>
  <si>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</si>
  <si>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</si>
  <si>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</si>
  <si>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</si>
  <si>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</si>
  <si>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</si>
  <si>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</si>
  <si>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</si>
  <si>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</si>
  <si>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</si>
  <si>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</si>
  <si>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</si>
  <si>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</si>
  <si>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</si>
  <si>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</si>
  <si>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</si>
  <si>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</si>
  <si>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</si>
  <si>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</si>
  <si>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</si>
  <si>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</si>
  <si>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</si>
  <si>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</si>
  <si>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</si>
  <si>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</si>
  <si>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</si>
  <si>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</si>
  <si>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</si>
  <si>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</si>
  <si>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</si>
  <si>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</si>
  <si>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</si>
  <si>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</si>
  <si>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</si>
  <si>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</si>
  <si>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</si>
  <si>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</si>
  <si>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</si>
  <si>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</si>
  <si>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</si>
  <si>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</si>
  <si>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</si>
  <si>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</si>
  <si>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</si>
  <si>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</si>
  <si>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</si>
  <si>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</si>
  <si>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</si>
  <si>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</si>
  <si>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</si>
  <si>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</si>
  <si>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</si>
  <si>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</si>
  <si>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</si>
  <si>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</si>
  <si>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</si>
  <si>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</si>
  <si>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</si>
  <si>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</si>
  <si>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</si>
  <si>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</si>
  <si>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</si>
  <si>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</si>
  <si>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</si>
  <si>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</si>
  <si>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</si>
  <si>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</si>
  <si>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</si>
  <si>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</si>
  <si>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</si>
  <si>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</si>
  <si>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</si>
  <si>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</si>
  <si>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</si>
  <si>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</si>
  <si>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</si>
  <si>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</si>
  <si>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</si>
  <si>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</si>
  <si>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</si>
  <si>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</si>
  <si>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</si>
  <si>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</si>
  <si>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</si>
  <si>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</si>
  <si>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</si>
  <si>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</si>
  <si>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</si>
  <si>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</si>
  <si>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</si>
  <si>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</si>
  <si>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</si>
  <si>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</si>
  <si>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</si>
  <si>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</si>
  <si>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</si>
  <si>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</si>
  <si>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</si>
  <si>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</si>
  <si>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</si>
  <si>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</si>
  <si>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</si>
  <si>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</si>
  <si>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</si>
  <si>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</si>
  <si>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</si>
  <si>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</si>
  <si>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</si>
  <si>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KABUPATEN KUTAI TIMUR</t>
  </si>
  <si>
    <r>
      <t>Limbah Padat Domestik (ton CO</t>
    </r>
    <r>
      <rPr>
        <vertAlign val="subscript"/>
        <sz val="11"/>
        <rFont val="Calibri"/>
        <family val="2"/>
        <scheme val="minor"/>
      </rPr>
      <t>2-eq)</t>
    </r>
  </si>
  <si>
    <t>Limbah Padat Domestik</t>
  </si>
  <si>
    <t>Limbah Cair Domestik</t>
  </si>
  <si>
    <t>Limbah Cair Industri</t>
  </si>
  <si>
    <t>Total Emisi Limbah</t>
  </si>
  <si>
    <t>KONDISI MITIGASI</t>
  </si>
  <si>
    <t>AM1: Meningkatkan jumlah sampah yang diangkut ke TPA dan mengurangi jumlah fraksi lainnya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</si>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</sst>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56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horizontal="right"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170" fontId="1" fillId="0" borderId="1" xfId="1" applyNumberFormat="1" applyFont="1" applyBorder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1" fillId="8" borderId="21" xfId="1" applyFont="1" applyFill="1" applyBorder="1" applyAlignment="1">
      <alignment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0" fontId="41" fillId="16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0" fontId="60" fillId="8" borderId="0" xfId="0" applyFont="1" applyFill="1" applyAlignment="1">
      <alignment vertical="center" wrapText="1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43" fontId="54" fillId="0" borderId="0" xfId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1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0.1287343125</c:v>
                </c:pt>
                <c:pt idx="1">
                  <c:v>0.13457377260000003</c:v>
                </c:pt>
                <c:pt idx="2">
                  <c:v>0.14060582640000002</c:v>
                </c:pt>
                <c:pt idx="3">
                  <c:v>0.14670287460000001</c:v>
                </c:pt>
                <c:pt idx="4">
                  <c:v>0.15298295849999999</c:v>
                </c:pt>
                <c:pt idx="5">
                  <c:v>0.15942313889999998</c:v>
                </c:pt>
                <c:pt idx="6">
                  <c:v>0.1647211817889</c:v>
                </c:pt>
                <c:pt idx="7">
                  <c:v>0.17573332481289833</c:v>
                </c:pt>
                <c:pt idx="8">
                  <c:v>0.1872393652093565</c:v>
                </c:pt>
                <c:pt idx="9">
                  <c:v>0.19925851051533355</c:v>
                </c:pt>
                <c:pt idx="10">
                  <c:v>0.21181066192935996</c:v>
                </c:pt>
                <c:pt idx="11">
                  <c:v>0.22491643824881985</c:v>
                </c:pt>
                <c:pt idx="12">
                  <c:v>0.23859720060833678</c:v>
                </c:pt>
                <c:pt idx="13">
                  <c:v>0.25287507804537857</c:v>
                </c:pt>
                <c:pt idx="14">
                  <c:v>0.26777299392013765</c:v>
                </c:pt>
                <c:pt idx="15">
                  <c:v>0.2833146932176156</c:v>
                </c:pt>
                <c:pt idx="16">
                  <c:v>0.29952477076073819</c:v>
                </c:pt>
                <c:pt idx="17">
                  <c:v>0.31642870036425275</c:v>
                </c:pt>
                <c:pt idx="18">
                  <c:v>0.33405286496011721</c:v>
                </c:pt>
                <c:pt idx="19">
                  <c:v>0.35229159600000004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0.22275572322380485</c:v>
                </c:pt>
                <c:pt idx="8">
                  <c:v>0.40552479841824612</c:v>
                </c:pt>
                <c:pt idx="9">
                  <c:v>0.56389318622193774</c:v>
                </c:pt>
                <c:pt idx="10">
                  <c:v>0.70865581497077501</c:v>
                </c:pt>
                <c:pt idx="11">
                  <c:v>0.84740853420609619</c:v>
                </c:pt>
                <c:pt idx="12">
                  <c:v>0.98561905374644398</c:v>
                </c:pt>
                <c:pt idx="13">
                  <c:v>1.1273485337282276</c:v>
                </c:pt>
                <c:pt idx="14">
                  <c:v>1.2757389533417214</c:v>
                </c:pt>
                <c:pt idx="15">
                  <c:v>1.4333434821211295</c:v>
                </c:pt>
                <c:pt idx="16">
                  <c:v>1.6023516655334626</c:v>
                </c:pt>
                <c:pt idx="17">
                  <c:v>1.7847441989508723</c:v>
                </c:pt>
                <c:pt idx="18">
                  <c:v>1.9824006408464683</c:v>
                </c:pt>
                <c:pt idx="19">
                  <c:v>2.1971757570080408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14.063290889469432</c:v>
                </c:pt>
                <c:pt idx="1">
                  <c:v>15.007475323984231</c:v>
                </c:pt>
                <c:pt idx="2">
                  <c:v>15.929356497930003</c:v>
                </c:pt>
                <c:pt idx="3">
                  <c:v>16.842995274156657</c:v>
                </c:pt>
                <c:pt idx="4">
                  <c:v>17.753489180444575</c:v>
                </c:pt>
                <c:pt idx="5">
                  <c:v>18.668705728164259</c:v>
                </c:pt>
                <c:pt idx="6">
                  <c:v>19.593345464953664</c:v>
                </c:pt>
                <c:pt idx="7">
                  <c:v>20.094185647431509</c:v>
                </c:pt>
                <c:pt idx="8">
                  <c:v>20.831841472297643</c:v>
                </c:pt>
                <c:pt idx="9">
                  <c:v>20.729248504392654</c:v>
                </c:pt>
                <c:pt idx="10">
                  <c:v>21.722560002286087</c:v>
                </c:pt>
                <c:pt idx="11">
                  <c:v>22.822853678970532</c:v>
                </c:pt>
                <c:pt idx="12">
                  <c:v>24.011680796863196</c:v>
                </c:pt>
                <c:pt idx="13">
                  <c:v>25.276579200146021</c:v>
                </c:pt>
                <c:pt idx="14">
                  <c:v>26.609114696914997</c:v>
                </c:pt>
                <c:pt idx="15">
                  <c:v>28.0035587425762</c:v>
                </c:pt>
                <c:pt idx="16">
                  <c:v>29.455993254687598</c:v>
                </c:pt>
                <c:pt idx="17">
                  <c:v>30.963702176638144</c:v>
                </c:pt>
                <c:pt idx="18">
                  <c:v>32.524755537200839</c:v>
                </c:pt>
                <c:pt idx="19">
                  <c:v>34.136541829617613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0.62975160937499997</c:v>
                </c:pt>
                <c:pt idx="1">
                  <c:v>0.65831749304999998</c:v>
                </c:pt>
                <c:pt idx="2">
                  <c:v>0.68782552019999998</c:v>
                </c:pt>
                <c:pt idx="3">
                  <c:v>0.71765149155000008</c:v>
                </c:pt>
                <c:pt idx="4">
                  <c:v>0.74837284987500019</c:v>
                </c:pt>
                <c:pt idx="5">
                  <c:v>0.77987737957500003</c:v>
                </c:pt>
                <c:pt idx="6">
                  <c:v>0.78346594095000022</c:v>
                </c:pt>
                <c:pt idx="7">
                  <c:v>0.81268173997500004</c:v>
                </c:pt>
                <c:pt idx="8">
                  <c:v>0.84189753899999997</c:v>
                </c:pt>
                <c:pt idx="9">
                  <c:v>0.87111333802500013</c:v>
                </c:pt>
                <c:pt idx="10">
                  <c:v>0.90032913704999995</c:v>
                </c:pt>
                <c:pt idx="11">
                  <c:v>0.92954493607499988</c:v>
                </c:pt>
                <c:pt idx="12">
                  <c:v>0.95876073509999993</c:v>
                </c:pt>
                <c:pt idx="13">
                  <c:v>0.98797653412499997</c:v>
                </c:pt>
                <c:pt idx="14">
                  <c:v>1.0171923331499999</c:v>
                </c:pt>
                <c:pt idx="15">
                  <c:v>1.0464081321750001</c:v>
                </c:pt>
                <c:pt idx="16">
                  <c:v>1.0756239312</c:v>
                </c:pt>
                <c:pt idx="17">
                  <c:v>1.1048397302250001</c:v>
                </c:pt>
                <c:pt idx="18">
                  <c:v>1.1340555292499999</c:v>
                </c:pt>
                <c:pt idx="19">
                  <c:v>1.163271328275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'[7]Rekapitulasi BaU Emisi GRK'!$Q$6</c:f>
              <c:strCache>
                <c:ptCount val="1"/>
                <c:pt idx="0">
                  <c:v> Emisi GRK dari sampah yang dilakukan 3R</c:v>
                </c:pt>
              </c:strCache>
            </c:strRef>
          </c:cat>
          <c:val>
            <c:numRef>
              <c:f>'[7]Rekapitulasi BaU Emisi GRK'!$R$6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'[7]Rekapitulasi BaU Emisi GRK'!$Q$6</c:f>
              <c:strCache>
                <c:ptCount val="1"/>
                <c:pt idx="0">
                  <c:v> Emisi GRK dari sampah yang dilakukan 3R</c:v>
                </c:pt>
              </c:strCache>
            </c:strRef>
          </c:cat>
          <c:val>
            <c:numRef>
              <c:f>'[7]Rekapitulasi BaU Emisi GRK'!$S$6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81624"/>
        <c:axId val="130482016"/>
        <c:axId val="0"/>
      </c:bar3DChart>
      <c:catAx>
        <c:axId val="13048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482016"/>
        <c:crosses val="autoZero"/>
        <c:auto val="1"/>
        <c:lblAlgn val="ctr"/>
        <c:lblOffset val="100"/>
        <c:noMultiLvlLbl val="0"/>
      </c:catAx>
      <c:valAx>
        <c:axId val="1304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481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GRK'!$E$90:$E$109</c:f>
              <c:numCache>
                <c:formatCode>_(* #,##0.00_);_(* \(#,##0.00\);_(* "-"??_);_(@_)</c:formatCode>
                <c:ptCount val="20"/>
                <c:pt idx="0">
                  <c:v>2.9648774767857144</c:v>
                </c:pt>
                <c:pt idx="1">
                  <c:v>2.9877042944571435</c:v>
                </c:pt>
                <c:pt idx="2">
                  <c:v>3.0774791851885714</c:v>
                </c:pt>
                <c:pt idx="3">
                  <c:v>3.2822078149352389</c:v>
                </c:pt>
                <c:pt idx="4">
                  <c:v>3.4227131766142862</c:v>
                </c:pt>
                <c:pt idx="5">
                  <c:v>3.566800403917143</c:v>
                </c:pt>
                <c:pt idx="6">
                  <c:v>3.5832128329695241</c:v>
                </c:pt>
                <c:pt idx="7">
                  <c:v>3.7168324589419051</c:v>
                </c:pt>
                <c:pt idx="8">
                  <c:v>3.850452084914286</c:v>
                </c:pt>
                <c:pt idx="9">
                  <c:v>3.9840717108866683</c:v>
                </c:pt>
                <c:pt idx="10">
                  <c:v>4.1176913368590489</c:v>
                </c:pt>
                <c:pt idx="11">
                  <c:v>4.251310962831429</c:v>
                </c:pt>
                <c:pt idx="12">
                  <c:v>4.3849305888038099</c:v>
                </c:pt>
                <c:pt idx="13">
                  <c:v>4.5185502147761918</c:v>
                </c:pt>
                <c:pt idx="14">
                  <c:v>4.6393392773200004</c:v>
                </c:pt>
                <c:pt idx="15">
                  <c:v>4.7729589032923814</c:v>
                </c:pt>
                <c:pt idx="16">
                  <c:v>4.9065785292647632</c:v>
                </c:pt>
                <c:pt idx="17">
                  <c:v>5.0401981552371433</c:v>
                </c:pt>
                <c:pt idx="18">
                  <c:v>5.1738177812095225</c:v>
                </c:pt>
                <c:pt idx="19">
                  <c:v>5.307437407181907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GRK'!$C$90:$C$109</c:f>
              <c:numCache>
                <c:formatCode>_(* #,##0.00_);_(* \(#,##0.00\);_(* "-"??_);_(@_)</c:formatCode>
                <c:ptCount val="20"/>
                <c:pt idx="0">
                  <c:v>5.9098368734999998</c:v>
                </c:pt>
                <c:pt idx="1">
                  <c:v>6.1779103649424005</c:v>
                </c:pt>
                <c:pt idx="2">
                  <c:v>6.4548253014336012</c:v>
                </c:pt>
                <c:pt idx="3">
                  <c:v>6.7347239513903991</c:v>
                </c:pt>
                <c:pt idx="4">
                  <c:v>7.0230252650040006</c:v>
                </c:pt>
                <c:pt idx="5">
                  <c:v>7.3186761669335993</c:v>
                </c:pt>
                <c:pt idx="6">
                  <c:v>7.3523526387695997</c:v>
                </c:pt>
                <c:pt idx="7">
                  <c:v>7.6265251915608001</c:v>
                </c:pt>
                <c:pt idx="8">
                  <c:v>7.9006977443520006</c:v>
                </c:pt>
                <c:pt idx="9">
                  <c:v>8.1748702971431992</c:v>
                </c:pt>
                <c:pt idx="10">
                  <c:v>8.4490428499344006</c:v>
                </c:pt>
                <c:pt idx="11">
                  <c:v>8.7232154027256001</c:v>
                </c:pt>
                <c:pt idx="12">
                  <c:v>8.9973879555167997</c:v>
                </c:pt>
                <c:pt idx="13">
                  <c:v>9.271560508308001</c:v>
                </c:pt>
                <c:pt idx="14">
                  <c:v>9.5194061775792029</c:v>
                </c:pt>
                <c:pt idx="15">
                  <c:v>9.7935787303703989</c:v>
                </c:pt>
                <c:pt idx="16">
                  <c:v>10.067751283161599</c:v>
                </c:pt>
                <c:pt idx="17">
                  <c:v>10.3419238359528</c:v>
                </c:pt>
                <c:pt idx="18">
                  <c:v>10.616096388744001</c:v>
                </c:pt>
                <c:pt idx="19">
                  <c:v>10.890268941535201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483192"/>
        <c:axId val="130483584"/>
        <c:axId val="0"/>
      </c:bar3DChart>
      <c:catAx>
        <c:axId val="1304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584"/>
        <c:crosses val="autoZero"/>
        <c:auto val="1"/>
        <c:lblAlgn val="ctr"/>
        <c:lblOffset val="100"/>
        <c:noMultiLvlLbl val="0"/>
      </c:catAx>
      <c:valAx>
        <c:axId val="130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14158.745454899205</c:v>
                </c:pt>
                <c:pt idx="15">
                  <c:v>14566.53763366278</c:v>
                </c:pt>
                <c:pt idx="16">
                  <c:v>14974.329812426362</c:v>
                </c:pt>
                <c:pt idx="17">
                  <c:v>15382.121991189944</c:v>
                </c:pt>
                <c:pt idx="18">
                  <c:v>15789.914169953523</c:v>
                </c:pt>
                <c:pt idx="19">
                  <c:v>16197.706348717109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84760"/>
        <c:axId val="281084536"/>
      </c:lineChart>
      <c:catAx>
        <c:axId val="1304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4536"/>
        <c:crosses val="autoZero"/>
        <c:auto val="1"/>
        <c:lblAlgn val="ctr"/>
        <c:lblOffset val="100"/>
        <c:noMultiLvlLbl val="0"/>
      </c:catAx>
      <c:valAx>
        <c:axId val="2810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BaU Emisi GRK'!$I$59:$J$59</c:f>
              <c:strCache>
                <c:ptCount val="1"/>
                <c:pt idx="0">
                  <c:v>Limbah Padat Domestik (ton CO2-eq)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24794.656551247845</c:v>
                </c:pt>
                <c:pt idx="1">
                  <c:v>26442.807806414698</c:v>
                </c:pt>
                <c:pt idx="2">
                  <c:v>28053.974344295872</c:v>
                </c:pt>
                <c:pt idx="3">
                  <c:v>29651.436387079695</c:v>
                </c:pt>
                <c:pt idx="4">
                  <c:v>31244.6018211146</c:v>
                </c:pt>
                <c:pt idx="5">
                  <c:v>32846.782191040715</c:v>
                </c:pt>
                <c:pt idx="6">
                  <c:v>34436.010029717283</c:v>
                </c:pt>
                <c:pt idx="7">
                  <c:v>35167.624469706701</c:v>
                </c:pt>
                <c:pt idx="8">
                  <c:v>36136.41653730056</c:v>
                </c:pt>
                <c:pt idx="9">
                  <c:v>36255.420073735528</c:v>
                </c:pt>
                <c:pt idx="10">
                  <c:v>37454.179869718704</c:v>
                </c:pt>
                <c:pt idx="11">
                  <c:v>38739.3346045457</c:v>
                </c:pt>
                <c:pt idx="12">
                  <c:v>40089.411985228711</c:v>
                </c:pt>
                <c:pt idx="13">
                  <c:v>41489.835369135297</c:v>
                </c:pt>
                <c:pt idx="14">
                  <c:v>42930.624309033992</c:v>
                </c:pt>
                <c:pt idx="15">
                  <c:v>44404.842036564791</c:v>
                </c:pt>
                <c:pt idx="16">
                  <c:v>45907.543897343632</c:v>
                </c:pt>
                <c:pt idx="17">
                  <c:v>47435.061678078746</c:v>
                </c:pt>
                <c:pt idx="18">
                  <c:v>48984.513028718182</c:v>
                </c:pt>
                <c:pt idx="19">
                  <c:v>50552.147714974533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85320"/>
        <c:axId val="281085712"/>
      </c:lineChart>
      <c:catAx>
        <c:axId val="2810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5712"/>
        <c:crosses val="autoZero"/>
        <c:auto val="1"/>
        <c:lblAlgn val="ctr"/>
        <c:lblOffset val="100"/>
        <c:noMultiLvlLbl val="0"/>
      </c:catAx>
      <c:valAx>
        <c:axId val="2810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Limbah Padat Domestik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24794.656551247845</c:v>
                </c:pt>
                <c:pt idx="1">
                  <c:v>26442.807806414698</c:v>
                </c:pt>
                <c:pt idx="2">
                  <c:v>28053.974344295872</c:v>
                </c:pt>
                <c:pt idx="3">
                  <c:v>29651.436387079695</c:v>
                </c:pt>
                <c:pt idx="4">
                  <c:v>31244.6018211146</c:v>
                </c:pt>
                <c:pt idx="5">
                  <c:v>32846.782191040715</c:v>
                </c:pt>
                <c:pt idx="6">
                  <c:v>34436.010029717283</c:v>
                </c:pt>
                <c:pt idx="7">
                  <c:v>35167.624469706701</c:v>
                </c:pt>
                <c:pt idx="8">
                  <c:v>36136.41653730056</c:v>
                </c:pt>
                <c:pt idx="9">
                  <c:v>36255.420073735528</c:v>
                </c:pt>
                <c:pt idx="10">
                  <c:v>37454.179869718704</c:v>
                </c:pt>
                <c:pt idx="11">
                  <c:v>38739.3346045457</c:v>
                </c:pt>
                <c:pt idx="12">
                  <c:v>40089.411985228711</c:v>
                </c:pt>
                <c:pt idx="13">
                  <c:v>41489.835369135297</c:v>
                </c:pt>
                <c:pt idx="14">
                  <c:v>42930.624309033992</c:v>
                </c:pt>
                <c:pt idx="15">
                  <c:v>44404.842036564791</c:v>
                </c:pt>
                <c:pt idx="16">
                  <c:v>45907.543897343632</c:v>
                </c:pt>
                <c:pt idx="17">
                  <c:v>47435.061678078746</c:v>
                </c:pt>
                <c:pt idx="18">
                  <c:v>48984.513028718182</c:v>
                </c:pt>
                <c:pt idx="19">
                  <c:v>50552.147714974533</c:v>
                </c:pt>
              </c:numCache>
            </c:numRef>
          </c:val>
        </c:ser>
        <c:ser>
          <c:idx val="1"/>
          <c:order val="1"/>
          <c:tx>
            <c:v>Limbah Cair Domestik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14158.745454899205</c:v>
                </c:pt>
                <c:pt idx="15">
                  <c:v>14566.53763366278</c:v>
                </c:pt>
                <c:pt idx="16">
                  <c:v>14974.329812426362</c:v>
                </c:pt>
                <c:pt idx="17">
                  <c:v>15382.121991189944</c:v>
                </c:pt>
                <c:pt idx="18">
                  <c:v>15789.914169953523</c:v>
                </c:pt>
                <c:pt idx="19">
                  <c:v>16197.706348717109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1086496"/>
        <c:axId val="281086888"/>
        <c:axId val="0"/>
      </c:bar3DChart>
      <c:catAx>
        <c:axId val="2810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6888"/>
        <c:crosses val="autoZero"/>
        <c:auto val="1"/>
        <c:lblAlgn val="ctr"/>
        <c:lblOffset val="100"/>
        <c:noMultiLvlLbl val="0"/>
      </c:catAx>
      <c:valAx>
        <c:axId val="2810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BAU_Gabung'!$A$6</c:f>
              <c:strCache>
                <c:ptCount val="1"/>
                <c:pt idx="0">
                  <c:v>Total Emisi Limbah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BAU_Gabung'!$B$6:$U$6</c:f>
              <c:numCache>
                <c:formatCode>_-* #,##0_-;\-* #,##0_-;_-* "-"??_-;_-@_-</c:formatCode>
                <c:ptCount val="20"/>
                <c:pt idx="0">
                  <c:v>271758.84490153356</c:v>
                </c:pt>
                <c:pt idx="1">
                  <c:v>350423.20246581425</c:v>
                </c:pt>
                <c:pt idx="2">
                  <c:v>466289.68683091807</c:v>
                </c:pt>
                <c:pt idx="3">
                  <c:v>695256.3221534054</c:v>
                </c:pt>
                <c:pt idx="4">
                  <c:v>759200.99426273291</c:v>
                </c:pt>
                <c:pt idx="5">
                  <c:v>684108.86276189145</c:v>
                </c:pt>
                <c:pt idx="6">
                  <c:v>839893.66197145637</c:v>
                </c:pt>
                <c:pt idx="7">
                  <c:v>947799.95722420933</c:v>
                </c:pt>
                <c:pt idx="8">
                  <c:v>1059600.8086685669</c:v>
                </c:pt>
                <c:pt idx="9">
                  <c:v>1174209.2501457653</c:v>
                </c:pt>
                <c:pt idx="10">
                  <c:v>1236479.623996512</c:v>
                </c:pt>
                <c:pt idx="11">
                  <c:v>1300315.7161701026</c:v>
                </c:pt>
                <c:pt idx="12">
                  <c:v>1365696.0543735491</c:v>
                </c:pt>
                <c:pt idx="13">
                  <c:v>1432606.0619642192</c:v>
                </c:pt>
                <c:pt idx="14">
                  <c:v>1500996.6010479329</c:v>
                </c:pt>
                <c:pt idx="15">
                  <c:v>1570939.0497502277</c:v>
                </c:pt>
                <c:pt idx="16">
                  <c:v>1642389.3059697696</c:v>
                </c:pt>
                <c:pt idx="17">
                  <c:v>1715343.7014932686</c:v>
                </c:pt>
                <c:pt idx="18">
                  <c:v>1789799.3539706713</c:v>
                </c:pt>
                <c:pt idx="19">
                  <c:v>1820330.3868796914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88064"/>
        <c:axId val="281088456"/>
      </c:lineChart>
      <c:catAx>
        <c:axId val="281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8456"/>
        <c:crosses val="autoZero"/>
        <c:auto val="1"/>
        <c:lblAlgn val="ctr"/>
        <c:lblOffset val="100"/>
        <c:noMultiLvlLbl val="0"/>
      </c:catAx>
      <c:valAx>
        <c:axId val="2810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'Rekap BAU_Gabung'!$A$3</c:f>
              <c:strCache>
                <c:ptCount val="1"/>
                <c:pt idx="0">
                  <c:v>Limbah Padat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BAU_Gabung'!$B$3:$U$3</c:f>
              <c:numCache>
                <c:formatCode>_-* #,##0_-;\-* #,##0_-;_-* "-"??_-;_-@_-</c:formatCode>
                <c:ptCount val="20"/>
                <c:pt idx="0">
                  <c:v>24794.656551247845</c:v>
                </c:pt>
                <c:pt idx="1">
                  <c:v>26442.807806414698</c:v>
                </c:pt>
                <c:pt idx="2">
                  <c:v>28053.974344295872</c:v>
                </c:pt>
                <c:pt idx="3">
                  <c:v>29651.436387079695</c:v>
                </c:pt>
                <c:pt idx="4">
                  <c:v>31244.6018211146</c:v>
                </c:pt>
                <c:pt idx="5">
                  <c:v>32846.782191040715</c:v>
                </c:pt>
                <c:pt idx="6">
                  <c:v>34436.010029717283</c:v>
                </c:pt>
                <c:pt idx="7">
                  <c:v>35167.624469706701</c:v>
                </c:pt>
                <c:pt idx="8">
                  <c:v>36136.41653730056</c:v>
                </c:pt>
                <c:pt idx="9">
                  <c:v>36255.420073735528</c:v>
                </c:pt>
                <c:pt idx="10">
                  <c:v>37454.179869718704</c:v>
                </c:pt>
                <c:pt idx="11">
                  <c:v>38739.3346045457</c:v>
                </c:pt>
                <c:pt idx="12">
                  <c:v>40089.411985228711</c:v>
                </c:pt>
                <c:pt idx="13">
                  <c:v>41489.835369135297</c:v>
                </c:pt>
                <c:pt idx="14">
                  <c:v>42930.624309033992</c:v>
                </c:pt>
                <c:pt idx="15">
                  <c:v>44404.842036564791</c:v>
                </c:pt>
                <c:pt idx="16">
                  <c:v>45907.543897343632</c:v>
                </c:pt>
                <c:pt idx="17">
                  <c:v>47435.061678078746</c:v>
                </c:pt>
                <c:pt idx="18">
                  <c:v>48984.513028718182</c:v>
                </c:pt>
                <c:pt idx="19">
                  <c:v>50552.147714974533</c:v>
                </c:pt>
              </c:numCache>
            </c:numRef>
          </c:val>
        </c:ser>
        <c:ser>
          <c:idx val="1"/>
          <c:order val="1"/>
          <c:tx>
            <c:strRef>
              <c:f>'Rekap BAU_Gabung'!$A$4</c:f>
              <c:strCache>
                <c:ptCount val="1"/>
                <c:pt idx="0">
                  <c:v>Limbah Cair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BAU_Gabung'!$B$4:$U$4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14158.745454899205</c:v>
                </c:pt>
                <c:pt idx="15">
                  <c:v>14566.53763366278</c:v>
                </c:pt>
                <c:pt idx="16">
                  <c:v>14974.329812426362</c:v>
                </c:pt>
                <c:pt idx="17">
                  <c:v>15382.121991189944</c:v>
                </c:pt>
                <c:pt idx="18">
                  <c:v>15789.914169953523</c:v>
                </c:pt>
                <c:pt idx="19">
                  <c:v>16197.706348717109</c:v>
                </c:pt>
              </c:numCache>
            </c:numRef>
          </c:val>
        </c:ser>
        <c:ser>
          <c:idx val="2"/>
          <c:order val="2"/>
          <c:tx>
            <c:strRef>
              <c:f>'Rekap BAU_Gabung'!$A$5</c:f>
              <c:strCache>
                <c:ptCount val="1"/>
                <c:pt idx="0">
                  <c:v>Limbah Cair Industri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BAU_Gabung'!$B$5:$U$5</c:f>
              <c:numCache>
                <c:formatCode>_-* #,##0_-;\-* #,##0_-;_-* "-"??_-;_-@_-</c:formatCode>
                <c:ptCount val="20"/>
                <c:pt idx="0">
                  <c:v>238089.47399999999</c:v>
                </c:pt>
                <c:pt idx="1">
                  <c:v>314814.78000000003</c:v>
                </c:pt>
                <c:pt idx="2">
                  <c:v>428703.408</c:v>
                </c:pt>
                <c:pt idx="3">
                  <c:v>655587.95400000003</c:v>
                </c:pt>
                <c:pt idx="4">
                  <c:v>717510.65399999998</c:v>
                </c:pt>
                <c:pt idx="5">
                  <c:v>640376.60400000005</c:v>
                </c:pt>
                <c:pt idx="6">
                  <c:v>794522.08646999998</c:v>
                </c:pt>
                <c:pt idx="7">
                  <c:v>901288.97510399995</c:v>
                </c:pt>
                <c:pt idx="8">
                  <c:v>1011713.2423019999</c:v>
                </c:pt>
                <c:pt idx="9">
                  <c:v>1125794.8880639998</c:v>
                </c:pt>
                <c:pt idx="10">
                  <c:v>1186458.70994</c:v>
                </c:pt>
                <c:pt idx="11">
                  <c:v>1248601.8551999999</c:v>
                </c:pt>
                <c:pt idx="12">
                  <c:v>1312224.3238439998</c:v>
                </c:pt>
                <c:pt idx="13">
                  <c:v>1377326.1158719996</c:v>
                </c:pt>
                <c:pt idx="14">
                  <c:v>1443907.2312839997</c:v>
                </c:pt>
                <c:pt idx="15">
                  <c:v>1511967.6700800001</c:v>
                </c:pt>
                <c:pt idx="16">
                  <c:v>1581507.4322599997</c:v>
                </c:pt>
                <c:pt idx="17">
                  <c:v>1652526.517824</c:v>
                </c:pt>
                <c:pt idx="18">
                  <c:v>1725024.9267719996</c:v>
                </c:pt>
                <c:pt idx="19">
                  <c:v>1753580.5328159998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 Emisi Industri Sawitt'!$B$5:$B$24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 Emisi Industri Sawitt'!$D$5:$D$24</c:f>
              <c:numCache>
                <c:formatCode>_-* #,##0_-;\-* #,##0_-;_-* "-"??_-;_-@_-</c:formatCode>
                <c:ptCount val="20"/>
                <c:pt idx="0">
                  <c:v>238089.47399999999</c:v>
                </c:pt>
                <c:pt idx="1">
                  <c:v>314814.78000000003</c:v>
                </c:pt>
                <c:pt idx="2">
                  <c:v>428703.408</c:v>
                </c:pt>
                <c:pt idx="3">
                  <c:v>655587.95400000003</c:v>
                </c:pt>
                <c:pt idx="4">
                  <c:v>717510.65399999998</c:v>
                </c:pt>
                <c:pt idx="5">
                  <c:v>640376.60400000005</c:v>
                </c:pt>
                <c:pt idx="6">
                  <c:v>794522.08646999998</c:v>
                </c:pt>
                <c:pt idx="7">
                  <c:v>901288.97510399995</c:v>
                </c:pt>
                <c:pt idx="8">
                  <c:v>1011713.2423019999</c:v>
                </c:pt>
                <c:pt idx="9">
                  <c:v>1125794.8880639998</c:v>
                </c:pt>
                <c:pt idx="10">
                  <c:v>1186458.70994</c:v>
                </c:pt>
                <c:pt idx="11">
                  <c:v>1248601.8551999999</c:v>
                </c:pt>
                <c:pt idx="12">
                  <c:v>1312224.3238439998</c:v>
                </c:pt>
                <c:pt idx="13">
                  <c:v>1377326.1158719996</c:v>
                </c:pt>
                <c:pt idx="14">
                  <c:v>1443907.2312839997</c:v>
                </c:pt>
                <c:pt idx="15">
                  <c:v>1511967.6700800001</c:v>
                </c:pt>
                <c:pt idx="16">
                  <c:v>1581507.4322599997</c:v>
                </c:pt>
                <c:pt idx="17">
                  <c:v>1652526.517824</c:v>
                </c:pt>
                <c:pt idx="18">
                  <c:v>1725024.9267719996</c:v>
                </c:pt>
                <c:pt idx="19">
                  <c:v>1753580.5328159998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87672"/>
        <c:axId val="281089632"/>
      </c:lineChart>
      <c:catAx>
        <c:axId val="28108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9632"/>
        <c:crosses val="autoZero"/>
        <c:auto val="1"/>
        <c:lblAlgn val="ctr"/>
        <c:lblOffset val="100"/>
        <c:noMultiLvlLbl val="0"/>
      </c:catAx>
      <c:valAx>
        <c:axId val="2810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118580</xdr:rowOff>
    </xdr:from>
    <xdr:to>
      <xdr:col>23</xdr:col>
      <xdr:colOff>204107</xdr:colOff>
      <xdr:row>53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112055</xdr:colOff>
      <xdr:row>57</xdr:row>
      <xdr:rowOff>169209</xdr:rowOff>
    </xdr:from>
    <xdr:to>
      <xdr:col>17</xdr:col>
      <xdr:colOff>299357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136070</xdr:colOff>
      <xdr:row>111</xdr:row>
      <xdr:rowOff>36737</xdr:rowOff>
    </xdr:from>
    <xdr:to>
      <xdr:col>6</xdr:col>
      <xdr:colOff>353786</xdr:colOff>
      <xdr:row>127</xdr:row>
      <xdr:rowOff>136070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22</xdr:row>
      <xdr:rowOff>23532</xdr:rowOff>
    </xdr:from>
    <xdr:to>
      <xdr:col>17</xdr:col>
      <xdr:colOff>515470</xdr:colOff>
      <xdr:row>36</xdr:row>
      <xdr:rowOff>99732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246529</xdr:colOff>
      <xdr:row>7</xdr:row>
      <xdr:rowOff>34738</xdr:rowOff>
    </xdr:from>
    <xdr:to>
      <xdr:col>17</xdr:col>
      <xdr:colOff>672353</xdr:colOff>
      <xdr:row>21</xdr:row>
      <xdr:rowOff>110938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138112</xdr:rowOff>
    </xdr:from>
    <xdr:to>
      <xdr:col>13</xdr:col>
      <xdr:colOff>447675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Mitigasi_2010-2030_IW/Balikpapan/BPP_Hitungan%20Mitigasi_2011-203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Palm%20Oil%20Wastewater%20Industry_Mitigas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Palm%20Oil%20Wastewater%20Industry_Mitigasi_202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F14">
            <v>269375</v>
          </cell>
        </row>
        <row r="15">
          <cell r="F15">
            <v>281594</v>
          </cell>
        </row>
        <row r="16">
          <cell r="F16">
            <v>294216</v>
          </cell>
        </row>
        <row r="17">
          <cell r="F17">
            <v>306974</v>
          </cell>
        </row>
        <row r="18">
          <cell r="F18">
            <v>320115</v>
          </cell>
        </row>
        <row r="19">
          <cell r="F19">
            <v>333591</v>
          </cell>
        </row>
        <row r="20">
          <cell r="F20">
            <v>335126</v>
          </cell>
        </row>
        <row r="21">
          <cell r="F21">
            <v>347623</v>
          </cell>
        </row>
        <row r="22">
          <cell r="F22">
            <v>360120</v>
          </cell>
        </row>
        <row r="23">
          <cell r="F23">
            <v>372617</v>
          </cell>
        </row>
        <row r="24">
          <cell r="F24">
            <v>385114</v>
          </cell>
        </row>
        <row r="25">
          <cell r="F25">
            <v>397611</v>
          </cell>
        </row>
        <row r="26">
          <cell r="F26">
            <v>410108</v>
          </cell>
        </row>
        <row r="27">
          <cell r="F27">
            <v>422605</v>
          </cell>
        </row>
        <row r="28">
          <cell r="F28">
            <v>435102</v>
          </cell>
        </row>
        <row r="29">
          <cell r="F29">
            <v>447599</v>
          </cell>
        </row>
        <row r="30">
          <cell r="F30">
            <v>460096</v>
          </cell>
        </row>
        <row r="31">
          <cell r="F31">
            <v>472593</v>
          </cell>
        </row>
        <row r="32">
          <cell r="F32">
            <v>485090</v>
          </cell>
        </row>
        <row r="33">
          <cell r="F33">
            <v>497587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0.66968051854616339</v>
          </cell>
        </row>
        <row r="29">
          <cell r="O29">
            <v>0.7146416820944872</v>
          </cell>
        </row>
        <row r="30">
          <cell r="O30">
            <v>0.75854078561571447</v>
          </cell>
        </row>
        <row r="31">
          <cell r="O31">
            <v>0.80204739400745984</v>
          </cell>
        </row>
        <row r="32">
          <cell r="O32">
            <v>0.84540424668783698</v>
          </cell>
        </row>
        <row r="33">
          <cell r="O33">
            <v>0.88898598705544085</v>
          </cell>
        </row>
        <row r="34">
          <cell r="O34">
            <v>0.93301645071207928</v>
          </cell>
        </row>
        <row r="35">
          <cell r="O35">
            <v>0.95686598321102423</v>
          </cell>
        </row>
        <row r="36">
          <cell r="O36">
            <v>0.99199245106179257</v>
          </cell>
        </row>
        <row r="37">
          <cell r="O37">
            <v>0.98710707163774536</v>
          </cell>
        </row>
        <row r="38">
          <cell r="O38">
            <v>1.0344076191564804</v>
          </cell>
        </row>
        <row r="39">
          <cell r="O39">
            <v>1.0868025561414538</v>
          </cell>
        </row>
        <row r="40">
          <cell r="O40">
            <v>1.1434133712791998</v>
          </cell>
        </row>
        <row r="41">
          <cell r="O41">
            <v>1.203646628578382</v>
          </cell>
        </row>
        <row r="42">
          <cell r="O42">
            <v>1.2671006998530951</v>
          </cell>
        </row>
        <row r="43">
          <cell r="O43">
            <v>1.3335027972655333</v>
          </cell>
        </row>
        <row r="44">
          <cell r="O44">
            <v>1.4026663454613142</v>
          </cell>
        </row>
        <row r="45">
          <cell r="O45">
            <v>1.4744620084113402</v>
          </cell>
        </row>
        <row r="46">
          <cell r="O46">
            <v>1.5487978827238493</v>
          </cell>
        </row>
        <row r="47">
          <cell r="O47">
            <v>1.6255496109341721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0.47489903523349586</v>
          </cell>
        </row>
        <row r="29">
          <cell r="O29">
            <v>0.50678291508478412</v>
          </cell>
        </row>
        <row r="30">
          <cell r="O30">
            <v>0.53791364284599363</v>
          </cell>
        </row>
        <row r="31">
          <cell r="O31">
            <v>0.56876603556062078</v>
          </cell>
        </row>
        <row r="32">
          <cell r="O32">
            <v>0.59951223010928689</v>
          </cell>
        </row>
        <row r="33">
          <cell r="O33">
            <v>0.63041790211435511</v>
          </cell>
        </row>
        <row r="34">
          <cell r="O34">
            <v>0.66164178295355802</v>
          </cell>
        </row>
        <row r="35">
          <cell r="O35">
            <v>0.68132283241481462</v>
          </cell>
        </row>
        <row r="36">
          <cell r="O36">
            <v>0.69909347424818113</v>
          </cell>
        </row>
        <row r="37">
          <cell r="O37">
            <v>0.71522347176307033</v>
          </cell>
        </row>
        <row r="38">
          <cell r="O38">
            <v>0.72991123254400148</v>
          </cell>
        </row>
        <row r="39">
          <cell r="O39">
            <v>0.74330609930749747</v>
          </cell>
        </row>
        <row r="40">
          <cell r="O40">
            <v>0.75552344316207709</v>
          </cell>
        </row>
        <row r="41">
          <cell r="O41">
            <v>0.76665490907367273</v>
          </cell>
        </row>
        <row r="42">
          <cell r="O42">
            <v>0.77677539230431314</v>
          </cell>
        </row>
        <row r="43">
          <cell r="O43">
            <v>0.78594780717700441</v>
          </cell>
        </row>
        <row r="44">
          <cell r="O44">
            <v>0.794226362201369</v>
          </cell>
        </row>
        <row r="45">
          <cell r="O45">
            <v>0.8016588223715343</v>
          </cell>
        </row>
        <row r="46">
          <cell r="O46">
            <v>0.80828808276922404</v>
          </cell>
        </row>
        <row r="47">
          <cell r="O47">
            <v>0.8141532722899979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1.0607415391609755E-2</v>
          </cell>
        </row>
        <row r="36">
          <cell r="O36">
            <v>1.9310704686583149E-2</v>
          </cell>
        </row>
        <row r="37">
          <cell r="O37">
            <v>2.6852056486758938E-2</v>
          </cell>
        </row>
        <row r="38">
          <cell r="O38">
            <v>3.3745514998608332E-2</v>
          </cell>
        </row>
        <row r="39">
          <cell r="O39">
            <v>4.0352787343147435E-2</v>
          </cell>
        </row>
        <row r="40">
          <cell r="O40">
            <v>4.693424065459257E-2</v>
          </cell>
        </row>
        <row r="41">
          <cell r="O41">
            <v>5.3683263510867982E-2</v>
          </cell>
        </row>
        <row r="42">
          <cell r="O42">
            <v>6.0749473968653399E-2</v>
          </cell>
        </row>
        <row r="43">
          <cell r="O43">
            <v>6.8254451529577598E-2</v>
          </cell>
        </row>
        <row r="44">
          <cell r="O44">
            <v>7.6302460263498226E-2</v>
          </cell>
        </row>
        <row r="45">
          <cell r="O45">
            <v>8.4987818997660586E-2</v>
          </cell>
        </row>
        <row r="46">
          <cell r="O46">
            <v>9.4400030516498493E-2</v>
          </cell>
        </row>
        <row r="47">
          <cell r="O47">
            <v>0.10462741700038289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2.9092499999999999E-3</v>
          </cell>
          <cell r="D6">
            <v>2.1819375E-4</v>
          </cell>
        </row>
        <row r="7">
          <cell r="B7">
            <v>3.0412152000000004E-3</v>
          </cell>
          <cell r="D7">
            <v>2.2809114000000002E-4</v>
          </cell>
        </row>
        <row r="8">
          <cell r="B8">
            <v>3.1775328000000001E-3</v>
          </cell>
          <cell r="D8">
            <v>2.3831496000000001E-4</v>
          </cell>
        </row>
        <row r="9">
          <cell r="B9">
            <v>3.3153192000000002E-3</v>
          </cell>
          <cell r="D9">
            <v>2.4864894000000001E-4</v>
          </cell>
        </row>
        <row r="10">
          <cell r="B10">
            <v>3.4572420000000001E-3</v>
          </cell>
          <cell r="D10">
            <v>2.5929314999999996E-4</v>
          </cell>
        </row>
        <row r="11">
          <cell r="B11">
            <v>3.6027828E-3</v>
          </cell>
          <cell r="D11">
            <v>2.7020870999999995E-4</v>
          </cell>
        </row>
        <row r="12">
          <cell r="B12">
            <v>3.7225125828E-3</v>
          </cell>
          <cell r="D12">
            <v>2.7918844370999993E-4</v>
          </cell>
        </row>
        <row r="13">
          <cell r="B13">
            <v>3.9713745720428998E-3</v>
          </cell>
          <cell r="D13">
            <v>2.978530929032175E-4</v>
          </cell>
        </row>
        <row r="14">
          <cell r="B14">
            <v>4.2313980838272654E-3</v>
          </cell>
          <cell r="D14">
            <v>3.173548562870449E-4</v>
          </cell>
        </row>
        <row r="15">
          <cell r="B15">
            <v>4.5030171867871992E-3</v>
          </cell>
          <cell r="D15">
            <v>3.377262890090399E-4</v>
          </cell>
        </row>
        <row r="16">
          <cell r="B16">
            <v>4.7866816255222591E-3</v>
          </cell>
          <cell r="D16">
            <v>3.5900112191416942E-4</v>
          </cell>
        </row>
        <row r="17">
          <cell r="B17">
            <v>5.0828573615552515E-3</v>
          </cell>
          <cell r="D17">
            <v>3.8121430211664382E-4</v>
          </cell>
        </row>
        <row r="18">
          <cell r="B18">
            <v>5.3920271323917917E-3</v>
          </cell>
          <cell r="D18">
            <v>4.0440203492938436E-4</v>
          </cell>
        </row>
        <row r="19">
          <cell r="B19">
            <v>5.7146910292740919E-3</v>
          </cell>
          <cell r="D19">
            <v>4.2860182719555687E-4</v>
          </cell>
        </row>
        <row r="20">
          <cell r="B20">
            <v>6.0513670942403987E-3</v>
          </cell>
          <cell r="D20">
            <v>4.5385253206802991E-4</v>
          </cell>
        </row>
        <row r="21">
          <cell r="B21">
            <v>6.4025919371212565E-3</v>
          </cell>
          <cell r="D21">
            <v>4.8019439528409417E-4</v>
          </cell>
        </row>
        <row r="22">
          <cell r="B22">
            <v>6.7689213731240271E-3</v>
          </cell>
          <cell r="D22">
            <v>5.0766910298430206E-4</v>
          </cell>
        </row>
        <row r="23">
          <cell r="B23">
            <v>7.1509310816780291E-3</v>
          </cell>
          <cell r="D23">
            <v>5.3631983112585211E-4</v>
          </cell>
        </row>
        <row r="24">
          <cell r="B24">
            <v>7.5492172872342871E-3</v>
          </cell>
          <cell r="D24">
            <v>5.6619129654257149E-4</v>
          </cell>
        </row>
        <row r="25">
          <cell r="B25">
            <v>7.9613920000000012E-3</v>
          </cell>
          <cell r="D25">
            <v>5.9710440000000013E-4</v>
          </cell>
        </row>
        <row r="32">
          <cell r="B32">
            <v>2.2368226562499999E-2</v>
          </cell>
          <cell r="D32">
            <v>5.1618984375E-4</v>
          </cell>
        </row>
        <row r="33">
          <cell r="B33">
            <v>2.3382861775E-2</v>
          </cell>
          <cell r="D33">
            <v>5.3960450250000011E-4</v>
          </cell>
        </row>
        <row r="34">
          <cell r="B34">
            <v>2.4430961099999999E-2</v>
          </cell>
          <cell r="D34">
            <v>5.6379141E-4</v>
          </cell>
        </row>
        <row r="35">
          <cell r="B35">
            <v>2.5490353525000002E-2</v>
          </cell>
          <cell r="D35">
            <v>5.8823892750000002E-4</v>
          </cell>
        </row>
        <row r="36">
          <cell r="B36">
            <v>2.6581549312500008E-2</v>
          </cell>
          <cell r="D36">
            <v>6.1342036875000009E-4</v>
          </cell>
        </row>
        <row r="37">
          <cell r="B37">
            <v>2.7700562662500001E-2</v>
          </cell>
          <cell r="D37">
            <v>6.3924375374999997E-4</v>
          </cell>
        </row>
        <row r="38">
          <cell r="B38">
            <v>2.7828025225000004E-2</v>
          </cell>
          <cell r="D38">
            <v>6.4218519750000016E-4</v>
          </cell>
        </row>
        <row r="39">
          <cell r="B39">
            <v>2.8865744862500001E-2</v>
          </cell>
          <cell r="D39">
            <v>6.6613257375000004E-4</v>
          </cell>
        </row>
        <row r="40">
          <cell r="B40">
            <v>2.9903464500000001E-2</v>
          </cell>
          <cell r="D40">
            <v>6.9007995000000002E-4</v>
          </cell>
        </row>
        <row r="41">
          <cell r="B41">
            <v>3.0941184137500004E-2</v>
          </cell>
          <cell r="D41">
            <v>7.1402732625000011E-4</v>
          </cell>
        </row>
        <row r="42">
          <cell r="B42">
            <v>3.1978903774999998E-2</v>
          </cell>
          <cell r="D42">
            <v>7.3797470250000009E-4</v>
          </cell>
        </row>
        <row r="43">
          <cell r="B43">
            <v>3.3016623412499994E-2</v>
          </cell>
          <cell r="D43">
            <v>7.6192207874999985E-4</v>
          </cell>
        </row>
        <row r="44">
          <cell r="B44">
            <v>3.4054343049999998E-2</v>
          </cell>
          <cell r="D44">
            <v>7.8586945499999994E-4</v>
          </cell>
        </row>
        <row r="45">
          <cell r="B45">
            <v>3.5092062687499995E-2</v>
          </cell>
          <cell r="D45">
            <v>8.0981683124999992E-4</v>
          </cell>
        </row>
        <row r="46">
          <cell r="B46">
            <v>3.6129782324999998E-2</v>
          </cell>
          <cell r="D46">
            <v>8.3376420750000001E-4</v>
          </cell>
        </row>
        <row r="47">
          <cell r="B47">
            <v>3.7167501962500002E-2</v>
          </cell>
          <cell r="D47">
            <v>8.5771158375000009E-4</v>
          </cell>
        </row>
        <row r="48">
          <cell r="B48">
            <v>3.8205221599999999E-2</v>
          </cell>
          <cell r="D48">
            <v>8.8165895999999986E-4</v>
          </cell>
        </row>
        <row r="49">
          <cell r="B49">
            <v>3.9242941237500002E-2</v>
          </cell>
          <cell r="D49">
            <v>9.0560633625000005E-4</v>
          </cell>
        </row>
        <row r="50">
          <cell r="B50">
            <v>4.0280660874999999E-2</v>
          </cell>
          <cell r="D50">
            <v>9.2955371250000004E-4</v>
          </cell>
        </row>
        <row r="51">
          <cell r="B51">
            <v>4.1318380512500003E-2</v>
          </cell>
          <cell r="D51">
            <v>9.5350108875000002E-4</v>
          </cell>
        </row>
        <row r="59">
          <cell r="B59">
            <v>0.28142080349999998</v>
          </cell>
          <cell r="D59">
            <v>9.564120892857143E-3</v>
          </cell>
        </row>
        <row r="60">
          <cell r="B60">
            <v>0.29418620785440003</v>
          </cell>
          <cell r="D60">
            <v>9.63775578857143E-3</v>
          </cell>
        </row>
        <row r="61">
          <cell r="B61">
            <v>0.30737263340160004</v>
          </cell>
          <cell r="D61">
            <v>9.9273522102857146E-3</v>
          </cell>
        </row>
        <row r="62">
          <cell r="B62">
            <v>0.32070114054239995</v>
          </cell>
          <cell r="D62">
            <v>1.0587767144952383E-2</v>
          </cell>
        </row>
        <row r="63">
          <cell r="B63">
            <v>0.33442977452400002</v>
          </cell>
          <cell r="D63">
            <v>1.1041010247142859E-2</v>
          </cell>
        </row>
        <row r="64">
          <cell r="B64">
            <v>0.34850838890159996</v>
          </cell>
          <cell r="D64">
            <v>1.1505807754571429E-2</v>
          </cell>
        </row>
        <row r="65">
          <cell r="B65">
            <v>0.35011203041759997</v>
          </cell>
          <cell r="D65">
            <v>1.1558751074095239E-2</v>
          </cell>
        </row>
        <row r="66">
          <cell r="B66">
            <v>0.36316786626480002</v>
          </cell>
          <cell r="D66">
            <v>1.1989782125619049E-2</v>
          </cell>
        </row>
        <row r="67">
          <cell r="B67">
            <v>0.37622370211200001</v>
          </cell>
          <cell r="D67">
            <v>1.2420813177142859E-2</v>
          </cell>
        </row>
        <row r="68">
          <cell r="B68">
            <v>0.38927953795919995</v>
          </cell>
          <cell r="D68">
            <v>1.2851844228666672E-2</v>
          </cell>
        </row>
        <row r="69">
          <cell r="B69">
            <v>0.4023353738064</v>
          </cell>
          <cell r="D69">
            <v>1.328287528019048E-2</v>
          </cell>
        </row>
        <row r="70">
          <cell r="B70">
            <v>0.41539120965359999</v>
          </cell>
          <cell r="D70">
            <v>1.3713906331714288E-2</v>
          </cell>
        </row>
        <row r="71">
          <cell r="B71">
            <v>0.42844704550079998</v>
          </cell>
          <cell r="D71">
            <v>1.4144937383238096E-2</v>
          </cell>
        </row>
        <row r="72">
          <cell r="B72">
            <v>0.44150288134800009</v>
          </cell>
          <cell r="D72">
            <v>1.4575968434761909E-2</v>
          </cell>
        </row>
        <row r="73">
          <cell r="B73">
            <v>0.45330505607520011</v>
          </cell>
          <cell r="D73">
            <v>1.4965610572000002E-2</v>
          </cell>
        </row>
        <row r="74">
          <cell r="B74">
            <v>0.46636089192239999</v>
          </cell>
          <cell r="D74">
            <v>1.5396641623523812E-2</v>
          </cell>
        </row>
        <row r="75">
          <cell r="B75">
            <v>0.47941672776959993</v>
          </cell>
          <cell r="D75">
            <v>1.5827672675047623E-2</v>
          </cell>
        </row>
        <row r="76">
          <cell r="B76">
            <v>0.49247256361679997</v>
          </cell>
          <cell r="D76">
            <v>1.6258703726571431E-2</v>
          </cell>
        </row>
        <row r="77">
          <cell r="B77">
            <v>0.50552839946400008</v>
          </cell>
          <cell r="D77">
            <v>1.6689734778095235E-2</v>
          </cell>
        </row>
        <row r="78">
          <cell r="B78">
            <v>0.51858423531120001</v>
          </cell>
          <cell r="D78">
            <v>1.7120765829619054E-2</v>
          </cell>
        </row>
      </sheetData>
      <sheetData sheetId="4"/>
      <sheetData sheetId="5">
        <row r="14">
          <cell r="M14">
            <v>0.62354518249286106</v>
          </cell>
        </row>
        <row r="15">
          <cell r="M15">
            <v>0.6514945965195269</v>
          </cell>
        </row>
        <row r="16">
          <cell r="M16">
            <v>0.67974516094293047</v>
          </cell>
        </row>
        <row r="17">
          <cell r="M17">
            <v>0.70884381802773588</v>
          </cell>
        </row>
        <row r="18">
          <cell r="M18">
            <v>0.73868427939862358</v>
          </cell>
        </row>
        <row r="19">
          <cell r="M19">
            <v>0.74208329306768839</v>
          </cell>
        </row>
        <row r="20">
          <cell r="M20">
            <v>0.76975591445029334</v>
          </cell>
        </row>
        <row r="21">
          <cell r="M21">
            <v>0.79742853583289819</v>
          </cell>
        </row>
        <row r="22">
          <cell r="M22">
            <v>0.82510115721550337</v>
          </cell>
        </row>
        <row r="23">
          <cell r="M23">
            <v>0.85277377859810821</v>
          </cell>
        </row>
        <row r="24">
          <cell r="M24">
            <v>0.88044639998071317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/>
      <sheetData sheetId="1"/>
      <sheetData sheetId="2"/>
      <sheetData sheetId="3">
        <row r="6">
          <cell r="Q6" t="str">
            <v xml:space="preserve"> Emisi GRK dari sampah yang dilakukan 3R</v>
          </cell>
          <cell r="R6"/>
          <cell r="S6"/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11337594</v>
          </cell>
        </row>
        <row r="13">
          <cell r="G13">
            <v>14991180</v>
          </cell>
        </row>
        <row r="14">
          <cell r="G14">
            <v>20414448</v>
          </cell>
        </row>
        <row r="15">
          <cell r="G15">
            <v>31218474</v>
          </cell>
        </row>
        <row r="16">
          <cell r="G16">
            <v>34167174</v>
          </cell>
        </row>
        <row r="17">
          <cell r="G17">
            <v>30494124</v>
          </cell>
        </row>
        <row r="18">
          <cell r="G18">
            <v>37834385.07</v>
          </cell>
        </row>
        <row r="19">
          <cell r="G19">
            <v>42918522.623999998</v>
          </cell>
        </row>
        <row r="20">
          <cell r="G20">
            <v>48176821.061999999</v>
          </cell>
        </row>
        <row r="21">
          <cell r="G21">
            <v>53609280.383999996</v>
          </cell>
        </row>
      </sheetData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56498033.806666672</v>
          </cell>
        </row>
        <row r="13">
          <cell r="G13">
            <v>59457231.199999988</v>
          </cell>
        </row>
        <row r="14">
          <cell r="G14">
            <v>62486872.563999988</v>
          </cell>
        </row>
        <row r="15">
          <cell r="G15">
            <v>65586957.898666658</v>
          </cell>
        </row>
        <row r="16">
          <cell r="G16">
            <v>68757487.203999981</v>
          </cell>
        </row>
        <row r="17">
          <cell r="G17">
            <v>71998460.480000004</v>
          </cell>
        </row>
        <row r="18">
          <cell r="G18">
            <v>75309877.726666659</v>
          </cell>
        </row>
        <row r="19">
          <cell r="G19">
            <v>78691738.943999991</v>
          </cell>
        </row>
        <row r="20">
          <cell r="G20">
            <v>82144044.131999984</v>
          </cell>
        </row>
        <row r="21">
          <cell r="G21">
            <v>83503834.895999983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C5" sqref="C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150</v>
      </c>
    </row>
    <row r="2" spans="1:14" ht="21" x14ac:dyDescent="0.25">
      <c r="G2" s="80" t="s">
        <v>17</v>
      </c>
    </row>
    <row r="3" spans="1:14" ht="15.75" customHeight="1" x14ac:dyDescent="0.25">
      <c r="A3" s="183" t="s">
        <v>10</v>
      </c>
      <c r="B3" s="183" t="s">
        <v>123</v>
      </c>
      <c r="C3" s="78" t="s">
        <v>11</v>
      </c>
      <c r="D3" s="182" t="s">
        <v>11</v>
      </c>
      <c r="E3" s="182"/>
      <c r="G3" s="81" t="s">
        <v>15</v>
      </c>
      <c r="H3" s="81"/>
      <c r="I3" s="81"/>
    </row>
    <row r="4" spans="1:14" x14ac:dyDescent="0.25">
      <c r="A4" s="184"/>
      <c r="B4" s="184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9">
        <v>2011</v>
      </c>
      <c r="B5" s="90">
        <f>[1]Sheet3!F14</f>
        <v>269375</v>
      </c>
      <c r="C5" s="82">
        <v>0.2</v>
      </c>
      <c r="D5" s="151">
        <f t="shared" ref="D5:D24" si="0">C5*B5</f>
        <v>53875</v>
      </c>
      <c r="E5" s="136">
        <f>D5/1000</f>
        <v>53.875</v>
      </c>
    </row>
    <row r="6" spans="1:14" x14ac:dyDescent="0.25">
      <c r="A6" s="89">
        <v>2012</v>
      </c>
      <c r="B6" s="90">
        <f>[1]Sheet3!F15</f>
        <v>281594</v>
      </c>
      <c r="C6" s="82">
        <v>0.2</v>
      </c>
      <c r="D6" s="151">
        <f t="shared" si="0"/>
        <v>56318.8</v>
      </c>
      <c r="E6" s="136">
        <f t="shared" ref="E6:E24" si="1">D6/1000</f>
        <v>56.318800000000003</v>
      </c>
      <c r="G6" s="83" t="s">
        <v>36</v>
      </c>
      <c r="H6" s="83"/>
      <c r="I6" s="83"/>
      <c r="J6" s="84">
        <v>2</v>
      </c>
      <c r="K6" s="85" t="s">
        <v>32</v>
      </c>
      <c r="L6" s="84">
        <v>3</v>
      </c>
      <c r="M6" s="83" t="s">
        <v>37</v>
      </c>
      <c r="N6" s="83"/>
    </row>
    <row r="7" spans="1:14" x14ac:dyDescent="0.25">
      <c r="A7" s="89">
        <v>2013</v>
      </c>
      <c r="B7" s="90">
        <f>[1]Sheet3!F16</f>
        <v>294216</v>
      </c>
      <c r="C7" s="82">
        <v>0.2</v>
      </c>
      <c r="D7" s="151">
        <f t="shared" si="0"/>
        <v>58843.200000000004</v>
      </c>
      <c r="E7" s="136">
        <f t="shared" si="1"/>
        <v>58.843200000000003</v>
      </c>
      <c r="G7" s="83"/>
      <c r="H7" s="83"/>
      <c r="I7" s="83"/>
      <c r="J7" s="84">
        <f>(2*250)/1000</f>
        <v>0.5</v>
      </c>
      <c r="K7" s="85" t="s">
        <v>32</v>
      </c>
      <c r="L7" s="84">
        <f>(3*250)/1000</f>
        <v>0.75</v>
      </c>
      <c r="M7" s="83" t="s">
        <v>12</v>
      </c>
      <c r="N7" s="83"/>
    </row>
    <row r="8" spans="1:14" x14ac:dyDescent="0.25">
      <c r="A8" s="89">
        <v>2014</v>
      </c>
      <c r="B8" s="90">
        <f>[1]Sheet3!F17</f>
        <v>306974</v>
      </c>
      <c r="C8" s="82">
        <v>0.2</v>
      </c>
      <c r="D8" s="151">
        <f t="shared" si="0"/>
        <v>61394.8</v>
      </c>
      <c r="E8" s="136">
        <f t="shared" si="1"/>
        <v>61.394800000000004</v>
      </c>
      <c r="G8" s="83"/>
      <c r="H8" s="83"/>
      <c r="I8" s="83"/>
      <c r="J8" s="86">
        <f>J7*(365/1000)</f>
        <v>0.1825</v>
      </c>
      <c r="K8" s="87" t="s">
        <v>32</v>
      </c>
      <c r="L8" s="86">
        <f>L7*(365/1000)</f>
        <v>0.27374999999999999</v>
      </c>
      <c r="M8" s="83" t="s">
        <v>38</v>
      </c>
      <c r="N8" s="83"/>
    </row>
    <row r="9" spans="1:14" x14ac:dyDescent="0.25">
      <c r="A9" s="89">
        <v>2015</v>
      </c>
      <c r="B9" s="90">
        <f>[1]Sheet3!F18</f>
        <v>320115</v>
      </c>
      <c r="C9" s="82">
        <v>0.2</v>
      </c>
      <c r="D9" s="151">
        <f t="shared" si="0"/>
        <v>64023</v>
      </c>
      <c r="E9" s="136">
        <f t="shared" si="1"/>
        <v>64.022999999999996</v>
      </c>
    </row>
    <row r="10" spans="1:14" x14ac:dyDescent="0.25">
      <c r="A10" s="89">
        <v>2016</v>
      </c>
      <c r="B10" s="90">
        <f>[1]Sheet3!F19</f>
        <v>333591</v>
      </c>
      <c r="C10" s="82">
        <v>0.2</v>
      </c>
      <c r="D10" s="151">
        <f t="shared" si="0"/>
        <v>66718.2</v>
      </c>
      <c r="E10" s="136">
        <f t="shared" si="1"/>
        <v>66.718199999999996</v>
      </c>
      <c r="G10" s="88" t="s">
        <v>33</v>
      </c>
      <c r="H10" s="88"/>
      <c r="I10" s="88" t="s">
        <v>34</v>
      </c>
      <c r="J10" s="88"/>
      <c r="K10" s="88"/>
    </row>
    <row r="11" spans="1:14" x14ac:dyDescent="0.25">
      <c r="A11" s="89">
        <v>2017</v>
      </c>
      <c r="B11" s="90">
        <f>[1]Sheet3!F20</f>
        <v>335126</v>
      </c>
      <c r="C11" s="82">
        <v>0.2</v>
      </c>
      <c r="D11" s="151">
        <f t="shared" si="0"/>
        <v>67025.2</v>
      </c>
      <c r="E11" s="136">
        <f t="shared" si="1"/>
        <v>67.025199999999998</v>
      </c>
      <c r="G11" s="88"/>
      <c r="H11" s="88"/>
      <c r="I11" s="88" t="s">
        <v>35</v>
      </c>
      <c r="J11" s="88"/>
      <c r="K11" s="88"/>
    </row>
    <row r="12" spans="1:14" x14ac:dyDescent="0.25">
      <c r="A12" s="89">
        <v>2018</v>
      </c>
      <c r="B12" s="90">
        <f>[1]Sheet3!F21</f>
        <v>347623</v>
      </c>
      <c r="C12" s="82">
        <v>0.2</v>
      </c>
      <c r="D12" s="151">
        <f t="shared" si="0"/>
        <v>69524.600000000006</v>
      </c>
      <c r="E12" s="136">
        <f t="shared" si="1"/>
        <v>69.524600000000007</v>
      </c>
    </row>
    <row r="13" spans="1:14" x14ac:dyDescent="0.25">
      <c r="A13" s="89">
        <v>2019</v>
      </c>
      <c r="B13" s="90">
        <f>[1]Sheet3!F22</f>
        <v>360120</v>
      </c>
      <c r="C13" s="82">
        <v>0.2</v>
      </c>
      <c r="D13" s="151">
        <f t="shared" si="0"/>
        <v>72024</v>
      </c>
      <c r="E13" s="136">
        <f t="shared" si="1"/>
        <v>72.024000000000001</v>
      </c>
    </row>
    <row r="14" spans="1:14" x14ac:dyDescent="0.25">
      <c r="A14" s="89">
        <v>2020</v>
      </c>
      <c r="B14" s="90">
        <f>[1]Sheet3!F23</f>
        <v>372617</v>
      </c>
      <c r="C14" s="82">
        <v>0.2</v>
      </c>
      <c r="D14" s="151">
        <f t="shared" si="0"/>
        <v>74523.400000000009</v>
      </c>
      <c r="E14" s="136">
        <f t="shared" si="1"/>
        <v>74.523400000000009</v>
      </c>
    </row>
    <row r="15" spans="1:14" x14ac:dyDescent="0.25">
      <c r="A15" s="89">
        <v>2021</v>
      </c>
      <c r="B15" s="90">
        <f>[1]Sheet3!F24</f>
        <v>385114</v>
      </c>
      <c r="C15" s="82">
        <v>0.2</v>
      </c>
      <c r="D15" s="151">
        <f t="shared" si="0"/>
        <v>77022.8</v>
      </c>
      <c r="E15" s="136">
        <f t="shared" si="1"/>
        <v>77.022800000000004</v>
      </c>
    </row>
    <row r="16" spans="1:14" x14ac:dyDescent="0.25">
      <c r="A16" s="89">
        <v>2022</v>
      </c>
      <c r="B16" s="90">
        <f>[1]Sheet3!F25</f>
        <v>397611</v>
      </c>
      <c r="C16" s="82">
        <v>0.2</v>
      </c>
      <c r="D16" s="151">
        <f t="shared" si="0"/>
        <v>79522.200000000012</v>
      </c>
      <c r="E16" s="136">
        <f t="shared" si="1"/>
        <v>79.522200000000012</v>
      </c>
    </row>
    <row r="17" spans="1:10" x14ac:dyDescent="0.25">
      <c r="A17" s="89">
        <v>2023</v>
      </c>
      <c r="B17" s="90">
        <f>[1]Sheet3!F26</f>
        <v>410108</v>
      </c>
      <c r="C17" s="82">
        <v>0.2</v>
      </c>
      <c r="D17" s="151">
        <f t="shared" si="0"/>
        <v>82021.600000000006</v>
      </c>
      <c r="E17" s="136">
        <f t="shared" si="1"/>
        <v>82.021600000000007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[1]Sheet3!F27</f>
        <v>422605</v>
      </c>
      <c r="C18" s="82">
        <v>0.2</v>
      </c>
      <c r="D18" s="151">
        <f t="shared" si="0"/>
        <v>84521</v>
      </c>
      <c r="E18" s="136">
        <f t="shared" si="1"/>
        <v>84.521000000000001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[1]Sheet3!F28</f>
        <v>435102</v>
      </c>
      <c r="C19" s="82">
        <v>0.2</v>
      </c>
      <c r="D19" s="151">
        <f t="shared" si="0"/>
        <v>87020.400000000009</v>
      </c>
      <c r="E19" s="136">
        <f t="shared" si="1"/>
        <v>87.020400000000009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[1]Sheet3!F29</f>
        <v>447599</v>
      </c>
      <c r="C20" s="82">
        <v>0.2</v>
      </c>
      <c r="D20" s="151">
        <f t="shared" si="0"/>
        <v>89519.8</v>
      </c>
      <c r="E20" s="136">
        <f t="shared" si="1"/>
        <v>89.519800000000004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[1]Sheet3!F30</f>
        <v>460096</v>
      </c>
      <c r="C21" s="82">
        <v>0.2</v>
      </c>
      <c r="D21" s="151">
        <f t="shared" si="0"/>
        <v>92019.200000000012</v>
      </c>
      <c r="E21" s="136">
        <f t="shared" si="1"/>
        <v>92.019200000000012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[1]Sheet3!F31</f>
        <v>472593</v>
      </c>
      <c r="C22" s="82">
        <v>0.2</v>
      </c>
      <c r="D22" s="151">
        <f t="shared" si="0"/>
        <v>94518.6</v>
      </c>
      <c r="E22" s="136">
        <f t="shared" si="1"/>
        <v>94.518600000000006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[1]Sheet3!F32</f>
        <v>485090</v>
      </c>
      <c r="C23" s="82">
        <v>0.2</v>
      </c>
      <c r="D23" s="151">
        <f t="shared" si="0"/>
        <v>97018</v>
      </c>
      <c r="E23" s="136">
        <f t="shared" si="1"/>
        <v>97.018000000000001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[1]Sheet3!F33</f>
        <v>497587</v>
      </c>
      <c r="C24" s="82">
        <v>0.2</v>
      </c>
      <c r="D24" s="151">
        <f t="shared" si="0"/>
        <v>99517.400000000009</v>
      </c>
      <c r="E24" s="136">
        <f t="shared" si="1"/>
        <v>99.517400000000009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" zoomScaleNormal="100" workbookViewId="0">
      <selection activeCell="B72" sqref="B72"/>
    </sheetView>
  </sheetViews>
  <sheetFormatPr defaultRowHeight="12.75" x14ac:dyDescent="0.25"/>
  <cols>
    <col min="1" max="1" width="9.140625" style="130"/>
    <col min="2" max="2" width="15.5703125" style="130" customWidth="1"/>
    <col min="3" max="3" width="11" style="130" customWidth="1"/>
    <col min="4" max="6" width="9.140625" style="130"/>
    <col min="7" max="7" width="12.28515625" style="130" customWidth="1"/>
    <col min="8" max="8" width="9.140625" style="130"/>
    <col min="9" max="9" width="16.85546875" style="130" customWidth="1"/>
    <col min="10" max="10" width="24" style="130" customWidth="1"/>
    <col min="11" max="11" width="9.140625" style="130"/>
    <col min="12" max="12" width="9" style="137" bestFit="1" customWidth="1"/>
    <col min="13" max="13" width="12" style="137" bestFit="1" customWidth="1"/>
    <col min="14" max="14" width="2.42578125" style="137" customWidth="1"/>
    <col min="15" max="15" width="7.140625" style="137" customWidth="1"/>
    <col min="16" max="19" width="9.140625" style="137"/>
    <col min="20" max="20" width="1.42578125" style="137" customWidth="1"/>
    <col min="21" max="21" width="7.140625" style="137" customWidth="1"/>
    <col min="22" max="22" width="50.28515625" style="137" customWidth="1"/>
    <col min="23" max="25" width="9.140625" style="137"/>
    <col min="26" max="16384" width="9.140625" style="130"/>
  </cols>
  <sheetData>
    <row r="2" spans="1:21" ht="51" x14ac:dyDescent="0.25">
      <c r="A2" s="185" t="s">
        <v>156</v>
      </c>
      <c r="B2" s="185"/>
      <c r="C2" s="185"/>
      <c r="D2" s="185"/>
      <c r="E2" s="185"/>
      <c r="F2" s="185"/>
      <c r="G2" s="185"/>
      <c r="H2" s="185"/>
      <c r="I2" s="185"/>
      <c r="J2" s="174" t="s">
        <v>157</v>
      </c>
    </row>
    <row r="3" spans="1:21" x14ac:dyDescent="0.25">
      <c r="A3" s="138" t="s">
        <v>150</v>
      </c>
    </row>
    <row r="4" spans="1:21" x14ac:dyDescent="0.25">
      <c r="A4" s="186" t="s">
        <v>8</v>
      </c>
      <c r="B4" s="186" t="s">
        <v>0</v>
      </c>
      <c r="C4" s="186"/>
      <c r="D4" s="186"/>
      <c r="E4" s="186"/>
      <c r="F4" s="186"/>
      <c r="G4" s="186"/>
      <c r="H4" s="186"/>
      <c r="I4" s="190" t="s">
        <v>9</v>
      </c>
    </row>
    <row r="5" spans="1:21" ht="25.5" x14ac:dyDescent="0.25">
      <c r="A5" s="186"/>
      <c r="B5" s="135" t="s">
        <v>1</v>
      </c>
      <c r="C5" s="135" t="s">
        <v>2</v>
      </c>
      <c r="D5" s="135" t="s">
        <v>146</v>
      </c>
      <c r="E5" s="135" t="s">
        <v>4</v>
      </c>
      <c r="F5" s="176" t="s">
        <v>158</v>
      </c>
      <c r="G5" s="135" t="s">
        <v>126</v>
      </c>
      <c r="H5" s="135" t="s">
        <v>7</v>
      </c>
      <c r="I5" s="191"/>
      <c r="P5" s="139"/>
    </row>
    <row r="6" spans="1:21" ht="17.25" customHeight="1" x14ac:dyDescent="0.25">
      <c r="A6" s="140">
        <v>2011</v>
      </c>
      <c r="B6" s="175">
        <v>0.31609999999999999</v>
      </c>
      <c r="C6" s="175">
        <f>4%+9.35%+8.46%+6.21%</f>
        <v>0.2802</v>
      </c>
      <c r="D6" s="175">
        <v>1.35E-2</v>
      </c>
      <c r="E6" s="175">
        <v>0.39019999999999999</v>
      </c>
      <c r="F6" s="172">
        <v>0</v>
      </c>
      <c r="G6" s="172"/>
      <c r="H6" s="172"/>
      <c r="I6" s="141">
        <f>SUM(B6:H6)</f>
        <v>1</v>
      </c>
      <c r="L6" s="92"/>
    </row>
    <row r="7" spans="1:21" x14ac:dyDescent="0.25">
      <c r="A7" s="140">
        <v>2012</v>
      </c>
      <c r="B7" s="175">
        <v>0.31609999999999999</v>
      </c>
      <c r="C7" s="175">
        <f t="shared" ref="C7:C11" si="0">4%+9.35%+8.46%+6.21%</f>
        <v>0.2802</v>
      </c>
      <c r="D7" s="175">
        <v>1.35E-2</v>
      </c>
      <c r="E7" s="175">
        <v>0.39019999999999999</v>
      </c>
      <c r="F7" s="172">
        <v>0</v>
      </c>
      <c r="G7" s="172"/>
      <c r="H7" s="172"/>
      <c r="I7" s="141">
        <f t="shared" ref="I7:I25" si="1">SUM(B7:H7)</f>
        <v>1</v>
      </c>
      <c r="L7" s="137">
        <v>2000</v>
      </c>
      <c r="M7" s="137">
        <f>M8-(M8*0.024)</f>
        <v>0</v>
      </c>
      <c r="N7" s="93"/>
      <c r="O7" s="94"/>
      <c r="P7" s="139"/>
      <c r="S7" s="142"/>
      <c r="T7" s="143"/>
      <c r="U7" s="142"/>
    </row>
    <row r="8" spans="1:21" x14ac:dyDescent="0.25">
      <c r="A8" s="140">
        <v>2013</v>
      </c>
      <c r="B8" s="175">
        <v>0.31609999999999999</v>
      </c>
      <c r="C8" s="175">
        <f t="shared" si="0"/>
        <v>0.2802</v>
      </c>
      <c r="D8" s="175">
        <v>1.35E-2</v>
      </c>
      <c r="E8" s="175">
        <v>0.39019999999999999</v>
      </c>
      <c r="F8" s="172">
        <v>0</v>
      </c>
      <c r="G8" s="172"/>
      <c r="H8" s="172"/>
      <c r="I8" s="141">
        <f t="shared" si="1"/>
        <v>1</v>
      </c>
      <c r="L8" s="137">
        <v>2001</v>
      </c>
      <c r="M8" s="137">
        <f t="shared" ref="M8:M10" si="2">M9-(M9*0.024)</f>
        <v>0</v>
      </c>
      <c r="N8" s="94"/>
      <c r="O8" s="94"/>
      <c r="P8" s="139"/>
      <c r="S8" s="144"/>
      <c r="T8" s="144"/>
      <c r="U8" s="144"/>
    </row>
    <row r="9" spans="1:21" x14ac:dyDescent="0.25">
      <c r="A9" s="140">
        <v>2014</v>
      </c>
      <c r="B9" s="175">
        <v>0.31609999999999999</v>
      </c>
      <c r="C9" s="175">
        <f t="shared" si="0"/>
        <v>0.2802</v>
      </c>
      <c r="D9" s="175">
        <v>1.35E-2</v>
      </c>
      <c r="E9" s="175">
        <v>0.39019999999999999</v>
      </c>
      <c r="F9" s="172">
        <v>0</v>
      </c>
      <c r="G9" s="172"/>
      <c r="H9" s="172"/>
      <c r="I9" s="141">
        <f t="shared" si="1"/>
        <v>1</v>
      </c>
      <c r="L9" s="137">
        <v>2002</v>
      </c>
      <c r="M9" s="137">
        <f t="shared" si="2"/>
        <v>0</v>
      </c>
      <c r="N9" s="94"/>
      <c r="O9" s="94"/>
      <c r="P9" s="139"/>
    </row>
    <row r="10" spans="1:21" x14ac:dyDescent="0.25">
      <c r="A10" s="140">
        <v>2015</v>
      </c>
      <c r="B10" s="175">
        <v>0.31609999999999999</v>
      </c>
      <c r="C10" s="175">
        <f t="shared" si="0"/>
        <v>0.2802</v>
      </c>
      <c r="D10" s="175">
        <v>1.35E-2</v>
      </c>
      <c r="E10" s="175">
        <v>0.39019999999999999</v>
      </c>
      <c r="F10" s="172">
        <v>0</v>
      </c>
      <c r="G10" s="172"/>
      <c r="H10" s="172"/>
      <c r="I10" s="141">
        <f t="shared" si="1"/>
        <v>1</v>
      </c>
      <c r="L10" s="137">
        <v>2003</v>
      </c>
      <c r="M10" s="137">
        <f t="shared" si="2"/>
        <v>0</v>
      </c>
      <c r="N10" s="93"/>
      <c r="O10" s="94"/>
      <c r="P10" s="139"/>
    </row>
    <row r="11" spans="1:21" x14ac:dyDescent="0.25">
      <c r="A11" s="140">
        <v>2016</v>
      </c>
      <c r="B11" s="175">
        <v>0.31609999999999999</v>
      </c>
      <c r="C11" s="175">
        <f t="shared" si="0"/>
        <v>0.2802</v>
      </c>
      <c r="D11" s="175">
        <v>1.35E-2</v>
      </c>
      <c r="E11" s="175">
        <v>0.39019999999999999</v>
      </c>
      <c r="F11" s="172">
        <v>0</v>
      </c>
      <c r="G11" s="172"/>
      <c r="H11" s="172"/>
      <c r="I11" s="141">
        <f t="shared" si="1"/>
        <v>1</v>
      </c>
      <c r="L11" s="137">
        <v>2004</v>
      </c>
      <c r="M11" s="137">
        <f>M12-(M12*0.024)</f>
        <v>0</v>
      </c>
    </row>
    <row r="12" spans="1:21" x14ac:dyDescent="0.25">
      <c r="A12" s="140">
        <v>2017</v>
      </c>
      <c r="B12" s="175">
        <f>B11*1.0255</f>
        <v>0.32416054999999999</v>
      </c>
      <c r="C12" s="175">
        <f>C11*(1-0.0238)</f>
        <v>0.27353124000000001</v>
      </c>
      <c r="D12" s="175">
        <f t="shared" ref="D12:D24" si="3">D11*1.0285</f>
        <v>1.388475E-2</v>
      </c>
      <c r="E12" s="175">
        <f>E11*(1-0.0119)</f>
        <v>0.38555661999999996</v>
      </c>
      <c r="F12" s="172">
        <v>0.02</v>
      </c>
      <c r="G12" s="172"/>
      <c r="H12" s="172"/>
      <c r="I12" s="141">
        <f t="shared" si="1"/>
        <v>1.01713316</v>
      </c>
      <c r="L12" s="137">
        <v>2005</v>
      </c>
      <c r="M12" s="137">
        <f>M13-(M13*O29)</f>
        <v>0</v>
      </c>
    </row>
    <row r="13" spans="1:21" x14ac:dyDescent="0.25">
      <c r="A13" s="140">
        <v>2018</v>
      </c>
      <c r="B13" s="175">
        <f t="shared" ref="B13:B24" si="4">B12*1.0255</f>
        <v>0.332426644025</v>
      </c>
      <c r="C13" s="175">
        <f t="shared" ref="C13:C24" si="5">C12*(1-0.0238)</f>
        <v>0.26702119648799999</v>
      </c>
      <c r="D13" s="175">
        <f t="shared" si="3"/>
        <v>1.4280465374999999E-2</v>
      </c>
      <c r="E13" s="175">
        <f t="shared" ref="E13:E24" si="6">E12*(1-0.0119)</f>
        <v>0.38096849622199996</v>
      </c>
      <c r="F13" s="172">
        <f>F12*1.073</f>
        <v>2.146E-2</v>
      </c>
      <c r="G13" s="172"/>
      <c r="H13" s="172"/>
      <c r="I13" s="141">
        <f t="shared" si="1"/>
        <v>1.01615680211</v>
      </c>
      <c r="L13" s="137">
        <v>2006</v>
      </c>
      <c r="M13" s="137">
        <f>M14-(M14*O29)</f>
        <v>0</v>
      </c>
    </row>
    <row r="14" spans="1:21" x14ac:dyDescent="0.25">
      <c r="A14" s="140">
        <v>2019</v>
      </c>
      <c r="B14" s="175">
        <f t="shared" si="4"/>
        <v>0.34090352344763752</v>
      </c>
      <c r="C14" s="175">
        <f t="shared" si="5"/>
        <v>0.26066609201158558</v>
      </c>
      <c r="D14" s="175">
        <f t="shared" si="3"/>
        <v>1.4687458638187498E-2</v>
      </c>
      <c r="E14" s="175">
        <f t="shared" si="6"/>
        <v>0.37643497111695817</v>
      </c>
      <c r="F14" s="172">
        <f t="shared" ref="F14:F24" si="7">F13*1.073</f>
        <v>2.3026579999999998E-2</v>
      </c>
      <c r="G14" s="172"/>
      <c r="H14" s="172"/>
      <c r="I14" s="141">
        <f t="shared" si="1"/>
        <v>1.0157186252143688</v>
      </c>
      <c r="L14" s="137">
        <v>2007</v>
      </c>
      <c r="M14" s="137">
        <f>M15-(M15*O29)</f>
        <v>0</v>
      </c>
      <c r="P14" s="139"/>
    </row>
    <row r="15" spans="1:21" x14ac:dyDescent="0.25">
      <c r="A15" s="140">
        <v>2020</v>
      </c>
      <c r="B15" s="175">
        <f t="shared" si="4"/>
        <v>0.34959656329555233</v>
      </c>
      <c r="C15" s="175">
        <f t="shared" si="5"/>
        <v>0.25446223902170984</v>
      </c>
      <c r="D15" s="175">
        <f t="shared" si="3"/>
        <v>1.5106051209375842E-2</v>
      </c>
      <c r="E15" s="175">
        <f t="shared" si="6"/>
        <v>0.37195539496066637</v>
      </c>
      <c r="F15" s="172">
        <f t="shared" si="7"/>
        <v>2.4707520339999997E-2</v>
      </c>
      <c r="G15" s="172"/>
      <c r="H15" s="172"/>
      <c r="I15" s="141">
        <f t="shared" si="1"/>
        <v>1.0158277688273043</v>
      </c>
      <c r="L15" s="137">
        <v>2008</v>
      </c>
      <c r="M15" s="137">
        <f>M27-(M27*O29)</f>
        <v>0</v>
      </c>
      <c r="S15" s="142"/>
    </row>
    <row r="16" spans="1:21" x14ac:dyDescent="0.25">
      <c r="A16" s="140">
        <v>2021</v>
      </c>
      <c r="B16" s="175">
        <f t="shared" si="4"/>
        <v>0.35851127565958896</v>
      </c>
      <c r="C16" s="175">
        <f t="shared" si="5"/>
        <v>0.24840603773299313</v>
      </c>
      <c r="D16" s="175">
        <f t="shared" si="3"/>
        <v>1.5536573668843054E-2</v>
      </c>
      <c r="E16" s="175">
        <f t="shared" si="6"/>
        <v>0.36752912576063446</v>
      </c>
      <c r="F16" s="172">
        <f t="shared" si="7"/>
        <v>2.6511169324819995E-2</v>
      </c>
      <c r="G16" s="172"/>
      <c r="H16" s="172"/>
      <c r="I16" s="141">
        <f t="shared" si="1"/>
        <v>1.0164941821468796</v>
      </c>
      <c r="S16" s="142"/>
    </row>
    <row r="17" spans="1:19" x14ac:dyDescent="0.25">
      <c r="A17" s="140">
        <v>2022</v>
      </c>
      <c r="B17" s="175">
        <f t="shared" si="4"/>
        <v>0.36765331318890848</v>
      </c>
      <c r="C17" s="175">
        <f t="shared" si="5"/>
        <v>0.24249397403494788</v>
      </c>
      <c r="D17" s="175">
        <f t="shared" si="3"/>
        <v>1.5979366018405081E-2</v>
      </c>
      <c r="E17" s="175">
        <f t="shared" si="6"/>
        <v>0.36315552916408289</v>
      </c>
      <c r="F17" s="172">
        <f t="shared" si="7"/>
        <v>2.8446484685531855E-2</v>
      </c>
      <c r="G17" s="172"/>
      <c r="H17" s="172"/>
      <c r="I17" s="141">
        <f t="shared" si="1"/>
        <v>1.0177286670918761</v>
      </c>
      <c r="S17" s="142"/>
    </row>
    <row r="18" spans="1:19" x14ac:dyDescent="0.25">
      <c r="A18" s="140">
        <v>2023</v>
      </c>
      <c r="B18" s="175">
        <f t="shared" si="4"/>
        <v>0.37702847267522566</v>
      </c>
      <c r="C18" s="175">
        <f t="shared" si="5"/>
        <v>0.23672261745291612</v>
      </c>
      <c r="D18" s="175">
        <f t="shared" si="3"/>
        <v>1.6434777949929626E-2</v>
      </c>
      <c r="E18" s="175">
        <f t="shared" si="6"/>
        <v>0.35883397836703029</v>
      </c>
      <c r="F18" s="172">
        <f t="shared" si="7"/>
        <v>3.052307806757568E-2</v>
      </c>
      <c r="G18" s="172"/>
      <c r="H18" s="172"/>
      <c r="I18" s="141">
        <f t="shared" si="1"/>
        <v>1.0195429245126773</v>
      </c>
      <c r="S18" s="142"/>
    </row>
    <row r="19" spans="1:19" x14ac:dyDescent="0.25">
      <c r="A19" s="140">
        <v>2024</v>
      </c>
      <c r="B19" s="175">
        <f t="shared" si="4"/>
        <v>0.38664269872844392</v>
      </c>
      <c r="C19" s="175">
        <f t="shared" si="5"/>
        <v>0.2310886191575367</v>
      </c>
      <c r="D19" s="175">
        <f t="shared" si="3"/>
        <v>1.690316912150262E-2</v>
      </c>
      <c r="E19" s="175">
        <f t="shared" si="6"/>
        <v>0.35456385402446261</v>
      </c>
      <c r="F19" s="172">
        <f t="shared" si="7"/>
        <v>3.27512627665087E-2</v>
      </c>
      <c r="G19" s="172"/>
      <c r="H19" s="172"/>
      <c r="I19" s="141">
        <f t="shared" si="1"/>
        <v>1.0219496037984546</v>
      </c>
      <c r="S19" s="142"/>
    </row>
    <row r="20" spans="1:19" x14ac:dyDescent="0.25">
      <c r="A20" s="140">
        <v>2025</v>
      </c>
      <c r="B20" s="175">
        <f t="shared" si="4"/>
        <v>0.39650208754601929</v>
      </c>
      <c r="C20" s="175">
        <f t="shared" si="5"/>
        <v>0.22558871002158731</v>
      </c>
      <c r="D20" s="175">
        <f t="shared" si="3"/>
        <v>1.7384909441465445E-2</v>
      </c>
      <c r="E20" s="175">
        <f t="shared" si="6"/>
        <v>0.35034454416157151</v>
      </c>
      <c r="F20" s="172">
        <f t="shared" si="7"/>
        <v>3.5142104948463836E-2</v>
      </c>
      <c r="G20" s="172"/>
      <c r="H20" s="172"/>
      <c r="I20" s="141">
        <f t="shared" si="1"/>
        <v>1.0249623561191075</v>
      </c>
      <c r="S20" s="142"/>
    </row>
    <row r="21" spans="1:19" x14ac:dyDescent="0.25">
      <c r="A21" s="140">
        <v>2026</v>
      </c>
      <c r="B21" s="175">
        <f t="shared" si="4"/>
        <v>0.40661289077844281</v>
      </c>
      <c r="C21" s="175">
        <f t="shared" si="5"/>
        <v>0.22021969872307354</v>
      </c>
      <c r="D21" s="175">
        <f t="shared" si="3"/>
        <v>1.7880379360547208E-2</v>
      </c>
      <c r="E21" s="175">
        <f t="shared" si="6"/>
        <v>0.34617544408604878</v>
      </c>
      <c r="F21" s="172">
        <f t="shared" si="7"/>
        <v>3.7707478609701695E-2</v>
      </c>
      <c r="G21" s="172"/>
      <c r="H21" s="172"/>
      <c r="I21" s="141">
        <f t="shared" si="1"/>
        <v>1.0285958915578139</v>
      </c>
      <c r="S21" s="142"/>
    </row>
    <row r="22" spans="1:19" x14ac:dyDescent="0.25">
      <c r="A22" s="140">
        <v>2027</v>
      </c>
      <c r="B22" s="175">
        <f t="shared" si="4"/>
        <v>0.41698151949329315</v>
      </c>
      <c r="C22" s="175">
        <f t="shared" si="5"/>
        <v>0.21497846989346436</v>
      </c>
      <c r="D22" s="175">
        <f t="shared" si="3"/>
        <v>1.8389970172322804E-2</v>
      </c>
      <c r="E22" s="175">
        <f t="shared" si="6"/>
        <v>0.34205595630142477</v>
      </c>
      <c r="F22" s="172">
        <f t="shared" si="7"/>
        <v>4.0460124548209915E-2</v>
      </c>
      <c r="G22" s="172"/>
      <c r="H22" s="172"/>
      <c r="I22" s="141">
        <f t="shared" si="1"/>
        <v>1.0328660404087151</v>
      </c>
      <c r="S22" s="142"/>
    </row>
    <row r="23" spans="1:19" x14ac:dyDescent="0.25">
      <c r="A23" s="140">
        <v>2028</v>
      </c>
      <c r="B23" s="175">
        <f t="shared" si="4"/>
        <v>0.42761454824037215</v>
      </c>
      <c r="C23" s="175">
        <f t="shared" si="5"/>
        <v>0.20986198230999989</v>
      </c>
      <c r="D23" s="175">
        <f t="shared" si="3"/>
        <v>1.8914084322234005E-2</v>
      </c>
      <c r="E23" s="175">
        <f t="shared" si="6"/>
        <v>0.33798549042143783</v>
      </c>
      <c r="F23" s="172">
        <f t="shared" si="7"/>
        <v>4.3413713640229237E-2</v>
      </c>
      <c r="G23" s="172"/>
      <c r="H23" s="172"/>
      <c r="I23" s="141">
        <f t="shared" si="1"/>
        <v>1.0377898189342731</v>
      </c>
      <c r="S23" s="142"/>
    </row>
    <row r="24" spans="1:19" x14ac:dyDescent="0.25">
      <c r="A24" s="140">
        <v>2029</v>
      </c>
      <c r="B24" s="175">
        <f t="shared" si="4"/>
        <v>0.43851871922050167</v>
      </c>
      <c r="C24" s="175">
        <f t="shared" si="5"/>
        <v>0.20486726713102188</v>
      </c>
      <c r="D24" s="175">
        <f t="shared" si="3"/>
        <v>1.9453135725417674E-2</v>
      </c>
      <c r="E24" s="175">
        <f t="shared" si="6"/>
        <v>0.33396346308542268</v>
      </c>
      <c r="F24" s="172">
        <f t="shared" si="7"/>
        <v>4.6582914735965972E-2</v>
      </c>
      <c r="G24" s="172"/>
      <c r="H24" s="172"/>
      <c r="I24" s="141">
        <f t="shared" si="1"/>
        <v>1.0433854998983298</v>
      </c>
      <c r="S24" s="142"/>
    </row>
    <row r="25" spans="1:19" x14ac:dyDescent="0.25">
      <c r="A25" s="140">
        <v>2030</v>
      </c>
      <c r="B25" s="175">
        <v>0.45</v>
      </c>
      <c r="C25" s="175">
        <v>0.2</v>
      </c>
      <c r="D25" s="175">
        <v>0.02</v>
      </c>
      <c r="E25" s="175">
        <v>0.33</v>
      </c>
      <c r="F25" s="172">
        <v>0.05</v>
      </c>
      <c r="G25" s="172"/>
      <c r="H25" s="172"/>
      <c r="I25" s="141">
        <f t="shared" si="1"/>
        <v>1.05</v>
      </c>
      <c r="S25" s="142"/>
    </row>
    <row r="26" spans="1:19" ht="14.25" customHeight="1" x14ac:dyDescent="0.25">
      <c r="B26" s="173">
        <f>((B25/B11)^(1/14)-1)</f>
        <v>2.5548696592848197E-2</v>
      </c>
      <c r="C26" s="173">
        <f t="shared" ref="C26:H26" si="8">((C25/C11)^(1/14)-1)</f>
        <v>-2.379701072791307E-2</v>
      </c>
      <c r="D26" s="173">
        <f t="shared" si="8"/>
        <v>2.8472272495493778E-2</v>
      </c>
      <c r="E26" s="173">
        <f>((E25/E11)^(1/14)-1)</f>
        <v>-1.1897711048976523E-2</v>
      </c>
      <c r="F26" s="173" t="e">
        <f t="shared" si="8"/>
        <v>#DIV/0!</v>
      </c>
      <c r="G26" s="173" t="e">
        <f t="shared" si="8"/>
        <v>#DIV/0!</v>
      </c>
      <c r="H26" s="173" t="e">
        <f t="shared" si="8"/>
        <v>#DIV/0!</v>
      </c>
    </row>
    <row r="27" spans="1:19" x14ac:dyDescent="0.25">
      <c r="A27" s="186" t="s">
        <v>10</v>
      </c>
      <c r="B27" s="187" t="s">
        <v>147</v>
      </c>
      <c r="C27" s="188"/>
      <c r="D27" s="188"/>
      <c r="E27" s="188"/>
      <c r="F27" s="188"/>
      <c r="G27" s="188"/>
      <c r="H27" s="189"/>
      <c r="I27" s="190" t="s">
        <v>39</v>
      </c>
    </row>
    <row r="28" spans="1:19" ht="25.5" x14ac:dyDescent="0.25">
      <c r="A28" s="186"/>
      <c r="B28" s="135" t="s">
        <v>1</v>
      </c>
      <c r="C28" s="135" t="s">
        <v>2</v>
      </c>
      <c r="D28" s="135" t="s">
        <v>146</v>
      </c>
      <c r="E28" s="129" t="s">
        <v>4</v>
      </c>
      <c r="F28" s="176" t="s">
        <v>158</v>
      </c>
      <c r="G28" s="135" t="s">
        <v>126</v>
      </c>
      <c r="H28" s="129" t="s">
        <v>7</v>
      </c>
      <c r="I28" s="191"/>
    </row>
    <row r="29" spans="1:19" x14ac:dyDescent="0.25">
      <c r="A29" s="140">
        <v>2011</v>
      </c>
      <c r="B29" s="145">
        <f t="shared" ref="B29:H29" si="9">$I$29*B6</f>
        <v>17.029887500000001</v>
      </c>
      <c r="C29" s="145">
        <f t="shared" si="9"/>
        <v>15.095775</v>
      </c>
      <c r="D29" s="145">
        <f t="shared" si="9"/>
        <v>0.72731250000000003</v>
      </c>
      <c r="E29" s="146">
        <f t="shared" si="9"/>
        <v>21.022024999999999</v>
      </c>
      <c r="F29" s="177">
        <f t="shared" si="9"/>
        <v>0</v>
      </c>
      <c r="G29" s="145">
        <f t="shared" si="9"/>
        <v>0</v>
      </c>
      <c r="H29" s="147">
        <f t="shared" si="9"/>
        <v>0</v>
      </c>
      <c r="I29" s="148">
        <f>'timbulan sampah'!E5</f>
        <v>53.875</v>
      </c>
      <c r="J29" s="149">
        <f>SUM(B29:H29)</f>
        <v>53.875</v>
      </c>
    </row>
    <row r="30" spans="1:19" x14ac:dyDescent="0.25">
      <c r="A30" s="140">
        <v>2012</v>
      </c>
      <c r="B30" s="145">
        <f t="shared" ref="B30:H30" si="10">$I$30*B7</f>
        <v>17.802372680000001</v>
      </c>
      <c r="C30" s="145">
        <f t="shared" si="10"/>
        <v>15.780527760000002</v>
      </c>
      <c r="D30" s="145">
        <f t="shared" si="10"/>
        <v>0.76030380000000009</v>
      </c>
      <c r="E30" s="146">
        <f t="shared" si="10"/>
        <v>21.975595760000001</v>
      </c>
      <c r="F30" s="177">
        <f t="shared" si="10"/>
        <v>0</v>
      </c>
      <c r="G30" s="145">
        <f t="shared" si="10"/>
        <v>0</v>
      </c>
      <c r="H30" s="147">
        <f t="shared" si="10"/>
        <v>0</v>
      </c>
      <c r="I30" s="148">
        <f>'timbulan sampah'!E6</f>
        <v>56.318800000000003</v>
      </c>
      <c r="J30" s="149">
        <f t="shared" ref="J30:J48" si="11">SUM(B30:H30)</f>
        <v>56.31880000000001</v>
      </c>
    </row>
    <row r="31" spans="1:19" x14ac:dyDescent="0.25">
      <c r="A31" s="140">
        <v>2013</v>
      </c>
      <c r="B31" s="145">
        <f t="shared" ref="B31:H31" si="12">$I$31*B8</f>
        <v>18.600335520000002</v>
      </c>
      <c r="C31" s="145">
        <f t="shared" si="12"/>
        <v>16.487864640000002</v>
      </c>
      <c r="D31" s="145">
        <f t="shared" si="12"/>
        <v>0.79438320000000007</v>
      </c>
      <c r="E31" s="146">
        <f t="shared" si="12"/>
        <v>22.960616640000001</v>
      </c>
      <c r="F31" s="177">
        <f t="shared" si="12"/>
        <v>0</v>
      </c>
      <c r="G31" s="145">
        <f t="shared" si="12"/>
        <v>0</v>
      </c>
      <c r="H31" s="147">
        <f t="shared" si="12"/>
        <v>0</v>
      </c>
      <c r="I31" s="148">
        <f>'timbulan sampah'!E7</f>
        <v>58.843200000000003</v>
      </c>
      <c r="J31" s="149">
        <f t="shared" si="11"/>
        <v>58.843199999999996</v>
      </c>
    </row>
    <row r="32" spans="1:19" x14ac:dyDescent="0.25">
      <c r="A32" s="140">
        <v>2014</v>
      </c>
      <c r="B32" s="145">
        <f t="shared" ref="B32:H32" si="13">$I$32*B9</f>
        <v>19.406896280000002</v>
      </c>
      <c r="C32" s="145">
        <f t="shared" si="13"/>
        <v>17.202822960000002</v>
      </c>
      <c r="D32" s="145">
        <f t="shared" si="13"/>
        <v>0.82882980000000006</v>
      </c>
      <c r="E32" s="146">
        <f t="shared" si="13"/>
        <v>23.956250960000002</v>
      </c>
      <c r="F32" s="177">
        <f t="shared" si="13"/>
        <v>0</v>
      </c>
      <c r="G32" s="145">
        <f t="shared" si="13"/>
        <v>0</v>
      </c>
      <c r="H32" s="147">
        <f t="shared" si="13"/>
        <v>0</v>
      </c>
      <c r="I32" s="148">
        <f>'timbulan sampah'!E8</f>
        <v>61.394800000000004</v>
      </c>
      <c r="J32" s="149">
        <f t="shared" si="11"/>
        <v>61.394800000000004</v>
      </c>
      <c r="P32" s="139"/>
    </row>
    <row r="33" spans="1:16" x14ac:dyDescent="0.25">
      <c r="A33" s="140">
        <v>2015</v>
      </c>
      <c r="B33" s="145">
        <f t="shared" ref="B33:H33" si="14">$I$33*B10</f>
        <v>20.237670299999998</v>
      </c>
      <c r="C33" s="145">
        <f t="shared" si="14"/>
        <v>17.939244599999999</v>
      </c>
      <c r="D33" s="145">
        <f t="shared" si="14"/>
        <v>0.86431049999999998</v>
      </c>
      <c r="E33" s="146">
        <f t="shared" si="14"/>
        <v>24.981774599999998</v>
      </c>
      <c r="F33" s="177">
        <f t="shared" si="14"/>
        <v>0</v>
      </c>
      <c r="G33" s="145">
        <f t="shared" si="14"/>
        <v>0</v>
      </c>
      <c r="H33" s="147">
        <f t="shared" si="14"/>
        <v>0</v>
      </c>
      <c r="I33" s="148">
        <f>'timbulan sampah'!E9</f>
        <v>64.022999999999996</v>
      </c>
      <c r="J33" s="149">
        <f t="shared" si="11"/>
        <v>64.022999999999996</v>
      </c>
      <c r="P33" s="139"/>
    </row>
    <row r="34" spans="1:16" x14ac:dyDescent="0.25">
      <c r="A34" s="140">
        <v>2016</v>
      </c>
      <c r="B34" s="145">
        <f t="shared" ref="B34:H34" si="15">$I$34*B11</f>
        <v>21.089623019999998</v>
      </c>
      <c r="C34" s="145">
        <f t="shared" si="15"/>
        <v>18.694439639999999</v>
      </c>
      <c r="D34" s="145">
        <f t="shared" si="15"/>
        <v>0.90069569999999999</v>
      </c>
      <c r="E34" s="146">
        <f t="shared" si="15"/>
        <v>26.033441639999999</v>
      </c>
      <c r="F34" s="177">
        <f t="shared" si="15"/>
        <v>0</v>
      </c>
      <c r="G34" s="145">
        <f t="shared" si="15"/>
        <v>0</v>
      </c>
      <c r="H34" s="147">
        <f t="shared" si="15"/>
        <v>0</v>
      </c>
      <c r="I34" s="148">
        <f>'timbulan sampah'!E10</f>
        <v>66.718199999999996</v>
      </c>
      <c r="J34" s="149">
        <f t="shared" si="11"/>
        <v>66.718199999999996</v>
      </c>
    </row>
    <row r="35" spans="1:16" x14ac:dyDescent="0.25">
      <c r="A35" s="140">
        <v>2017</v>
      </c>
      <c r="B35" s="177">
        <f>(I35*B12)-F35</f>
        <v>20.386421695860001</v>
      </c>
      <c r="C35" s="145">
        <f t="shared" ref="C35:H35" si="16">$I$35*C12</f>
        <v>18.333486067248</v>
      </c>
      <c r="D35" s="145">
        <f t="shared" si="16"/>
        <v>0.93062814569999996</v>
      </c>
      <c r="E35" s="146">
        <f t="shared" si="16"/>
        <v>25.842009566823997</v>
      </c>
      <c r="F35" s="177">
        <f t="shared" si="16"/>
        <v>1.3405039999999999</v>
      </c>
      <c r="G35" s="145">
        <f t="shared" si="16"/>
        <v>0</v>
      </c>
      <c r="H35" s="147">
        <f t="shared" si="16"/>
        <v>0</v>
      </c>
      <c r="I35" s="148">
        <f>'timbulan sampah'!E11</f>
        <v>67.025199999999998</v>
      </c>
      <c r="J35" s="149">
        <f t="shared" si="11"/>
        <v>66.833049475631995</v>
      </c>
    </row>
    <row r="36" spans="1:16" x14ac:dyDescent="0.25">
      <c r="A36" s="140">
        <v>2018</v>
      </c>
      <c r="B36" s="177">
        <f t="shared" ref="B36:B48" si="17">(I36*B13)-F36</f>
        <v>21.619831539180517</v>
      </c>
      <c r="C36" s="145">
        <f t="shared" ref="C36:H36" si="18">$I$36*C13</f>
        <v>18.564541877349605</v>
      </c>
      <c r="D36" s="145">
        <f t="shared" si="18"/>
        <v>0.99284364301072503</v>
      </c>
      <c r="E36" s="146">
        <f t="shared" si="18"/>
        <v>26.486682312436063</v>
      </c>
      <c r="F36" s="177">
        <f t="shared" si="18"/>
        <v>1.4919979160000001</v>
      </c>
      <c r="G36" s="145">
        <f t="shared" si="18"/>
        <v>0</v>
      </c>
      <c r="H36" s="147">
        <f t="shared" si="18"/>
        <v>0</v>
      </c>
      <c r="I36" s="148">
        <f>'timbulan sampah'!E12</f>
        <v>69.524600000000007</v>
      </c>
      <c r="J36" s="149">
        <f t="shared" si="11"/>
        <v>69.155897287976913</v>
      </c>
    </row>
    <row r="37" spans="1:16" x14ac:dyDescent="0.25">
      <c r="A37" s="140">
        <v>2019</v>
      </c>
      <c r="B37" s="177">
        <f t="shared" si="17"/>
        <v>22.894768974872648</v>
      </c>
      <c r="C37" s="145">
        <f t="shared" ref="C37:H37" si="19">$I$37*C14</f>
        <v>18.774214611042439</v>
      </c>
      <c r="D37" s="145">
        <f t="shared" si="19"/>
        <v>1.0578495209568164</v>
      </c>
      <c r="E37" s="146">
        <f t="shared" si="19"/>
        <v>27.112352359727797</v>
      </c>
      <c r="F37" s="177">
        <f t="shared" si="19"/>
        <v>1.6584663979199998</v>
      </c>
      <c r="G37" s="145">
        <f t="shared" si="19"/>
        <v>0</v>
      </c>
      <c r="H37" s="147">
        <f t="shared" si="19"/>
        <v>0</v>
      </c>
      <c r="I37" s="148">
        <f>'timbulan sampah'!E13</f>
        <v>72.024000000000001</v>
      </c>
      <c r="J37" s="149">
        <f t="shared" si="11"/>
        <v>71.497651864519696</v>
      </c>
    </row>
    <row r="38" spans="1:16" x14ac:dyDescent="0.25">
      <c r="A38" s="140">
        <v>2020</v>
      </c>
      <c r="B38" s="177">
        <f t="shared" si="17"/>
        <v>24.211836103793814</v>
      </c>
      <c r="C38" s="145">
        <f t="shared" ref="C38:H38" si="20">$I$38*C15</f>
        <v>18.963391223510492</v>
      </c>
      <c r="D38" s="145">
        <f t="shared" si="20"/>
        <v>1.1257542966967997</v>
      </c>
      <c r="E38" s="146">
        <f t="shared" si="20"/>
        <v>27.719380680811728</v>
      </c>
      <c r="F38" s="177">
        <f t="shared" si="20"/>
        <v>1.8412884213059559</v>
      </c>
      <c r="G38" s="145">
        <f t="shared" si="20"/>
        <v>0</v>
      </c>
      <c r="H38" s="147">
        <f t="shared" si="20"/>
        <v>0</v>
      </c>
      <c r="I38" s="148">
        <f>'timbulan sampah'!E14</f>
        <v>74.523400000000009</v>
      </c>
      <c r="J38" s="149">
        <f t="shared" si="11"/>
        <v>73.861650726118796</v>
      </c>
    </row>
    <row r="39" spans="1:16" x14ac:dyDescent="0.25">
      <c r="A39" s="140">
        <v>2021</v>
      </c>
      <c r="B39" s="177">
        <f t="shared" si="17"/>
        <v>25.571577790201644</v>
      </c>
      <c r="C39" s="145">
        <f t="shared" ref="C39:H39" si="21">$I$39*C16</f>
        <v>19.132928563100783</v>
      </c>
      <c r="D39" s="145">
        <f t="shared" si="21"/>
        <v>1.1966704063805649</v>
      </c>
      <c r="E39" s="146">
        <f t="shared" si="21"/>
        <v>28.308122347636196</v>
      </c>
      <c r="F39" s="177">
        <f t="shared" si="21"/>
        <v>2.0419644926717457</v>
      </c>
      <c r="G39" s="145">
        <f t="shared" si="21"/>
        <v>0</v>
      </c>
      <c r="H39" s="147">
        <f t="shared" si="21"/>
        <v>0</v>
      </c>
      <c r="I39" s="148">
        <f>'timbulan sampah'!E15</f>
        <v>77.022800000000004</v>
      </c>
      <c r="J39" s="149">
        <f t="shared" si="11"/>
        <v>76.251263599990935</v>
      </c>
    </row>
    <row r="40" spans="1:16" x14ac:dyDescent="0.25">
      <c r="A40" s="140">
        <v>2022</v>
      </c>
      <c r="B40" s="177">
        <f t="shared" si="17"/>
        <v>26.974473257611219</v>
      </c>
      <c r="C40" s="145">
        <f t="shared" ref="C40:H40" si="22">$I$40*C17</f>
        <v>19.283654302001935</v>
      </c>
      <c r="D40" s="145">
        <f t="shared" si="22"/>
        <v>1.2707143403888128</v>
      </c>
      <c r="E40" s="146">
        <f t="shared" si="22"/>
        <v>28.878926621292038</v>
      </c>
      <c r="F40" s="177">
        <f t="shared" si="22"/>
        <v>2.2621270444598016</v>
      </c>
      <c r="G40" s="145">
        <f t="shared" si="22"/>
        <v>0</v>
      </c>
      <c r="H40" s="147">
        <f t="shared" si="22"/>
        <v>0</v>
      </c>
      <c r="I40" s="148">
        <f>'timbulan sampah'!E16</f>
        <v>79.522200000000012</v>
      </c>
      <c r="J40" s="149">
        <f t="shared" si="11"/>
        <v>78.669895565753805</v>
      </c>
    </row>
    <row r="41" spans="1:16" x14ac:dyDescent="0.25">
      <c r="A41" s="140">
        <v>2023</v>
      </c>
      <c r="B41" s="177">
        <f t="shared" si="17"/>
        <v>28.420926874350826</v>
      </c>
      <c r="C41" s="145">
        <f t="shared" ref="C41:H41" si="23">$I$41*C18</f>
        <v>19.416367839676106</v>
      </c>
      <c r="D41" s="145">
        <f t="shared" si="23"/>
        <v>1.3480067830979479</v>
      </c>
      <c r="E41" s="146">
        <f t="shared" si="23"/>
        <v>29.432137040029215</v>
      </c>
      <c r="F41" s="177">
        <f t="shared" si="23"/>
        <v>2.5035517000274656</v>
      </c>
      <c r="G41" s="145">
        <f t="shared" si="23"/>
        <v>0</v>
      </c>
      <c r="H41" s="147">
        <f t="shared" si="23"/>
        <v>0</v>
      </c>
      <c r="I41" s="148">
        <f>'timbulan sampah'!E17</f>
        <v>82.021600000000007</v>
      </c>
      <c r="J41" s="149">
        <f t="shared" si="11"/>
        <v>81.120990237181573</v>
      </c>
    </row>
    <row r="42" spans="1:16" x14ac:dyDescent="0.25">
      <c r="A42" s="140">
        <v>2024</v>
      </c>
      <c r="B42" s="177">
        <f t="shared" si="17"/>
        <v>29.911258058938724</v>
      </c>
      <c r="C42" s="145">
        <f t="shared" ref="C42:H42" si="24">$I$42*C19</f>
        <v>19.531841179814158</v>
      </c>
      <c r="D42" s="145">
        <f t="shared" si="24"/>
        <v>1.4286727573185229</v>
      </c>
      <c r="E42" s="146">
        <f t="shared" si="24"/>
        <v>29.968091506001606</v>
      </c>
      <c r="F42" s="177">
        <f t="shared" si="24"/>
        <v>2.7681694802880821</v>
      </c>
      <c r="G42" s="145">
        <f t="shared" si="24"/>
        <v>0</v>
      </c>
      <c r="H42" s="147">
        <f t="shared" si="24"/>
        <v>0</v>
      </c>
      <c r="I42" s="148">
        <f>'timbulan sampah'!E18</f>
        <v>84.521000000000001</v>
      </c>
      <c r="J42" s="149">
        <f t="shared" si="11"/>
        <v>83.608032982361081</v>
      </c>
    </row>
    <row r="43" spans="1:16" x14ac:dyDescent="0.25">
      <c r="A43" s="140">
        <v>2025</v>
      </c>
      <c r="B43" s="177">
        <f t="shared" si="17"/>
        <v>31.445690229632319</v>
      </c>
      <c r="C43" s="145">
        <f t="shared" ref="C43:H43" si="25">$I$43*C20</f>
        <v>19.63081978156254</v>
      </c>
      <c r="D43" s="145">
        <f t="shared" si="25"/>
        <v>1.5128417735600996</v>
      </c>
      <c r="E43" s="146">
        <f t="shared" si="25"/>
        <v>30.487122370757621</v>
      </c>
      <c r="F43" s="177">
        <f t="shared" si="25"/>
        <v>3.0580800294573027</v>
      </c>
      <c r="G43" s="145">
        <f t="shared" si="25"/>
        <v>0</v>
      </c>
      <c r="H43" s="147">
        <f t="shared" si="25"/>
        <v>0</v>
      </c>
      <c r="I43" s="148">
        <f>'timbulan sampah'!E19</f>
        <v>87.020400000000009</v>
      </c>
      <c r="J43" s="149">
        <f t="shared" si="11"/>
        <v>86.134554184969872</v>
      </c>
    </row>
    <row r="44" spans="1:16" x14ac:dyDescent="0.25">
      <c r="A44" s="140">
        <v>2026</v>
      </c>
      <c r="B44" s="177">
        <f t="shared" si="17"/>
        <v>33.024338716263273</v>
      </c>
      <c r="C44" s="145">
        <f t="shared" ref="C44:H44" si="26">$I$44*C21</f>
        <v>19.714023385749798</v>
      </c>
      <c r="D44" s="145">
        <f t="shared" si="26"/>
        <v>1.6006479842803141</v>
      </c>
      <c r="E44" s="146">
        <f t="shared" si="26"/>
        <v>30.989556519494272</v>
      </c>
      <c r="F44" s="177">
        <f t="shared" si="26"/>
        <v>3.3755659436447738</v>
      </c>
      <c r="G44" s="145">
        <f t="shared" si="26"/>
        <v>0</v>
      </c>
      <c r="H44" s="147">
        <f t="shared" si="26"/>
        <v>0</v>
      </c>
      <c r="I44" s="148">
        <f>'timbulan sampah'!E20</f>
        <v>89.519800000000004</v>
      </c>
      <c r="J44" s="149">
        <f t="shared" si="11"/>
        <v>88.70413254943243</v>
      </c>
    </row>
    <row r="45" spans="1:16" x14ac:dyDescent="0.25">
      <c r="A45" s="140">
        <v>2027</v>
      </c>
      <c r="B45" s="177">
        <f t="shared" si="17"/>
        <v>34.647197545730606</v>
      </c>
      <c r="C45" s="145">
        <f t="shared" ref="C45:H45" si="27">$I$45*C22</f>
        <v>19.782146816820678</v>
      </c>
      <c r="D45" s="145">
        <f t="shared" si="27"/>
        <v>1.6922303432810069</v>
      </c>
      <c r="E45" s="146">
        <f t="shared" si="27"/>
        <v>31.475715454092072</v>
      </c>
      <c r="F45" s="177">
        <f t="shared" si="27"/>
        <v>3.7231082928266384</v>
      </c>
      <c r="G45" s="145">
        <f t="shared" si="27"/>
        <v>0</v>
      </c>
      <c r="H45" s="147">
        <f t="shared" si="27"/>
        <v>0</v>
      </c>
      <c r="I45" s="148">
        <f>'timbulan sampah'!E21</f>
        <v>92.019200000000012</v>
      </c>
      <c r="J45" s="149">
        <f t="shared" si="11"/>
        <v>91.320398452750993</v>
      </c>
    </row>
    <row r="46" spans="1:16" x14ac:dyDescent="0.25">
      <c r="A46" s="140">
        <v>2028</v>
      </c>
      <c r="B46" s="177">
        <f t="shared" si="17"/>
        <v>36.314125005237074</v>
      </c>
      <c r="C46" s="145">
        <f t="shared" ref="C46:H46" si="28">$I$46*C23</f>
        <v>19.835860761165957</v>
      </c>
      <c r="D46" s="145">
        <f t="shared" si="28"/>
        <v>1.7877327704195072</v>
      </c>
      <c r="E46" s="146">
        <f t="shared" si="28"/>
        <v>31.945915374947717</v>
      </c>
      <c r="F46" s="177">
        <f t="shared" si="28"/>
        <v>4.1034034340753713</v>
      </c>
      <c r="G46" s="145">
        <f t="shared" si="28"/>
        <v>0</v>
      </c>
      <c r="H46" s="146">
        <f t="shared" si="28"/>
        <v>0</v>
      </c>
      <c r="I46" s="148">
        <f>'timbulan sampah'!E22</f>
        <v>94.518600000000006</v>
      </c>
      <c r="J46" s="149">
        <f t="shared" si="11"/>
        <v>93.987037345845636</v>
      </c>
    </row>
    <row r="47" spans="1:16" x14ac:dyDescent="0.25">
      <c r="A47" s="140">
        <v>2029</v>
      </c>
      <c r="B47" s="177">
        <f t="shared" si="17"/>
        <v>38.024827879480682</v>
      </c>
      <c r="C47" s="145">
        <f t="shared" ref="C47:H47" si="29">$I$47*C24</f>
        <v>19.875812522517482</v>
      </c>
      <c r="D47" s="145">
        <f t="shared" si="29"/>
        <v>1.8873043218085719</v>
      </c>
      <c r="E47" s="146">
        <f t="shared" si="29"/>
        <v>32.400467261621536</v>
      </c>
      <c r="F47" s="177">
        <f t="shared" si="29"/>
        <v>4.5193812218539469</v>
      </c>
      <c r="G47" s="145">
        <f t="shared" si="29"/>
        <v>0</v>
      </c>
      <c r="H47" s="146">
        <f t="shared" si="29"/>
        <v>0</v>
      </c>
      <c r="I47" s="148">
        <f>'timbulan sampah'!E23</f>
        <v>97.018000000000001</v>
      </c>
      <c r="J47" s="149">
        <f t="shared" si="11"/>
        <v>96.707793207282222</v>
      </c>
    </row>
    <row r="48" spans="1:16" x14ac:dyDescent="0.25">
      <c r="A48" s="140">
        <v>2030</v>
      </c>
      <c r="B48" s="177">
        <f t="shared" si="17"/>
        <v>39.806960000000004</v>
      </c>
      <c r="C48" s="145">
        <f t="shared" ref="C48:H48" si="30">$I$48*C25</f>
        <v>19.903480000000002</v>
      </c>
      <c r="D48" s="145">
        <f t="shared" si="30"/>
        <v>1.9903480000000002</v>
      </c>
      <c r="E48" s="146">
        <f t="shared" si="30"/>
        <v>32.840742000000006</v>
      </c>
      <c r="F48" s="177">
        <f t="shared" si="30"/>
        <v>4.9758700000000005</v>
      </c>
      <c r="G48" s="145">
        <f t="shared" si="30"/>
        <v>0</v>
      </c>
      <c r="H48" s="146">
        <f t="shared" si="30"/>
        <v>0</v>
      </c>
      <c r="I48" s="148">
        <f>'timbulan sampah'!E24</f>
        <v>99.517400000000009</v>
      </c>
      <c r="J48" s="149">
        <f t="shared" si="11"/>
        <v>99.517400000000009</v>
      </c>
    </row>
    <row r="50" spans="2:6" x14ac:dyDescent="0.25">
      <c r="B50" s="181">
        <f>B29*1000</f>
        <v>17029.887500000001</v>
      </c>
      <c r="E50" s="140">
        <v>2017</v>
      </c>
      <c r="F50" s="178">
        <f>F35*1000</f>
        <v>1340.5039999999999</v>
      </c>
    </row>
    <row r="51" spans="2:6" x14ac:dyDescent="0.25">
      <c r="B51" s="181">
        <f t="shared" ref="B51:B69" si="31">B30*1000</f>
        <v>17802.37268</v>
      </c>
      <c r="E51" s="140">
        <v>2018</v>
      </c>
      <c r="F51" s="178">
        <f t="shared" ref="F51:F63" si="32">F36*1000</f>
        <v>1491.997916</v>
      </c>
    </row>
    <row r="52" spans="2:6" x14ac:dyDescent="0.25">
      <c r="B52" s="181">
        <f t="shared" si="31"/>
        <v>18600.335520000001</v>
      </c>
      <c r="E52" s="140">
        <v>2019</v>
      </c>
      <c r="F52" s="178">
        <f t="shared" si="32"/>
        <v>1658.4663979199997</v>
      </c>
    </row>
    <row r="53" spans="2:6" x14ac:dyDescent="0.25">
      <c r="B53" s="181">
        <f t="shared" si="31"/>
        <v>19406.896280000001</v>
      </c>
      <c r="E53" s="140">
        <v>2020</v>
      </c>
      <c r="F53" s="178">
        <f t="shared" si="32"/>
        <v>1841.288421305956</v>
      </c>
    </row>
    <row r="54" spans="2:6" x14ac:dyDescent="0.25">
      <c r="B54" s="181">
        <f t="shared" si="31"/>
        <v>20237.670299999998</v>
      </c>
      <c r="E54" s="140">
        <v>2021</v>
      </c>
      <c r="F54" s="178">
        <f t="shared" si="32"/>
        <v>2041.9644926717458</v>
      </c>
    </row>
    <row r="55" spans="2:6" x14ac:dyDescent="0.25">
      <c r="B55" s="181">
        <f t="shared" si="31"/>
        <v>21089.623019999999</v>
      </c>
      <c r="E55" s="140">
        <v>2022</v>
      </c>
      <c r="F55" s="178">
        <f t="shared" si="32"/>
        <v>2262.1270444598017</v>
      </c>
    </row>
    <row r="56" spans="2:6" x14ac:dyDescent="0.25">
      <c r="B56" s="181">
        <f t="shared" si="31"/>
        <v>20386.421695860001</v>
      </c>
      <c r="E56" s="140">
        <v>2023</v>
      </c>
      <c r="F56" s="178">
        <f t="shared" si="32"/>
        <v>2503.5517000274658</v>
      </c>
    </row>
    <row r="57" spans="2:6" x14ac:dyDescent="0.25">
      <c r="B57" s="181">
        <f t="shared" si="31"/>
        <v>21619.831539180515</v>
      </c>
      <c r="E57" s="140">
        <v>2024</v>
      </c>
      <c r="F57" s="178">
        <f t="shared" si="32"/>
        <v>2768.169480288082</v>
      </c>
    </row>
    <row r="58" spans="2:6" x14ac:dyDescent="0.25">
      <c r="B58" s="181">
        <f t="shared" si="31"/>
        <v>22894.768974872648</v>
      </c>
      <c r="E58" s="140">
        <v>2025</v>
      </c>
      <c r="F58" s="178">
        <f t="shared" si="32"/>
        <v>3058.0800294573028</v>
      </c>
    </row>
    <row r="59" spans="2:6" x14ac:dyDescent="0.25">
      <c r="B59" s="181">
        <f t="shared" si="31"/>
        <v>24211.836103793816</v>
      </c>
      <c r="E59" s="140">
        <v>2026</v>
      </c>
      <c r="F59" s="178">
        <f t="shared" si="32"/>
        <v>3375.5659436447736</v>
      </c>
    </row>
    <row r="60" spans="2:6" x14ac:dyDescent="0.25">
      <c r="B60" s="181">
        <f t="shared" si="31"/>
        <v>25571.577790201645</v>
      </c>
      <c r="E60" s="140">
        <v>2027</v>
      </c>
      <c r="F60" s="178">
        <f t="shared" si="32"/>
        <v>3723.1082928266383</v>
      </c>
    </row>
    <row r="61" spans="2:6" x14ac:dyDescent="0.25">
      <c r="B61" s="181">
        <f t="shared" si="31"/>
        <v>26974.473257611218</v>
      </c>
      <c r="E61" s="140">
        <v>2028</v>
      </c>
      <c r="F61" s="178">
        <f t="shared" si="32"/>
        <v>4103.4034340753715</v>
      </c>
    </row>
    <row r="62" spans="2:6" x14ac:dyDescent="0.25">
      <c r="B62" s="181">
        <f t="shared" si="31"/>
        <v>28420.926874350826</v>
      </c>
      <c r="E62" s="140">
        <v>2029</v>
      </c>
      <c r="F62" s="178">
        <f t="shared" si="32"/>
        <v>4519.381221853947</v>
      </c>
    </row>
    <row r="63" spans="2:6" x14ac:dyDescent="0.25">
      <c r="B63" s="181">
        <f t="shared" si="31"/>
        <v>29911.258058938725</v>
      </c>
      <c r="E63" s="140">
        <v>2030</v>
      </c>
      <c r="F63" s="178">
        <f t="shared" si="32"/>
        <v>4975.8700000000008</v>
      </c>
    </row>
    <row r="64" spans="2:6" x14ac:dyDescent="0.25">
      <c r="B64" s="181">
        <f t="shared" si="31"/>
        <v>31445.690229632321</v>
      </c>
      <c r="F64" s="179">
        <f>SUM(F50:F63)</f>
        <v>39663.478374531085</v>
      </c>
    </row>
    <row r="65" spans="2:6" x14ac:dyDescent="0.25">
      <c r="B65" s="181">
        <f t="shared" si="31"/>
        <v>33024.338716263272</v>
      </c>
      <c r="F65" s="180">
        <f>F64/14</f>
        <v>2833.1055981807917</v>
      </c>
    </row>
    <row r="66" spans="2:6" x14ac:dyDescent="0.25">
      <c r="B66" s="181">
        <f t="shared" si="31"/>
        <v>34647.197545730603</v>
      </c>
    </row>
    <row r="67" spans="2:6" x14ac:dyDescent="0.25">
      <c r="B67" s="181">
        <f t="shared" si="31"/>
        <v>36314.125005237074</v>
      </c>
    </row>
    <row r="68" spans="2:6" x14ac:dyDescent="0.25">
      <c r="B68" s="181">
        <f t="shared" si="31"/>
        <v>38024.827879480683</v>
      </c>
    </row>
    <row r="69" spans="2:6" x14ac:dyDescent="0.25">
      <c r="B69" s="181">
        <f t="shared" si="31"/>
        <v>39806.960000000006</v>
      </c>
    </row>
    <row r="70" spans="2:6" x14ac:dyDescent="0.25">
      <c r="B70" s="180">
        <f>SUM(B50:B69)</f>
        <v>527421.0189711533</v>
      </c>
    </row>
    <row r="71" spans="2:6" x14ac:dyDescent="0.25">
      <c r="B71" s="180">
        <f>B70/20</f>
        <v>26371.050948557666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abSelected="1" topLeftCell="A77" zoomScale="70" zoomScaleNormal="70" workbookViewId="0">
      <selection activeCell="U16" sqref="U16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21.42578125" style="95" bestFit="1" customWidth="1"/>
    <col min="4" max="4" width="12.7109375" style="95" bestFit="1" customWidth="1"/>
    <col min="5" max="5" width="21.5703125" style="95" bestFit="1" customWidth="1"/>
    <col min="6" max="6" width="16.42578125" style="95" bestFit="1" customWidth="1"/>
    <col min="7" max="7" width="16.7109375" style="95" bestFit="1" customWidth="1"/>
    <col min="8" max="8" width="11" style="95" bestFit="1" customWidth="1"/>
    <col min="9" max="9" width="18.7109375" style="95" customWidth="1"/>
    <col min="10" max="10" width="18.85546875" style="95" customWidth="1"/>
    <col min="11" max="12" width="9.42578125" style="95" bestFit="1" customWidth="1"/>
    <col min="13" max="13" width="11" style="95" bestFit="1" customWidth="1"/>
    <col min="14" max="14" width="16.28515625" style="95" bestFit="1" customWidth="1"/>
    <col min="15" max="15" width="9.140625" style="95"/>
    <col min="16" max="16" width="9.42578125" style="95" bestFit="1" customWidth="1"/>
    <col min="17" max="17" width="8.28515625" style="95" bestFit="1" customWidth="1"/>
    <col min="18" max="18" width="11" style="95" bestFit="1" customWidth="1"/>
    <col min="19" max="19" width="16.285156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1" t="s">
        <v>116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124</v>
      </c>
    </row>
    <row r="6" spans="1:24" ht="35.25" customHeight="1" x14ac:dyDescent="0.25">
      <c r="A6" s="198" t="s">
        <v>10</v>
      </c>
      <c r="B6" s="200" t="s">
        <v>117</v>
      </c>
      <c r="C6" s="200"/>
      <c r="D6" s="200"/>
      <c r="E6" s="105" t="s">
        <v>113</v>
      </c>
      <c r="F6" s="198" t="s">
        <v>10</v>
      </c>
      <c r="G6" s="200" t="s">
        <v>110</v>
      </c>
      <c r="H6" s="200"/>
      <c r="I6" s="200"/>
      <c r="J6" s="96" t="s">
        <v>114</v>
      </c>
      <c r="K6" s="198" t="s">
        <v>10</v>
      </c>
      <c r="L6" s="200" t="s">
        <v>111</v>
      </c>
      <c r="M6" s="200"/>
      <c r="N6" s="200"/>
      <c r="O6" s="96" t="s">
        <v>114</v>
      </c>
      <c r="P6" s="198" t="s">
        <v>10</v>
      </c>
      <c r="Q6" s="200" t="s">
        <v>159</v>
      </c>
      <c r="R6" s="200"/>
      <c r="S6" s="200"/>
      <c r="X6" s="97"/>
    </row>
    <row r="7" spans="1:24" ht="18" x14ac:dyDescent="0.25">
      <c r="A7" s="198"/>
      <c r="B7" s="198" t="s">
        <v>127</v>
      </c>
      <c r="C7" s="198"/>
      <c r="D7" s="200" t="s">
        <v>128</v>
      </c>
      <c r="E7" s="106"/>
      <c r="F7" s="198"/>
      <c r="G7" s="198" t="s">
        <v>127</v>
      </c>
      <c r="H7" s="198"/>
      <c r="I7" s="200" t="s">
        <v>128</v>
      </c>
      <c r="K7" s="198"/>
      <c r="L7" s="198" t="s">
        <v>127</v>
      </c>
      <c r="M7" s="198"/>
      <c r="N7" s="200" t="s">
        <v>128</v>
      </c>
      <c r="P7" s="198"/>
      <c r="Q7" s="198" t="s">
        <v>127</v>
      </c>
      <c r="R7" s="198"/>
      <c r="S7" s="200" t="s">
        <v>128</v>
      </c>
      <c r="X7" s="97"/>
    </row>
    <row r="8" spans="1:24" ht="18" x14ac:dyDescent="0.25">
      <c r="A8" s="198"/>
      <c r="B8" s="107" t="s">
        <v>129</v>
      </c>
      <c r="C8" s="107" t="s">
        <v>130</v>
      </c>
      <c r="D8" s="200"/>
      <c r="E8" s="108"/>
      <c r="F8" s="198"/>
      <c r="G8" s="107" t="s">
        <v>129</v>
      </c>
      <c r="H8" s="107" t="s">
        <v>130</v>
      </c>
      <c r="I8" s="200"/>
      <c r="K8" s="198"/>
      <c r="L8" s="107" t="s">
        <v>129</v>
      </c>
      <c r="M8" s="107" t="s">
        <v>130</v>
      </c>
      <c r="N8" s="200"/>
      <c r="P8" s="198"/>
      <c r="Q8" s="107" t="s">
        <v>129</v>
      </c>
      <c r="R8" s="107" t="s">
        <v>130</v>
      </c>
      <c r="S8" s="200"/>
    </row>
    <row r="9" spans="1:24" x14ac:dyDescent="0.25">
      <c r="A9" s="89">
        <v>2011</v>
      </c>
      <c r="B9" s="156">
        <f>[2]Results!O28</f>
        <v>0.66968051854616339</v>
      </c>
      <c r="C9" s="120">
        <f>B9*21</f>
        <v>14.063290889469432</v>
      </c>
      <c r="D9" s="154">
        <f t="shared" ref="D9:D14" si="0">E9+C9</f>
        <v>14.063290889469432</v>
      </c>
      <c r="E9" s="111"/>
      <c r="F9" s="89">
        <v>2011</v>
      </c>
      <c r="G9" s="156">
        <f>[3]Results!O28</f>
        <v>0</v>
      </c>
      <c r="H9" s="120">
        <f>G9*21</f>
        <v>0</v>
      </c>
      <c r="I9" s="154">
        <f t="shared" ref="I9:I14" si="1">J9+H9</f>
        <v>0</v>
      </c>
      <c r="K9" s="89">
        <v>2011</v>
      </c>
      <c r="L9" s="157">
        <f>[4]Results!O28</f>
        <v>0.47489903523349586</v>
      </c>
      <c r="M9" s="120">
        <f>L9*21</f>
        <v>9.9728797399034121</v>
      </c>
      <c r="N9" s="154">
        <f>O9+M9</f>
        <v>9.9728797399034121</v>
      </c>
      <c r="P9" s="89">
        <v>2011</v>
      </c>
      <c r="Q9" s="157">
        <f>[5]Results!O28</f>
        <v>0</v>
      </c>
      <c r="R9" s="120">
        <f>Q9*21</f>
        <v>0</v>
      </c>
      <c r="S9" s="154">
        <f>T9+R9</f>
        <v>0</v>
      </c>
    </row>
    <row r="10" spans="1:24" x14ac:dyDescent="0.25">
      <c r="A10" s="89">
        <v>2012</v>
      </c>
      <c r="B10" s="156">
        <f>[2]Results!O29</f>
        <v>0.7146416820944872</v>
      </c>
      <c r="C10" s="120">
        <f t="shared" ref="C10:C14" si="2">B10*21</f>
        <v>15.007475323984231</v>
      </c>
      <c r="D10" s="154">
        <f t="shared" si="0"/>
        <v>15.007475323984231</v>
      </c>
      <c r="E10" s="111"/>
      <c r="F10" s="89">
        <v>2012</v>
      </c>
      <c r="G10" s="156">
        <f>[3]Results!O29</f>
        <v>0</v>
      </c>
      <c r="H10" s="120">
        <f t="shared" ref="H10:H14" si="3">G10*21</f>
        <v>0</v>
      </c>
      <c r="I10" s="154">
        <f t="shared" si="1"/>
        <v>0</v>
      </c>
      <c r="K10" s="89">
        <v>2012</v>
      </c>
      <c r="L10" s="157">
        <f>[4]Results!O29</f>
        <v>0.50678291508478412</v>
      </c>
      <c r="M10" s="120">
        <f t="shared" ref="M10:M14" si="4">L10*21</f>
        <v>10.642441216780467</v>
      </c>
      <c r="N10" s="154">
        <f t="shared" ref="N10:N14" si="5">O10+M10</f>
        <v>10.642441216780467</v>
      </c>
      <c r="P10" s="89">
        <v>2012</v>
      </c>
      <c r="Q10" s="157">
        <f>[5]Results!O29</f>
        <v>0</v>
      </c>
      <c r="R10" s="120">
        <f t="shared" ref="R10:R14" si="6">Q10*21</f>
        <v>0</v>
      </c>
      <c r="S10" s="154">
        <f t="shared" ref="S10:S14" si="7">T10+R10</f>
        <v>0</v>
      </c>
    </row>
    <row r="11" spans="1:24" x14ac:dyDescent="0.25">
      <c r="A11" s="89">
        <v>2013</v>
      </c>
      <c r="B11" s="156">
        <f>[2]Results!O30</f>
        <v>0.75854078561571447</v>
      </c>
      <c r="C11" s="120">
        <f t="shared" si="2"/>
        <v>15.929356497930003</v>
      </c>
      <c r="D11" s="154">
        <f t="shared" si="0"/>
        <v>15.929356497930003</v>
      </c>
      <c r="E11" s="111"/>
      <c r="F11" s="89">
        <v>2013</v>
      </c>
      <c r="G11" s="156">
        <f>[3]Results!O30</f>
        <v>0</v>
      </c>
      <c r="H11" s="120">
        <f t="shared" si="3"/>
        <v>0</v>
      </c>
      <c r="I11" s="154">
        <f t="shared" si="1"/>
        <v>0</v>
      </c>
      <c r="K11" s="89">
        <v>2013</v>
      </c>
      <c r="L11" s="157">
        <f>[4]Results!O30</f>
        <v>0.53791364284599363</v>
      </c>
      <c r="M11" s="120">
        <f t="shared" si="4"/>
        <v>11.296186499765867</v>
      </c>
      <c r="N11" s="154">
        <f t="shared" si="5"/>
        <v>11.296186499765867</v>
      </c>
      <c r="P11" s="89">
        <v>2013</v>
      </c>
      <c r="Q11" s="157">
        <f>[5]Results!O30</f>
        <v>0</v>
      </c>
      <c r="R11" s="120">
        <f t="shared" si="6"/>
        <v>0</v>
      </c>
      <c r="S11" s="154">
        <f t="shared" si="7"/>
        <v>0</v>
      </c>
    </row>
    <row r="12" spans="1:24" x14ac:dyDescent="0.25">
      <c r="A12" s="89">
        <v>2014</v>
      </c>
      <c r="B12" s="156">
        <f>[2]Results!O31</f>
        <v>0.80204739400745984</v>
      </c>
      <c r="C12" s="120">
        <f t="shared" si="2"/>
        <v>16.842995274156657</v>
      </c>
      <c r="D12" s="154">
        <f t="shared" si="0"/>
        <v>16.842995274156657</v>
      </c>
      <c r="E12" s="111"/>
      <c r="F12" s="89">
        <v>2014</v>
      </c>
      <c r="G12" s="156">
        <f>[3]Results!O31</f>
        <v>0</v>
      </c>
      <c r="H12" s="120">
        <f t="shared" si="3"/>
        <v>0</v>
      </c>
      <c r="I12" s="154">
        <f t="shared" si="1"/>
        <v>0</v>
      </c>
      <c r="K12" s="89">
        <v>2014</v>
      </c>
      <c r="L12" s="157">
        <f>[4]Results!O31</f>
        <v>0.56876603556062078</v>
      </c>
      <c r="M12" s="120">
        <f t="shared" si="4"/>
        <v>11.944086746773037</v>
      </c>
      <c r="N12" s="154">
        <f t="shared" si="5"/>
        <v>11.944086746773037</v>
      </c>
      <c r="P12" s="89">
        <v>2014</v>
      </c>
      <c r="Q12" s="157">
        <f>[5]Results!O31</f>
        <v>0</v>
      </c>
      <c r="R12" s="120">
        <f t="shared" si="6"/>
        <v>0</v>
      </c>
      <c r="S12" s="154">
        <f t="shared" si="7"/>
        <v>0</v>
      </c>
    </row>
    <row r="13" spans="1:24" x14ac:dyDescent="0.25">
      <c r="A13" s="89">
        <v>2015</v>
      </c>
      <c r="B13" s="156">
        <f>[2]Results!O32</f>
        <v>0.84540424668783698</v>
      </c>
      <c r="C13" s="120">
        <f t="shared" si="2"/>
        <v>17.753489180444575</v>
      </c>
      <c r="D13" s="154">
        <f t="shared" si="0"/>
        <v>17.753489180444575</v>
      </c>
      <c r="E13" s="111"/>
      <c r="F13" s="89">
        <v>2015</v>
      </c>
      <c r="G13" s="156">
        <f>[3]Results!O32</f>
        <v>0</v>
      </c>
      <c r="H13" s="120">
        <f t="shared" si="3"/>
        <v>0</v>
      </c>
      <c r="I13" s="154">
        <f t="shared" si="1"/>
        <v>0</v>
      </c>
      <c r="K13" s="89">
        <v>2015</v>
      </c>
      <c r="L13" s="157">
        <f>[4]Results!O32</f>
        <v>0.59951223010928689</v>
      </c>
      <c r="M13" s="120">
        <f t="shared" si="4"/>
        <v>12.589756832295025</v>
      </c>
      <c r="N13" s="154">
        <f t="shared" si="5"/>
        <v>12.589756832295025</v>
      </c>
      <c r="P13" s="89">
        <v>2015</v>
      </c>
      <c r="Q13" s="157">
        <f>[5]Results!O32</f>
        <v>0</v>
      </c>
      <c r="R13" s="120">
        <f t="shared" si="6"/>
        <v>0</v>
      </c>
      <c r="S13" s="154">
        <f t="shared" si="7"/>
        <v>0</v>
      </c>
    </row>
    <row r="14" spans="1:24" x14ac:dyDescent="0.25">
      <c r="A14" s="89">
        <v>2016</v>
      </c>
      <c r="B14" s="156">
        <f>[2]Results!O33</f>
        <v>0.88898598705544085</v>
      </c>
      <c r="C14" s="120">
        <f t="shared" si="2"/>
        <v>18.668705728164259</v>
      </c>
      <c r="D14" s="154">
        <f t="shared" si="0"/>
        <v>18.668705728164259</v>
      </c>
      <c r="E14" s="111"/>
      <c r="F14" s="89">
        <v>2016</v>
      </c>
      <c r="G14" s="156">
        <f>[3]Results!O33</f>
        <v>0</v>
      </c>
      <c r="H14" s="120">
        <f t="shared" si="3"/>
        <v>0</v>
      </c>
      <c r="I14" s="154">
        <f t="shared" si="1"/>
        <v>0</v>
      </c>
      <c r="K14" s="89">
        <v>2016</v>
      </c>
      <c r="L14" s="157">
        <f>[4]Results!O33</f>
        <v>0.63041790211435511</v>
      </c>
      <c r="M14" s="120">
        <f t="shared" si="4"/>
        <v>13.238775944401457</v>
      </c>
      <c r="N14" s="154">
        <f t="shared" si="5"/>
        <v>13.238775944401457</v>
      </c>
      <c r="P14" s="89">
        <v>2016</v>
      </c>
      <c r="Q14" s="157">
        <f>[5]Results!O33</f>
        <v>0</v>
      </c>
      <c r="R14" s="120">
        <f t="shared" si="6"/>
        <v>0</v>
      </c>
      <c r="S14" s="154">
        <f t="shared" si="7"/>
        <v>0</v>
      </c>
    </row>
    <row r="15" spans="1:24" x14ac:dyDescent="0.25">
      <c r="A15" s="89">
        <v>2017</v>
      </c>
      <c r="B15" s="156">
        <f>[2]Results!O34</f>
        <v>0.93301645071207928</v>
      </c>
      <c r="C15" s="120">
        <f t="shared" ref="C15:C29" si="8">B15*21</f>
        <v>19.593345464953664</v>
      </c>
      <c r="D15" s="154">
        <f t="shared" ref="D15:D29" si="9">E15+C15</f>
        <v>19.593345464953664</v>
      </c>
      <c r="E15" s="111"/>
      <c r="F15" s="89">
        <v>2017</v>
      </c>
      <c r="G15" s="156">
        <f>[3]Results!O34</f>
        <v>0</v>
      </c>
      <c r="H15" s="120">
        <f t="shared" ref="H15:H29" si="10">G15*21</f>
        <v>0</v>
      </c>
      <c r="I15" s="154">
        <f t="shared" ref="I15:I29" si="11">J15+H15</f>
        <v>0</v>
      </c>
      <c r="K15" s="89">
        <v>2017</v>
      </c>
      <c r="L15" s="157">
        <f>[4]Results!O34</f>
        <v>0.66164178295355802</v>
      </c>
      <c r="M15" s="120">
        <f t="shared" ref="M15:M29" si="12">L15*21</f>
        <v>13.894477442024719</v>
      </c>
      <c r="N15" s="154">
        <f t="shared" ref="N15:N29" si="13">O15+M15</f>
        <v>13.894477442024719</v>
      </c>
      <c r="P15" s="89">
        <v>2017</v>
      </c>
      <c r="Q15" s="157">
        <f>[5]Results!O34</f>
        <v>0</v>
      </c>
      <c r="R15" s="120">
        <f t="shared" ref="R15:R29" si="14">Q15*21</f>
        <v>0</v>
      </c>
      <c r="S15" s="154">
        <f t="shared" ref="S15:S29" si="15">T15+R15</f>
        <v>0</v>
      </c>
    </row>
    <row r="16" spans="1:24" x14ac:dyDescent="0.25">
      <c r="A16" s="89">
        <v>2018</v>
      </c>
      <c r="B16" s="156">
        <f>[2]Results!O35</f>
        <v>0.95686598321102423</v>
      </c>
      <c r="C16" s="120">
        <f t="shared" si="8"/>
        <v>20.094185647431509</v>
      </c>
      <c r="D16" s="154">
        <f t="shared" si="9"/>
        <v>20.094185647431509</v>
      </c>
      <c r="E16" s="111"/>
      <c r="F16" s="89">
        <v>2018</v>
      </c>
      <c r="G16" s="156">
        <f>[3]Results!O35</f>
        <v>0</v>
      </c>
      <c r="H16" s="120">
        <f t="shared" si="10"/>
        <v>0</v>
      </c>
      <c r="I16" s="154">
        <f t="shared" si="11"/>
        <v>0</v>
      </c>
      <c r="K16" s="89">
        <v>2018</v>
      </c>
      <c r="L16" s="157">
        <f>[4]Results!O35</f>
        <v>0.68132283241481462</v>
      </c>
      <c r="M16" s="120">
        <f t="shared" si="12"/>
        <v>14.307779480711107</v>
      </c>
      <c r="N16" s="154">
        <f t="shared" si="13"/>
        <v>14.307779480711107</v>
      </c>
      <c r="P16" s="89">
        <v>2018</v>
      </c>
      <c r="Q16" s="157">
        <f>[5]Results!O35</f>
        <v>1.0607415391609755E-2</v>
      </c>
      <c r="R16" s="120">
        <f t="shared" si="14"/>
        <v>0.22275572322380485</v>
      </c>
      <c r="S16" s="154">
        <f t="shared" si="15"/>
        <v>0.22275572322380485</v>
      </c>
    </row>
    <row r="17" spans="1:19" x14ac:dyDescent="0.25">
      <c r="A17" s="89">
        <v>2019</v>
      </c>
      <c r="B17" s="156">
        <f>[2]Results!O36</f>
        <v>0.99199245106179257</v>
      </c>
      <c r="C17" s="120">
        <f t="shared" si="8"/>
        <v>20.831841472297643</v>
      </c>
      <c r="D17" s="154">
        <f t="shared" si="9"/>
        <v>20.831841472297643</v>
      </c>
      <c r="E17" s="111"/>
      <c r="F17" s="89">
        <v>2019</v>
      </c>
      <c r="G17" s="156">
        <f>[3]Results!O36</f>
        <v>0</v>
      </c>
      <c r="H17" s="120">
        <f t="shared" si="10"/>
        <v>0</v>
      </c>
      <c r="I17" s="154">
        <f t="shared" si="11"/>
        <v>0</v>
      </c>
      <c r="K17" s="89">
        <v>2019</v>
      </c>
      <c r="L17" s="157">
        <f>[4]Results!O36</f>
        <v>0.69909347424818113</v>
      </c>
      <c r="M17" s="120">
        <f t="shared" si="12"/>
        <v>14.680962959211804</v>
      </c>
      <c r="N17" s="154">
        <f t="shared" si="13"/>
        <v>14.680962959211804</v>
      </c>
      <c r="P17" s="89">
        <v>2019</v>
      </c>
      <c r="Q17" s="157">
        <f>[5]Results!O36</f>
        <v>1.9310704686583149E-2</v>
      </c>
      <c r="R17" s="120">
        <f t="shared" si="14"/>
        <v>0.40552479841824612</v>
      </c>
      <c r="S17" s="154">
        <f t="shared" si="15"/>
        <v>0.40552479841824612</v>
      </c>
    </row>
    <row r="18" spans="1:19" x14ac:dyDescent="0.25">
      <c r="A18" s="89">
        <v>2020</v>
      </c>
      <c r="B18" s="156">
        <f>[2]Results!O37</f>
        <v>0.98710707163774536</v>
      </c>
      <c r="C18" s="120">
        <f t="shared" si="8"/>
        <v>20.729248504392654</v>
      </c>
      <c r="D18" s="154">
        <f t="shared" si="9"/>
        <v>20.729248504392654</v>
      </c>
      <c r="E18" s="111"/>
      <c r="F18" s="89">
        <v>2020</v>
      </c>
      <c r="G18" s="156">
        <f>[3]Results!O37</f>
        <v>0</v>
      </c>
      <c r="H18" s="120">
        <f t="shared" si="10"/>
        <v>0</v>
      </c>
      <c r="I18" s="154">
        <f t="shared" si="11"/>
        <v>0</v>
      </c>
      <c r="K18" s="89">
        <v>2020</v>
      </c>
      <c r="L18" s="157">
        <f>[4]Results!O37</f>
        <v>0.71522347176307033</v>
      </c>
      <c r="M18" s="120">
        <f t="shared" si="12"/>
        <v>15.019692907024478</v>
      </c>
      <c r="N18" s="154">
        <f t="shared" si="13"/>
        <v>15.019692907024478</v>
      </c>
      <c r="P18" s="89">
        <v>2020</v>
      </c>
      <c r="Q18" s="157">
        <f>[5]Results!O37</f>
        <v>2.6852056486758938E-2</v>
      </c>
      <c r="R18" s="120">
        <f t="shared" si="14"/>
        <v>0.56389318622193774</v>
      </c>
      <c r="S18" s="154">
        <f t="shared" si="15"/>
        <v>0.56389318622193774</v>
      </c>
    </row>
    <row r="19" spans="1:19" x14ac:dyDescent="0.25">
      <c r="A19" s="89">
        <v>2021</v>
      </c>
      <c r="B19" s="156">
        <f>[2]Results!O38</f>
        <v>1.0344076191564804</v>
      </c>
      <c r="C19" s="120">
        <f t="shared" si="8"/>
        <v>21.722560002286087</v>
      </c>
      <c r="D19" s="154">
        <f t="shared" si="9"/>
        <v>21.722560002286087</v>
      </c>
      <c r="E19" s="111"/>
      <c r="F19" s="89">
        <v>2021</v>
      </c>
      <c r="G19" s="156">
        <f>[3]Results!O38</f>
        <v>0</v>
      </c>
      <c r="H19" s="120">
        <f t="shared" si="10"/>
        <v>0</v>
      </c>
      <c r="I19" s="154">
        <f t="shared" si="11"/>
        <v>0</v>
      </c>
      <c r="K19" s="89">
        <v>2021</v>
      </c>
      <c r="L19" s="157">
        <f>[4]Results!O38</f>
        <v>0.72991123254400148</v>
      </c>
      <c r="M19" s="120">
        <f t="shared" si="12"/>
        <v>15.32813588342403</v>
      </c>
      <c r="N19" s="154">
        <f t="shared" si="13"/>
        <v>15.32813588342403</v>
      </c>
      <c r="P19" s="89">
        <v>2021</v>
      </c>
      <c r="Q19" s="157">
        <f>[5]Results!O38</f>
        <v>3.3745514998608332E-2</v>
      </c>
      <c r="R19" s="120">
        <f t="shared" si="14"/>
        <v>0.70865581497077501</v>
      </c>
      <c r="S19" s="154">
        <f t="shared" si="15"/>
        <v>0.70865581497077501</v>
      </c>
    </row>
    <row r="20" spans="1:19" x14ac:dyDescent="0.25">
      <c r="A20" s="89">
        <v>2022</v>
      </c>
      <c r="B20" s="156">
        <f>[2]Results!O39</f>
        <v>1.0868025561414538</v>
      </c>
      <c r="C20" s="120">
        <f t="shared" si="8"/>
        <v>22.822853678970532</v>
      </c>
      <c r="D20" s="154">
        <f t="shared" si="9"/>
        <v>22.822853678970532</v>
      </c>
      <c r="E20" s="111"/>
      <c r="F20" s="89">
        <v>2022</v>
      </c>
      <c r="G20" s="156">
        <f>[3]Results!O39</f>
        <v>0</v>
      </c>
      <c r="H20" s="120">
        <f t="shared" si="10"/>
        <v>0</v>
      </c>
      <c r="I20" s="154">
        <f t="shared" si="11"/>
        <v>0</v>
      </c>
      <c r="K20" s="89">
        <v>2022</v>
      </c>
      <c r="L20" s="157">
        <f>[4]Results!O39</f>
        <v>0.74330609930749747</v>
      </c>
      <c r="M20" s="120">
        <f t="shared" si="12"/>
        <v>15.609428085457447</v>
      </c>
      <c r="N20" s="154">
        <f t="shared" si="13"/>
        <v>15.609428085457447</v>
      </c>
      <c r="P20" s="89">
        <v>2022</v>
      </c>
      <c r="Q20" s="157">
        <f>[5]Results!O39</f>
        <v>4.0352787343147435E-2</v>
      </c>
      <c r="R20" s="120">
        <f t="shared" si="14"/>
        <v>0.84740853420609619</v>
      </c>
      <c r="S20" s="154">
        <f t="shared" si="15"/>
        <v>0.84740853420609619</v>
      </c>
    </row>
    <row r="21" spans="1:19" x14ac:dyDescent="0.25">
      <c r="A21" s="89">
        <v>2023</v>
      </c>
      <c r="B21" s="156">
        <f>[2]Results!O40</f>
        <v>1.1434133712791998</v>
      </c>
      <c r="C21" s="120">
        <f t="shared" si="8"/>
        <v>24.011680796863196</v>
      </c>
      <c r="D21" s="154">
        <f t="shared" si="9"/>
        <v>24.011680796863196</v>
      </c>
      <c r="E21" s="111"/>
      <c r="F21" s="89">
        <v>2023</v>
      </c>
      <c r="G21" s="156">
        <f>[3]Results!O40</f>
        <v>0</v>
      </c>
      <c r="H21" s="120">
        <f t="shared" si="10"/>
        <v>0</v>
      </c>
      <c r="I21" s="154">
        <f t="shared" si="11"/>
        <v>0</v>
      </c>
      <c r="K21" s="89">
        <v>2023</v>
      </c>
      <c r="L21" s="157">
        <f>[4]Results!O40</f>
        <v>0.75552344316207709</v>
      </c>
      <c r="M21" s="120">
        <f t="shared" si="12"/>
        <v>15.865992306403619</v>
      </c>
      <c r="N21" s="154">
        <f t="shared" si="13"/>
        <v>15.865992306403619</v>
      </c>
      <c r="P21" s="89">
        <v>2023</v>
      </c>
      <c r="Q21" s="157">
        <f>[5]Results!O40</f>
        <v>4.693424065459257E-2</v>
      </c>
      <c r="R21" s="120">
        <f t="shared" si="14"/>
        <v>0.98561905374644398</v>
      </c>
      <c r="S21" s="154">
        <f t="shared" si="15"/>
        <v>0.98561905374644398</v>
      </c>
    </row>
    <row r="22" spans="1:19" x14ac:dyDescent="0.25">
      <c r="A22" s="89">
        <v>2024</v>
      </c>
      <c r="B22" s="156">
        <f>[2]Results!O41</f>
        <v>1.203646628578382</v>
      </c>
      <c r="C22" s="120">
        <f t="shared" si="8"/>
        <v>25.276579200146021</v>
      </c>
      <c r="D22" s="154">
        <f t="shared" si="9"/>
        <v>25.276579200146021</v>
      </c>
      <c r="E22" s="111"/>
      <c r="F22" s="89">
        <v>2024</v>
      </c>
      <c r="G22" s="156">
        <f>[3]Results!O41</f>
        <v>0</v>
      </c>
      <c r="H22" s="120">
        <f t="shared" si="10"/>
        <v>0</v>
      </c>
      <c r="I22" s="154">
        <f t="shared" si="11"/>
        <v>0</v>
      </c>
      <c r="K22" s="89">
        <v>2024</v>
      </c>
      <c r="L22" s="157">
        <f>[4]Results!O41</f>
        <v>0.76665490907367273</v>
      </c>
      <c r="M22" s="120">
        <f t="shared" si="12"/>
        <v>16.099753090547129</v>
      </c>
      <c r="N22" s="154">
        <f t="shared" si="13"/>
        <v>16.099753090547129</v>
      </c>
      <c r="P22" s="89">
        <v>2024</v>
      </c>
      <c r="Q22" s="157">
        <f>[5]Results!O41</f>
        <v>5.3683263510867982E-2</v>
      </c>
      <c r="R22" s="120">
        <f t="shared" si="14"/>
        <v>1.1273485337282276</v>
      </c>
      <c r="S22" s="154">
        <f t="shared" si="15"/>
        <v>1.1273485337282276</v>
      </c>
    </row>
    <row r="23" spans="1:19" x14ac:dyDescent="0.25">
      <c r="A23" s="89">
        <v>2025</v>
      </c>
      <c r="B23" s="156">
        <f>[2]Results!O42</f>
        <v>1.2671006998530951</v>
      </c>
      <c r="C23" s="120">
        <f t="shared" si="8"/>
        <v>26.609114696914997</v>
      </c>
      <c r="D23" s="154">
        <f t="shared" si="9"/>
        <v>26.609114696914997</v>
      </c>
      <c r="E23" s="111"/>
      <c r="F23" s="89">
        <v>2025</v>
      </c>
      <c r="G23" s="156">
        <f>[3]Results!O42</f>
        <v>0</v>
      </c>
      <c r="H23" s="120">
        <f t="shared" si="10"/>
        <v>0</v>
      </c>
      <c r="I23" s="154">
        <f t="shared" si="11"/>
        <v>0</v>
      </c>
      <c r="K23" s="89">
        <v>2025</v>
      </c>
      <c r="L23" s="157">
        <f>[4]Results!O42</f>
        <v>0.77677539230431314</v>
      </c>
      <c r="M23" s="120">
        <f t="shared" si="12"/>
        <v>16.312283238390577</v>
      </c>
      <c r="N23" s="154">
        <f t="shared" si="13"/>
        <v>16.312283238390577</v>
      </c>
      <c r="P23" s="89">
        <v>2025</v>
      </c>
      <c r="Q23" s="157">
        <f>[5]Results!O42</f>
        <v>6.0749473968653399E-2</v>
      </c>
      <c r="R23" s="120">
        <f t="shared" si="14"/>
        <v>1.2757389533417214</v>
      </c>
      <c r="S23" s="154">
        <f t="shared" si="15"/>
        <v>1.2757389533417214</v>
      </c>
    </row>
    <row r="24" spans="1:19" x14ac:dyDescent="0.25">
      <c r="A24" s="89">
        <v>2026</v>
      </c>
      <c r="B24" s="156">
        <f>[2]Results!O43</f>
        <v>1.3335027972655333</v>
      </c>
      <c r="C24" s="120">
        <f t="shared" si="8"/>
        <v>28.0035587425762</v>
      </c>
      <c r="D24" s="154">
        <f t="shared" si="9"/>
        <v>28.0035587425762</v>
      </c>
      <c r="E24" s="111"/>
      <c r="F24" s="89">
        <v>2026</v>
      </c>
      <c r="G24" s="156">
        <f>[3]Results!O43</f>
        <v>0</v>
      </c>
      <c r="H24" s="120">
        <f t="shared" si="10"/>
        <v>0</v>
      </c>
      <c r="I24" s="154">
        <f t="shared" si="11"/>
        <v>0</v>
      </c>
      <c r="K24" s="89">
        <v>2026</v>
      </c>
      <c r="L24" s="157">
        <f>[4]Results!O43</f>
        <v>0.78594780717700441</v>
      </c>
      <c r="M24" s="120">
        <f t="shared" si="12"/>
        <v>16.504903950717093</v>
      </c>
      <c r="N24" s="154">
        <f t="shared" si="13"/>
        <v>16.504903950717093</v>
      </c>
      <c r="P24" s="89">
        <v>2026</v>
      </c>
      <c r="Q24" s="157">
        <f>[5]Results!O43</f>
        <v>6.8254451529577598E-2</v>
      </c>
      <c r="R24" s="120">
        <f t="shared" si="14"/>
        <v>1.4333434821211295</v>
      </c>
      <c r="S24" s="154">
        <f t="shared" si="15"/>
        <v>1.4333434821211295</v>
      </c>
    </row>
    <row r="25" spans="1:19" x14ac:dyDescent="0.25">
      <c r="A25" s="89">
        <v>2027</v>
      </c>
      <c r="B25" s="156">
        <f>[2]Results!O44</f>
        <v>1.4026663454613142</v>
      </c>
      <c r="C25" s="120">
        <f t="shared" si="8"/>
        <v>29.455993254687598</v>
      </c>
      <c r="D25" s="154">
        <f t="shared" si="9"/>
        <v>29.455993254687598</v>
      </c>
      <c r="E25" s="111"/>
      <c r="F25" s="89">
        <v>2027</v>
      </c>
      <c r="G25" s="156">
        <f>[3]Results!O44</f>
        <v>0</v>
      </c>
      <c r="H25" s="120">
        <f t="shared" si="10"/>
        <v>0</v>
      </c>
      <c r="I25" s="154">
        <f t="shared" si="11"/>
        <v>0</v>
      </c>
      <c r="K25" s="89">
        <v>2027</v>
      </c>
      <c r="L25" s="157">
        <f>[4]Results!O44</f>
        <v>0.794226362201369</v>
      </c>
      <c r="M25" s="120">
        <f t="shared" si="12"/>
        <v>16.678753606228749</v>
      </c>
      <c r="N25" s="154">
        <f t="shared" si="13"/>
        <v>16.678753606228749</v>
      </c>
      <c r="P25" s="89">
        <v>2027</v>
      </c>
      <c r="Q25" s="157">
        <f>[5]Results!O44</f>
        <v>7.6302460263498226E-2</v>
      </c>
      <c r="R25" s="120">
        <f t="shared" si="14"/>
        <v>1.6023516655334626</v>
      </c>
      <c r="S25" s="154">
        <f t="shared" si="15"/>
        <v>1.6023516655334626</v>
      </c>
    </row>
    <row r="26" spans="1:19" x14ac:dyDescent="0.25">
      <c r="A26" s="89">
        <v>2028</v>
      </c>
      <c r="B26" s="156">
        <f>[2]Results!O45</f>
        <v>1.4744620084113402</v>
      </c>
      <c r="C26" s="120">
        <f t="shared" si="8"/>
        <v>30.963702176638144</v>
      </c>
      <c r="D26" s="154">
        <f t="shared" si="9"/>
        <v>30.963702176638144</v>
      </c>
      <c r="E26" s="111"/>
      <c r="F26" s="89">
        <v>2028</v>
      </c>
      <c r="G26" s="156">
        <f>[3]Results!O45</f>
        <v>0</v>
      </c>
      <c r="H26" s="120">
        <f t="shared" si="10"/>
        <v>0</v>
      </c>
      <c r="I26" s="154">
        <f t="shared" si="11"/>
        <v>0</v>
      </c>
      <c r="K26" s="89">
        <v>2028</v>
      </c>
      <c r="L26" s="157">
        <f>[4]Results!O45</f>
        <v>0.8016588223715343</v>
      </c>
      <c r="M26" s="120">
        <f t="shared" si="12"/>
        <v>16.83483526980222</v>
      </c>
      <c r="N26" s="154">
        <f t="shared" si="13"/>
        <v>16.83483526980222</v>
      </c>
      <c r="P26" s="89">
        <v>2028</v>
      </c>
      <c r="Q26" s="157">
        <f>[5]Results!O45</f>
        <v>8.4987818997660586E-2</v>
      </c>
      <c r="R26" s="120">
        <f t="shared" si="14"/>
        <v>1.7847441989508723</v>
      </c>
      <c r="S26" s="154">
        <f t="shared" si="15"/>
        <v>1.7847441989508723</v>
      </c>
    </row>
    <row r="27" spans="1:19" x14ac:dyDescent="0.25">
      <c r="A27" s="89">
        <v>2029</v>
      </c>
      <c r="B27" s="156">
        <f>[2]Results!O46</f>
        <v>1.5487978827238493</v>
      </c>
      <c r="C27" s="120">
        <f t="shared" si="8"/>
        <v>32.524755537200839</v>
      </c>
      <c r="D27" s="154">
        <f t="shared" si="9"/>
        <v>32.524755537200839</v>
      </c>
      <c r="E27" s="111"/>
      <c r="F27" s="89">
        <v>2029</v>
      </c>
      <c r="G27" s="156">
        <f>[3]Results!O46</f>
        <v>0</v>
      </c>
      <c r="H27" s="120">
        <f t="shared" si="10"/>
        <v>0</v>
      </c>
      <c r="I27" s="154">
        <f t="shared" si="11"/>
        <v>0</v>
      </c>
      <c r="K27" s="89">
        <v>2029</v>
      </c>
      <c r="L27" s="157">
        <f>[4]Results!O46</f>
        <v>0.80828808276922404</v>
      </c>
      <c r="M27" s="120">
        <f t="shared" si="12"/>
        <v>16.974049738153706</v>
      </c>
      <c r="N27" s="154">
        <f t="shared" si="13"/>
        <v>16.974049738153706</v>
      </c>
      <c r="P27" s="89">
        <v>2029</v>
      </c>
      <c r="Q27" s="157">
        <f>[5]Results!O46</f>
        <v>9.4400030516498493E-2</v>
      </c>
      <c r="R27" s="120">
        <f t="shared" si="14"/>
        <v>1.9824006408464683</v>
      </c>
      <c r="S27" s="154">
        <f t="shared" si="15"/>
        <v>1.9824006408464683</v>
      </c>
    </row>
    <row r="28" spans="1:19" x14ac:dyDescent="0.25">
      <c r="A28" s="89">
        <v>2030</v>
      </c>
      <c r="B28" s="156">
        <f>[2]Results!O47</f>
        <v>1.6255496109341721</v>
      </c>
      <c r="C28" s="120">
        <f t="shared" si="8"/>
        <v>34.136541829617613</v>
      </c>
      <c r="D28" s="154">
        <f t="shared" si="9"/>
        <v>34.136541829617613</v>
      </c>
      <c r="E28" s="111"/>
      <c r="F28" s="89">
        <v>2030</v>
      </c>
      <c r="G28" s="156">
        <f>[3]Results!O47</f>
        <v>0</v>
      </c>
      <c r="H28" s="120">
        <f t="shared" si="10"/>
        <v>0</v>
      </c>
      <c r="I28" s="154">
        <f t="shared" si="11"/>
        <v>0</v>
      </c>
      <c r="K28" s="89">
        <v>2030</v>
      </c>
      <c r="L28" s="157">
        <f>[4]Results!O47</f>
        <v>0.8141532722899979</v>
      </c>
      <c r="M28" s="120">
        <f t="shared" si="12"/>
        <v>17.097218718089955</v>
      </c>
      <c r="N28" s="154">
        <f t="shared" si="13"/>
        <v>17.097218718089955</v>
      </c>
      <c r="P28" s="89">
        <v>2030</v>
      </c>
      <c r="Q28" s="157">
        <f>[5]Results!O47</f>
        <v>0.10462741700038289</v>
      </c>
      <c r="R28" s="120">
        <f t="shared" si="14"/>
        <v>2.1971757570080408</v>
      </c>
      <c r="S28" s="154">
        <f t="shared" si="15"/>
        <v>2.1971757570080408</v>
      </c>
    </row>
    <row r="29" spans="1:19" x14ac:dyDescent="0.25">
      <c r="A29" s="89">
        <v>2031</v>
      </c>
      <c r="B29" s="156"/>
      <c r="C29" s="120">
        <f t="shared" si="8"/>
        <v>0</v>
      </c>
      <c r="D29" s="154">
        <f t="shared" si="9"/>
        <v>0</v>
      </c>
      <c r="E29" s="111"/>
      <c r="F29" s="89">
        <v>2031</v>
      </c>
      <c r="G29" s="134"/>
      <c r="H29" s="109">
        <f t="shared" si="10"/>
        <v>0</v>
      </c>
      <c r="I29" s="110">
        <f t="shared" si="11"/>
        <v>0</v>
      </c>
      <c r="K29" s="89">
        <v>2031</v>
      </c>
      <c r="L29" s="133"/>
      <c r="M29" s="109">
        <f t="shared" si="12"/>
        <v>0</v>
      </c>
      <c r="N29" s="154">
        <f t="shared" si="13"/>
        <v>0</v>
      </c>
      <c r="P29" s="89">
        <v>2031</v>
      </c>
      <c r="Q29" s="133"/>
      <c r="R29" s="112">
        <f t="shared" si="14"/>
        <v>0</v>
      </c>
      <c r="S29" s="113">
        <f t="shared" si="15"/>
        <v>0</v>
      </c>
    </row>
    <row r="31" spans="1:19" x14ac:dyDescent="0.25">
      <c r="A31" s="114" t="s">
        <v>125</v>
      </c>
    </row>
    <row r="32" spans="1:19" x14ac:dyDescent="0.25">
      <c r="A32" s="201" t="s">
        <v>10</v>
      </c>
      <c r="B32" s="201" t="s">
        <v>80</v>
      </c>
      <c r="C32" s="201"/>
      <c r="D32" s="201"/>
      <c r="E32" s="201"/>
      <c r="F32" s="201"/>
    </row>
    <row r="33" spans="1:6" ht="18" x14ac:dyDescent="0.25">
      <c r="A33" s="201"/>
      <c r="B33" s="201" t="s">
        <v>127</v>
      </c>
      <c r="C33" s="201"/>
      <c r="D33" s="201" t="s">
        <v>131</v>
      </c>
      <c r="E33" s="201"/>
      <c r="F33" s="202" t="s">
        <v>128</v>
      </c>
    </row>
    <row r="34" spans="1:6" ht="18" x14ac:dyDescent="0.25">
      <c r="A34" s="201"/>
      <c r="B34" s="171" t="s">
        <v>129</v>
      </c>
      <c r="C34" s="171" t="s">
        <v>130</v>
      </c>
      <c r="D34" s="171" t="s">
        <v>132</v>
      </c>
      <c r="E34" s="171" t="s">
        <v>130</v>
      </c>
      <c r="F34" s="202"/>
    </row>
    <row r="35" spans="1:6" x14ac:dyDescent="0.25">
      <c r="A35" s="89">
        <v>2011</v>
      </c>
      <c r="B35" s="121">
        <f>[6]REKAPITULASI!B6</f>
        <v>2.9092499999999999E-3</v>
      </c>
      <c r="C35" s="121">
        <f>B35*21</f>
        <v>6.1094249999999996E-2</v>
      </c>
      <c r="D35" s="121">
        <f>[6]REKAPITULASI!D6</f>
        <v>2.1819375E-4</v>
      </c>
      <c r="E35" s="121">
        <f>D35*310</f>
        <v>6.7640062500000001E-2</v>
      </c>
      <c r="F35" s="154">
        <f>E35+C35</f>
        <v>0.1287343125</v>
      </c>
    </row>
    <row r="36" spans="1:6" x14ac:dyDescent="0.25">
      <c r="A36" s="89">
        <v>2012</v>
      </c>
      <c r="B36" s="121">
        <f>[6]REKAPITULASI!B7</f>
        <v>3.0412152000000004E-3</v>
      </c>
      <c r="C36" s="121">
        <f t="shared" ref="C36:C45" si="16">B36*21</f>
        <v>6.3865519200000012E-2</v>
      </c>
      <c r="D36" s="121">
        <f>[6]REKAPITULASI!D7</f>
        <v>2.2809114000000002E-4</v>
      </c>
      <c r="E36" s="121">
        <f t="shared" ref="E36:E45" si="17">D36*310</f>
        <v>7.0708253400000004E-2</v>
      </c>
      <c r="F36" s="154">
        <f t="shared" ref="F36:F45" si="18">E36+C36</f>
        <v>0.13457377260000003</v>
      </c>
    </row>
    <row r="37" spans="1:6" x14ac:dyDescent="0.25">
      <c r="A37" s="89">
        <v>2013</v>
      </c>
      <c r="B37" s="121">
        <f>[6]REKAPITULASI!B8</f>
        <v>3.1775328000000001E-3</v>
      </c>
      <c r="C37" s="121">
        <f t="shared" si="16"/>
        <v>6.6728188800000005E-2</v>
      </c>
      <c r="D37" s="121">
        <f>[6]REKAPITULASI!D8</f>
        <v>2.3831496000000001E-4</v>
      </c>
      <c r="E37" s="121">
        <f t="shared" si="17"/>
        <v>7.3877637600000004E-2</v>
      </c>
      <c r="F37" s="154">
        <f t="shared" si="18"/>
        <v>0.14060582640000002</v>
      </c>
    </row>
    <row r="38" spans="1:6" x14ac:dyDescent="0.25">
      <c r="A38" s="89">
        <v>2014</v>
      </c>
      <c r="B38" s="121">
        <f>[6]REKAPITULASI!B9</f>
        <v>3.3153192000000002E-3</v>
      </c>
      <c r="C38" s="121">
        <f t="shared" si="16"/>
        <v>6.962170320000001E-2</v>
      </c>
      <c r="D38" s="121">
        <f>[6]REKAPITULASI!D9</f>
        <v>2.4864894000000001E-4</v>
      </c>
      <c r="E38" s="121">
        <f t="shared" si="17"/>
        <v>7.7081171399999995E-2</v>
      </c>
      <c r="F38" s="154">
        <f t="shared" si="18"/>
        <v>0.14670287460000001</v>
      </c>
    </row>
    <row r="39" spans="1:6" x14ac:dyDescent="0.25">
      <c r="A39" s="89">
        <v>2015</v>
      </c>
      <c r="B39" s="121">
        <f>[6]REKAPITULASI!B10</f>
        <v>3.4572420000000001E-3</v>
      </c>
      <c r="C39" s="121">
        <f t="shared" si="16"/>
        <v>7.2602081999999998E-2</v>
      </c>
      <c r="D39" s="121">
        <f>[6]REKAPITULASI!D10</f>
        <v>2.5929314999999996E-4</v>
      </c>
      <c r="E39" s="121">
        <f t="shared" si="17"/>
        <v>8.038087649999999E-2</v>
      </c>
      <c r="F39" s="154">
        <f t="shared" si="18"/>
        <v>0.15298295849999999</v>
      </c>
    </row>
    <row r="40" spans="1:6" x14ac:dyDescent="0.25">
      <c r="A40" s="89">
        <v>2016</v>
      </c>
      <c r="B40" s="121">
        <f>[6]REKAPITULASI!B11</f>
        <v>3.6027828E-3</v>
      </c>
      <c r="C40" s="121">
        <f t="shared" si="16"/>
        <v>7.5658438800000005E-2</v>
      </c>
      <c r="D40" s="121">
        <f>[6]REKAPITULASI!D11</f>
        <v>2.7020870999999995E-4</v>
      </c>
      <c r="E40" s="121">
        <f t="shared" si="17"/>
        <v>8.3764700099999992E-2</v>
      </c>
      <c r="F40" s="154">
        <f t="shared" si="18"/>
        <v>0.15942313889999998</v>
      </c>
    </row>
    <row r="41" spans="1:6" x14ac:dyDescent="0.25">
      <c r="A41" s="89">
        <v>2017</v>
      </c>
      <c r="B41" s="121">
        <f>[6]REKAPITULASI!B12</f>
        <v>3.7225125828E-3</v>
      </c>
      <c r="C41" s="121">
        <f t="shared" si="16"/>
        <v>7.8172764238799999E-2</v>
      </c>
      <c r="D41" s="121">
        <f>[6]REKAPITULASI!D12</f>
        <v>2.7918844370999993E-4</v>
      </c>
      <c r="E41" s="121">
        <f t="shared" si="17"/>
        <v>8.6548417550099982E-2</v>
      </c>
      <c r="F41" s="154">
        <f t="shared" si="18"/>
        <v>0.1647211817889</v>
      </c>
    </row>
    <row r="42" spans="1:6" x14ac:dyDescent="0.25">
      <c r="A42" s="89">
        <v>2018</v>
      </c>
      <c r="B42" s="121">
        <f>[6]REKAPITULASI!B13</f>
        <v>3.9713745720428998E-3</v>
      </c>
      <c r="C42" s="121">
        <f t="shared" si="16"/>
        <v>8.3398866012900891E-2</v>
      </c>
      <c r="D42" s="121">
        <f>[6]REKAPITULASI!D13</f>
        <v>2.978530929032175E-4</v>
      </c>
      <c r="E42" s="121">
        <f t="shared" si="17"/>
        <v>9.2334458799997424E-2</v>
      </c>
      <c r="F42" s="154">
        <f t="shared" si="18"/>
        <v>0.17573332481289833</v>
      </c>
    </row>
    <row r="43" spans="1:6" x14ac:dyDescent="0.25">
      <c r="A43" s="89">
        <v>2019</v>
      </c>
      <c r="B43" s="121">
        <f>[6]REKAPITULASI!B14</f>
        <v>4.2313980838272654E-3</v>
      </c>
      <c r="C43" s="121">
        <f t="shared" si="16"/>
        <v>8.8859359760372569E-2</v>
      </c>
      <c r="D43" s="121">
        <f>[6]REKAPITULASI!D14</f>
        <v>3.173548562870449E-4</v>
      </c>
      <c r="E43" s="121">
        <f t="shared" si="17"/>
        <v>9.8380005448983926E-2</v>
      </c>
      <c r="F43" s="154">
        <f t="shared" si="18"/>
        <v>0.1872393652093565</v>
      </c>
    </row>
    <row r="44" spans="1:6" x14ac:dyDescent="0.25">
      <c r="A44" s="89">
        <v>2020</v>
      </c>
      <c r="B44" s="121">
        <f>[6]REKAPITULASI!B15</f>
        <v>4.5030171867871992E-3</v>
      </c>
      <c r="C44" s="121">
        <f t="shared" si="16"/>
        <v>9.4563360922531189E-2</v>
      </c>
      <c r="D44" s="121">
        <f>[6]REKAPITULASI!D15</f>
        <v>3.377262890090399E-4</v>
      </c>
      <c r="E44" s="121">
        <f t="shared" si="17"/>
        <v>0.10469514959280236</v>
      </c>
      <c r="F44" s="154">
        <f t="shared" si="18"/>
        <v>0.19925851051533355</v>
      </c>
    </row>
    <row r="45" spans="1:6" x14ac:dyDescent="0.25">
      <c r="A45" s="89">
        <v>2021</v>
      </c>
      <c r="B45" s="121">
        <f>[6]REKAPITULASI!B16</f>
        <v>4.7866816255222591E-3</v>
      </c>
      <c r="C45" s="121">
        <f t="shared" si="16"/>
        <v>0.10052031413596745</v>
      </c>
      <c r="D45" s="121">
        <f>[6]REKAPITULASI!D16</f>
        <v>3.5900112191416942E-4</v>
      </c>
      <c r="E45" s="121">
        <f t="shared" si="17"/>
        <v>0.11129034779339252</v>
      </c>
      <c r="F45" s="154">
        <f t="shared" si="18"/>
        <v>0.21181066192935996</v>
      </c>
    </row>
    <row r="46" spans="1:6" x14ac:dyDescent="0.25">
      <c r="A46" s="89">
        <v>2022</v>
      </c>
      <c r="B46" s="121">
        <f>[6]REKAPITULASI!B17</f>
        <v>5.0828573615552515E-3</v>
      </c>
      <c r="C46" s="121">
        <f t="shared" ref="C46:C55" si="19">B46*21</f>
        <v>0.10674000459266028</v>
      </c>
      <c r="D46" s="121">
        <f>[6]REKAPITULASI!D17</f>
        <v>3.8121430211664382E-4</v>
      </c>
      <c r="E46" s="121">
        <f t="shared" ref="E46:E55" si="20">D46*310</f>
        <v>0.11817643365615958</v>
      </c>
      <c r="F46" s="154">
        <f t="shared" ref="F46:F55" si="21">E46+C46</f>
        <v>0.22491643824881985</v>
      </c>
    </row>
    <row r="47" spans="1:6" x14ac:dyDescent="0.25">
      <c r="A47" s="89">
        <v>2023</v>
      </c>
      <c r="B47" s="121">
        <f>[6]REKAPITULASI!B18</f>
        <v>5.3920271323917917E-3</v>
      </c>
      <c r="C47" s="121">
        <f t="shared" si="19"/>
        <v>0.11323256978022762</v>
      </c>
      <c r="D47" s="121">
        <f>[6]REKAPITULASI!D18</f>
        <v>4.0440203492938436E-4</v>
      </c>
      <c r="E47" s="121">
        <f t="shared" si="20"/>
        <v>0.12536463082810914</v>
      </c>
      <c r="F47" s="154">
        <f t="shared" si="21"/>
        <v>0.23859720060833678</v>
      </c>
    </row>
    <row r="48" spans="1:6" x14ac:dyDescent="0.25">
      <c r="A48" s="89">
        <v>2024</v>
      </c>
      <c r="B48" s="121">
        <f>[6]REKAPITULASI!B19</f>
        <v>5.7146910292740919E-3</v>
      </c>
      <c r="C48" s="121">
        <f t="shared" si="19"/>
        <v>0.12000851161475592</v>
      </c>
      <c r="D48" s="121">
        <f>[6]REKAPITULASI!D19</f>
        <v>4.2860182719555687E-4</v>
      </c>
      <c r="E48" s="121">
        <f t="shared" si="20"/>
        <v>0.13286656643062264</v>
      </c>
      <c r="F48" s="154">
        <f t="shared" si="21"/>
        <v>0.25287507804537857</v>
      </c>
    </row>
    <row r="49" spans="1:10" x14ac:dyDescent="0.25">
      <c r="A49" s="89">
        <v>2025</v>
      </c>
      <c r="B49" s="121">
        <f>[6]REKAPITULASI!B20</f>
        <v>6.0513670942403987E-3</v>
      </c>
      <c r="C49" s="121">
        <f t="shared" si="19"/>
        <v>0.12707870897904838</v>
      </c>
      <c r="D49" s="121">
        <f>[6]REKAPITULASI!D20</f>
        <v>4.5385253206802991E-4</v>
      </c>
      <c r="E49" s="121">
        <f t="shared" si="20"/>
        <v>0.14069428494108926</v>
      </c>
      <c r="F49" s="154">
        <f t="shared" si="21"/>
        <v>0.26777299392013765</v>
      </c>
    </row>
    <row r="50" spans="1:10" x14ac:dyDescent="0.25">
      <c r="A50" s="89">
        <v>2026</v>
      </c>
      <c r="B50" s="121">
        <f>[6]REKAPITULASI!B21</f>
        <v>6.4025919371212565E-3</v>
      </c>
      <c r="C50" s="121">
        <f t="shared" si="19"/>
        <v>0.13445443067954638</v>
      </c>
      <c r="D50" s="121">
        <f>[6]REKAPITULASI!D21</f>
        <v>4.8019439528409417E-4</v>
      </c>
      <c r="E50" s="121">
        <f t="shared" si="20"/>
        <v>0.14886026253806919</v>
      </c>
      <c r="F50" s="154">
        <f t="shared" si="21"/>
        <v>0.2833146932176156</v>
      </c>
    </row>
    <row r="51" spans="1:10" x14ac:dyDescent="0.25">
      <c r="A51" s="89">
        <v>2027</v>
      </c>
      <c r="B51" s="121">
        <f>[6]REKAPITULASI!B22</f>
        <v>6.7689213731240271E-3</v>
      </c>
      <c r="C51" s="121">
        <f t="shared" si="19"/>
        <v>0.14214734883560456</v>
      </c>
      <c r="D51" s="121">
        <f>[6]REKAPITULASI!D22</f>
        <v>5.0766910298430206E-4</v>
      </c>
      <c r="E51" s="121">
        <f t="shared" si="20"/>
        <v>0.15737742192513363</v>
      </c>
      <c r="F51" s="154">
        <f t="shared" si="21"/>
        <v>0.29952477076073819</v>
      </c>
    </row>
    <row r="52" spans="1:10" x14ac:dyDescent="0.25">
      <c r="A52" s="89">
        <v>2028</v>
      </c>
      <c r="B52" s="121">
        <f>[6]REKAPITULASI!B23</f>
        <v>7.1509310816780291E-3</v>
      </c>
      <c r="C52" s="121">
        <f t="shared" si="19"/>
        <v>0.1501695527152386</v>
      </c>
      <c r="D52" s="121">
        <f>[6]REKAPITULASI!D23</f>
        <v>5.3631983112585211E-4</v>
      </c>
      <c r="E52" s="121">
        <f t="shared" si="20"/>
        <v>0.16625914764901414</v>
      </c>
      <c r="F52" s="154">
        <f t="shared" si="21"/>
        <v>0.31642870036425275</v>
      </c>
    </row>
    <row r="53" spans="1:10" x14ac:dyDescent="0.25">
      <c r="A53" s="89">
        <v>2029</v>
      </c>
      <c r="B53" s="121">
        <f>[6]REKAPITULASI!B24</f>
        <v>7.5492172872342871E-3</v>
      </c>
      <c r="C53" s="121">
        <f t="shared" si="19"/>
        <v>0.15853356303192004</v>
      </c>
      <c r="D53" s="121">
        <f>[6]REKAPITULASI!D24</f>
        <v>5.6619129654257149E-4</v>
      </c>
      <c r="E53" s="121">
        <f t="shared" si="20"/>
        <v>0.17551930192819717</v>
      </c>
      <c r="F53" s="154">
        <f t="shared" si="21"/>
        <v>0.33405286496011721</v>
      </c>
    </row>
    <row r="54" spans="1:10" x14ac:dyDescent="0.25">
      <c r="A54" s="89">
        <v>2030</v>
      </c>
      <c r="B54" s="121">
        <f>[6]REKAPITULASI!B25</f>
        <v>7.9613920000000012E-3</v>
      </c>
      <c r="C54" s="121">
        <f t="shared" si="19"/>
        <v>0.16718923200000002</v>
      </c>
      <c r="D54" s="121">
        <f>[6]REKAPITULASI!D25</f>
        <v>5.9710440000000013E-4</v>
      </c>
      <c r="E54" s="121">
        <f t="shared" si="20"/>
        <v>0.18510236400000005</v>
      </c>
      <c r="F54" s="154">
        <f t="shared" si="21"/>
        <v>0.35229159600000004</v>
      </c>
    </row>
    <row r="55" spans="1:10" x14ac:dyDescent="0.25">
      <c r="A55" s="89">
        <v>2031</v>
      </c>
      <c r="B55" s="155"/>
      <c r="C55" s="121">
        <f t="shared" si="19"/>
        <v>0</v>
      </c>
      <c r="D55" s="121"/>
      <c r="E55" s="121">
        <f t="shared" si="20"/>
        <v>0</v>
      </c>
      <c r="F55" s="110">
        <f t="shared" si="21"/>
        <v>0</v>
      </c>
    </row>
    <row r="57" spans="1:10" x14ac:dyDescent="0.25">
      <c r="A57" s="103" t="s">
        <v>87</v>
      </c>
      <c r="J57" s="95">
        <v>1000</v>
      </c>
    </row>
    <row r="58" spans="1:10" x14ac:dyDescent="0.25">
      <c r="A58" s="199" t="s">
        <v>10</v>
      </c>
      <c r="B58" s="199" t="s">
        <v>88</v>
      </c>
      <c r="C58" s="199"/>
      <c r="D58" s="199"/>
      <c r="E58" s="199"/>
      <c r="F58" s="199"/>
    </row>
    <row r="59" spans="1:10" ht="18" x14ac:dyDescent="0.25">
      <c r="A59" s="199"/>
      <c r="B59" s="199" t="s">
        <v>127</v>
      </c>
      <c r="C59" s="199"/>
      <c r="D59" s="199" t="s">
        <v>131</v>
      </c>
      <c r="E59" s="199"/>
      <c r="F59" s="169" t="s">
        <v>133</v>
      </c>
      <c r="H59" s="193" t="s">
        <v>10</v>
      </c>
      <c r="I59" s="193" t="s">
        <v>151</v>
      </c>
      <c r="J59" s="193"/>
    </row>
    <row r="60" spans="1:10" ht="18" x14ac:dyDescent="0.25">
      <c r="A60" s="199"/>
      <c r="B60" s="170" t="s">
        <v>129</v>
      </c>
      <c r="C60" s="170" t="s">
        <v>130</v>
      </c>
      <c r="D60" s="170" t="s">
        <v>132</v>
      </c>
      <c r="E60" s="170" t="s">
        <v>130</v>
      </c>
      <c r="F60" s="170" t="s">
        <v>134</v>
      </c>
      <c r="H60" s="193"/>
      <c r="I60" s="126" t="s">
        <v>143</v>
      </c>
      <c r="J60" s="126" t="s">
        <v>144</v>
      </c>
    </row>
    <row r="61" spans="1:10" x14ac:dyDescent="0.25">
      <c r="A61" s="89">
        <v>2011</v>
      </c>
      <c r="B61" s="121">
        <f>[6]REKAPITULASI!B32</f>
        <v>2.2368226562499999E-2</v>
      </c>
      <c r="C61" s="116">
        <f>B61*21</f>
        <v>0.46973275781250001</v>
      </c>
      <c r="D61" s="121">
        <f>[6]REKAPITULASI!D32</f>
        <v>5.1618984375E-4</v>
      </c>
      <c r="E61" s="116">
        <f>D61*310</f>
        <v>0.16001885156250001</v>
      </c>
      <c r="F61" s="154">
        <f>SUM(C61+E61)</f>
        <v>0.62975160937499997</v>
      </c>
      <c r="H61" s="89">
        <v>2011</v>
      </c>
      <c r="I61" s="127">
        <f>D9+I9+N9+F35+F61-S9</f>
        <v>24.794656551247844</v>
      </c>
      <c r="J61" s="152">
        <f>I61*$J$57</f>
        <v>24794.656551247845</v>
      </c>
    </row>
    <row r="62" spans="1:10" x14ac:dyDescent="0.25">
      <c r="A62" s="89">
        <v>2012</v>
      </c>
      <c r="B62" s="121">
        <f>[6]REKAPITULASI!B33</f>
        <v>2.3382861775E-2</v>
      </c>
      <c r="C62" s="116">
        <f t="shared" ref="C62:C81" si="22">B62*21</f>
        <v>0.49104009727499998</v>
      </c>
      <c r="D62" s="121">
        <f>[6]REKAPITULASI!D33</f>
        <v>5.3960450250000011E-4</v>
      </c>
      <c r="E62" s="116">
        <f t="shared" ref="E62:E81" si="23">D62*310</f>
        <v>0.16727739577500003</v>
      </c>
      <c r="F62" s="154">
        <f t="shared" ref="F62:F81" si="24">SUM(C62+E62)</f>
        <v>0.65831749304999998</v>
      </c>
      <c r="H62" s="89">
        <v>2012</v>
      </c>
      <c r="I62" s="127">
        <f t="shared" ref="I62:I81" si="25">D10+I10+N10+F36+F62-S10</f>
        <v>26.442807806414699</v>
      </c>
      <c r="J62" s="152">
        <f t="shared" ref="J62:J70" si="26">I62*$J$57</f>
        <v>26442.807806414698</v>
      </c>
    </row>
    <row r="63" spans="1:10" x14ac:dyDescent="0.25">
      <c r="A63" s="89">
        <v>2013</v>
      </c>
      <c r="B63" s="121">
        <f>[6]REKAPITULASI!B34</f>
        <v>2.4430961099999999E-2</v>
      </c>
      <c r="C63" s="116">
        <f t="shared" si="22"/>
        <v>0.51305018309999995</v>
      </c>
      <c r="D63" s="121">
        <f>[6]REKAPITULASI!D34</f>
        <v>5.6379141E-4</v>
      </c>
      <c r="E63" s="116">
        <f t="shared" si="23"/>
        <v>0.17477533710000001</v>
      </c>
      <c r="F63" s="154">
        <f t="shared" si="24"/>
        <v>0.68782552019999998</v>
      </c>
      <c r="H63" s="89">
        <v>2013</v>
      </c>
      <c r="I63" s="127">
        <f t="shared" si="25"/>
        <v>28.05397434429587</v>
      </c>
      <c r="J63" s="152">
        <f t="shared" si="26"/>
        <v>28053.974344295872</v>
      </c>
    </row>
    <row r="64" spans="1:10" x14ac:dyDescent="0.25">
      <c r="A64" s="89">
        <v>2014</v>
      </c>
      <c r="B64" s="121">
        <f>[6]REKAPITULASI!B35</f>
        <v>2.5490353525000002E-2</v>
      </c>
      <c r="C64" s="116">
        <f t="shared" si="22"/>
        <v>0.53529742402500002</v>
      </c>
      <c r="D64" s="121">
        <f>[6]REKAPITULASI!D35</f>
        <v>5.8823892750000002E-4</v>
      </c>
      <c r="E64" s="116">
        <f t="shared" si="23"/>
        <v>0.182354067525</v>
      </c>
      <c r="F64" s="154">
        <f t="shared" si="24"/>
        <v>0.71765149155000008</v>
      </c>
      <c r="H64" s="89">
        <v>2014</v>
      </c>
      <c r="I64" s="127">
        <f t="shared" si="25"/>
        <v>29.651436387079695</v>
      </c>
      <c r="J64" s="152">
        <f t="shared" si="26"/>
        <v>29651.436387079695</v>
      </c>
    </row>
    <row r="65" spans="1:10" x14ac:dyDescent="0.25">
      <c r="A65" s="89">
        <v>2015</v>
      </c>
      <c r="B65" s="121">
        <f>[6]REKAPITULASI!B36</f>
        <v>2.6581549312500008E-2</v>
      </c>
      <c r="C65" s="116">
        <f t="shared" si="22"/>
        <v>0.55821253556250017</v>
      </c>
      <c r="D65" s="121">
        <f>[6]REKAPITULASI!D36</f>
        <v>6.1342036875000009E-4</v>
      </c>
      <c r="E65" s="116">
        <f t="shared" si="23"/>
        <v>0.19016031431250002</v>
      </c>
      <c r="F65" s="154">
        <f t="shared" si="24"/>
        <v>0.74837284987500019</v>
      </c>
      <c r="H65" s="89">
        <v>2015</v>
      </c>
      <c r="I65" s="127">
        <f t="shared" si="25"/>
        <v>31.2446018211146</v>
      </c>
      <c r="J65" s="152">
        <f t="shared" si="26"/>
        <v>31244.6018211146</v>
      </c>
    </row>
    <row r="66" spans="1:10" x14ac:dyDescent="0.25">
      <c r="A66" s="89">
        <v>2016</v>
      </c>
      <c r="B66" s="121">
        <f>[6]REKAPITULASI!B37</f>
        <v>2.7700562662500001E-2</v>
      </c>
      <c r="C66" s="116">
        <f t="shared" si="22"/>
        <v>0.58171181591249999</v>
      </c>
      <c r="D66" s="121">
        <f>[6]REKAPITULASI!D37</f>
        <v>6.3924375374999997E-4</v>
      </c>
      <c r="E66" s="116">
        <f t="shared" si="23"/>
        <v>0.19816556366249999</v>
      </c>
      <c r="F66" s="154">
        <f t="shared" si="24"/>
        <v>0.77987737957500003</v>
      </c>
      <c r="H66" s="89">
        <v>2016</v>
      </c>
      <c r="I66" s="127">
        <f t="shared" si="25"/>
        <v>32.846782191040717</v>
      </c>
      <c r="J66" s="152">
        <f t="shared" si="26"/>
        <v>32846.782191040715</v>
      </c>
    </row>
    <row r="67" spans="1:10" x14ac:dyDescent="0.25">
      <c r="A67" s="89">
        <v>2017</v>
      </c>
      <c r="B67" s="121">
        <f>[6]REKAPITULASI!B38</f>
        <v>2.7828025225000004E-2</v>
      </c>
      <c r="C67" s="116">
        <f t="shared" si="22"/>
        <v>0.58438852972500011</v>
      </c>
      <c r="D67" s="121">
        <f>[6]REKAPITULASI!D38</f>
        <v>6.4218519750000016E-4</v>
      </c>
      <c r="E67" s="116">
        <f t="shared" si="23"/>
        <v>0.19907741122500006</v>
      </c>
      <c r="F67" s="154">
        <f t="shared" si="24"/>
        <v>0.78346594095000022</v>
      </c>
      <c r="H67" s="89">
        <v>2017</v>
      </c>
      <c r="I67" s="127">
        <f t="shared" si="25"/>
        <v>34.436010029717281</v>
      </c>
      <c r="J67" s="152">
        <f t="shared" si="26"/>
        <v>34436.010029717283</v>
      </c>
    </row>
    <row r="68" spans="1:10" x14ac:dyDescent="0.25">
      <c r="A68" s="89">
        <v>2018</v>
      </c>
      <c r="B68" s="121">
        <f>[6]REKAPITULASI!B39</f>
        <v>2.8865744862500001E-2</v>
      </c>
      <c r="C68" s="116">
        <f t="shared" si="22"/>
        <v>0.6061806421125</v>
      </c>
      <c r="D68" s="121">
        <f>[6]REKAPITULASI!D39</f>
        <v>6.6613257375000004E-4</v>
      </c>
      <c r="E68" s="116">
        <f t="shared" si="23"/>
        <v>0.20650109786250001</v>
      </c>
      <c r="F68" s="154">
        <f t="shared" si="24"/>
        <v>0.81268173997500004</v>
      </c>
      <c r="H68" s="89">
        <v>2018</v>
      </c>
      <c r="I68" s="127">
        <f t="shared" si="25"/>
        <v>35.167624469706702</v>
      </c>
      <c r="J68" s="152">
        <f t="shared" si="26"/>
        <v>35167.624469706701</v>
      </c>
    </row>
    <row r="69" spans="1:10" x14ac:dyDescent="0.25">
      <c r="A69" s="89">
        <v>2019</v>
      </c>
      <c r="B69" s="121">
        <f>[6]REKAPITULASI!B40</f>
        <v>2.9903464500000001E-2</v>
      </c>
      <c r="C69" s="116">
        <f t="shared" si="22"/>
        <v>0.62797275450000001</v>
      </c>
      <c r="D69" s="121">
        <f>[6]REKAPITULASI!D40</f>
        <v>6.9007995000000002E-4</v>
      </c>
      <c r="E69" s="116">
        <f t="shared" si="23"/>
        <v>0.21392478449999999</v>
      </c>
      <c r="F69" s="154">
        <f t="shared" si="24"/>
        <v>0.84189753899999997</v>
      </c>
      <c r="H69" s="89">
        <v>2019</v>
      </c>
      <c r="I69" s="127">
        <f t="shared" si="25"/>
        <v>36.136416537300562</v>
      </c>
      <c r="J69" s="152">
        <f t="shared" si="26"/>
        <v>36136.41653730056</v>
      </c>
    </row>
    <row r="70" spans="1:10" x14ac:dyDescent="0.25">
      <c r="A70" s="89">
        <v>2020</v>
      </c>
      <c r="B70" s="121">
        <f>[6]REKAPITULASI!B41</f>
        <v>3.0941184137500004E-2</v>
      </c>
      <c r="C70" s="116">
        <f t="shared" si="22"/>
        <v>0.64976486688750013</v>
      </c>
      <c r="D70" s="121">
        <f>[6]REKAPITULASI!D41</f>
        <v>7.1402732625000011E-4</v>
      </c>
      <c r="E70" s="116">
        <f t="shared" si="23"/>
        <v>0.22134847113750003</v>
      </c>
      <c r="F70" s="154">
        <f t="shared" si="24"/>
        <v>0.87111333802500013</v>
      </c>
      <c r="H70" s="89">
        <v>2020</v>
      </c>
      <c r="I70" s="127">
        <f t="shared" si="25"/>
        <v>36.255420073735529</v>
      </c>
      <c r="J70" s="152">
        <f t="shared" si="26"/>
        <v>36255.420073735528</v>
      </c>
    </row>
    <row r="71" spans="1:10" x14ac:dyDescent="0.25">
      <c r="A71" s="89">
        <v>2021</v>
      </c>
      <c r="B71" s="121">
        <f>[6]REKAPITULASI!B42</f>
        <v>3.1978903774999998E-2</v>
      </c>
      <c r="C71" s="116">
        <f t="shared" si="22"/>
        <v>0.67155697927499991</v>
      </c>
      <c r="D71" s="121">
        <f>[6]REKAPITULASI!D42</f>
        <v>7.3797470250000009E-4</v>
      </c>
      <c r="E71" s="116">
        <f t="shared" si="23"/>
        <v>0.22877215777500004</v>
      </c>
      <c r="F71" s="154">
        <f t="shared" si="24"/>
        <v>0.90032913704999995</v>
      </c>
      <c r="H71" s="89">
        <v>2021</v>
      </c>
      <c r="I71" s="127">
        <f t="shared" si="25"/>
        <v>37.454179869718708</v>
      </c>
      <c r="J71" s="152">
        <f>I71*$J$57</f>
        <v>37454.179869718704</v>
      </c>
    </row>
    <row r="72" spans="1:10" x14ac:dyDescent="0.25">
      <c r="A72" s="89">
        <v>2022</v>
      </c>
      <c r="B72" s="121">
        <f>[6]REKAPITULASI!B43</f>
        <v>3.3016623412499994E-2</v>
      </c>
      <c r="C72" s="116">
        <f t="shared" si="22"/>
        <v>0.69334909166249992</v>
      </c>
      <c r="D72" s="121">
        <f>[6]REKAPITULASI!D43</f>
        <v>7.6192207874999985E-4</v>
      </c>
      <c r="E72" s="116">
        <f t="shared" si="23"/>
        <v>0.23619584441249997</v>
      </c>
      <c r="F72" s="154">
        <f t="shared" si="24"/>
        <v>0.92954493607499988</v>
      </c>
      <c r="H72" s="89">
        <v>2022</v>
      </c>
      <c r="I72" s="127">
        <f t="shared" si="25"/>
        <v>38.739334604545697</v>
      </c>
      <c r="J72" s="152">
        <f t="shared" ref="J72:J81" si="27">I72*$J$57</f>
        <v>38739.3346045457</v>
      </c>
    </row>
    <row r="73" spans="1:10" x14ac:dyDescent="0.25">
      <c r="A73" s="89">
        <v>2023</v>
      </c>
      <c r="B73" s="121">
        <f>[6]REKAPITULASI!B44</f>
        <v>3.4054343049999998E-2</v>
      </c>
      <c r="C73" s="116">
        <f t="shared" si="22"/>
        <v>0.71514120404999992</v>
      </c>
      <c r="D73" s="121">
        <f>[6]REKAPITULASI!D44</f>
        <v>7.8586945499999994E-4</v>
      </c>
      <c r="E73" s="116">
        <f t="shared" si="23"/>
        <v>0.24361953104999998</v>
      </c>
      <c r="F73" s="154">
        <f t="shared" si="24"/>
        <v>0.95876073509999993</v>
      </c>
      <c r="H73" s="89">
        <v>2023</v>
      </c>
      <c r="I73" s="127">
        <f t="shared" si="25"/>
        <v>40.089411985228708</v>
      </c>
      <c r="J73" s="152">
        <f t="shared" si="27"/>
        <v>40089.411985228711</v>
      </c>
    </row>
    <row r="74" spans="1:10" x14ac:dyDescent="0.25">
      <c r="A74" s="89">
        <v>2024</v>
      </c>
      <c r="B74" s="121">
        <f>[6]REKAPITULASI!B45</f>
        <v>3.5092062687499995E-2</v>
      </c>
      <c r="C74" s="116">
        <f t="shared" si="22"/>
        <v>0.73693331643749993</v>
      </c>
      <c r="D74" s="121">
        <f>[6]REKAPITULASI!D45</f>
        <v>8.0981683124999992E-4</v>
      </c>
      <c r="E74" s="116">
        <f t="shared" si="23"/>
        <v>0.25104321768749999</v>
      </c>
      <c r="F74" s="154">
        <f t="shared" si="24"/>
        <v>0.98797653412499997</v>
      </c>
      <c r="H74" s="89">
        <v>2024</v>
      </c>
      <c r="I74" s="127">
        <f t="shared" si="25"/>
        <v>41.489835369135299</v>
      </c>
      <c r="J74" s="152">
        <f t="shared" si="27"/>
        <v>41489.835369135297</v>
      </c>
    </row>
    <row r="75" spans="1:10" x14ac:dyDescent="0.25">
      <c r="A75" s="89">
        <v>2025</v>
      </c>
      <c r="B75" s="121">
        <f>[6]REKAPITULASI!B46</f>
        <v>3.6129782324999998E-2</v>
      </c>
      <c r="C75" s="116">
        <f t="shared" si="22"/>
        <v>0.75872542882499994</v>
      </c>
      <c r="D75" s="121">
        <f>[6]REKAPITULASI!D46</f>
        <v>8.3376420750000001E-4</v>
      </c>
      <c r="E75" s="116">
        <f t="shared" si="23"/>
        <v>0.25846690432500002</v>
      </c>
      <c r="F75" s="154">
        <f t="shared" si="24"/>
        <v>1.0171923331499999</v>
      </c>
      <c r="H75" s="89">
        <v>2025</v>
      </c>
      <c r="I75" s="127">
        <f t="shared" si="25"/>
        <v>42.930624309033995</v>
      </c>
      <c r="J75" s="152">
        <f t="shared" si="27"/>
        <v>42930.624309033992</v>
      </c>
    </row>
    <row r="76" spans="1:10" x14ac:dyDescent="0.25">
      <c r="A76" s="89">
        <v>2026</v>
      </c>
      <c r="B76" s="121">
        <f>[6]REKAPITULASI!B47</f>
        <v>3.7167501962500002E-2</v>
      </c>
      <c r="C76" s="116">
        <f t="shared" si="22"/>
        <v>0.78051754121250005</v>
      </c>
      <c r="D76" s="121">
        <f>[6]REKAPITULASI!D47</f>
        <v>8.5771158375000009E-4</v>
      </c>
      <c r="E76" s="116">
        <f t="shared" si="23"/>
        <v>0.26589059096250001</v>
      </c>
      <c r="F76" s="154">
        <f t="shared" si="24"/>
        <v>1.0464081321750001</v>
      </c>
      <c r="H76" s="89">
        <v>2026</v>
      </c>
      <c r="I76" s="127">
        <f t="shared" si="25"/>
        <v>44.404842036564787</v>
      </c>
      <c r="J76" s="152">
        <f t="shared" si="27"/>
        <v>44404.842036564791</v>
      </c>
    </row>
    <row r="77" spans="1:10" x14ac:dyDescent="0.25">
      <c r="A77" s="89">
        <v>2027</v>
      </c>
      <c r="B77" s="121">
        <f>[6]REKAPITULASI!B48</f>
        <v>3.8205221599999999E-2</v>
      </c>
      <c r="C77" s="116">
        <f t="shared" si="22"/>
        <v>0.80230965359999995</v>
      </c>
      <c r="D77" s="121">
        <f>[6]REKAPITULASI!D48</f>
        <v>8.8165895999999986E-4</v>
      </c>
      <c r="E77" s="116">
        <f t="shared" si="23"/>
        <v>0.27331427759999993</v>
      </c>
      <c r="F77" s="154">
        <f t="shared" si="24"/>
        <v>1.0756239312</v>
      </c>
      <c r="H77" s="89">
        <v>2027</v>
      </c>
      <c r="I77" s="127">
        <f t="shared" si="25"/>
        <v>45.907543897343629</v>
      </c>
      <c r="J77" s="152">
        <f t="shared" si="27"/>
        <v>45907.543897343632</v>
      </c>
    </row>
    <row r="78" spans="1:10" x14ac:dyDescent="0.25">
      <c r="A78" s="89">
        <v>2028</v>
      </c>
      <c r="B78" s="121">
        <f>[6]REKAPITULASI!B49</f>
        <v>3.9242941237500002E-2</v>
      </c>
      <c r="C78" s="116">
        <f t="shared" si="22"/>
        <v>0.82410176598750007</v>
      </c>
      <c r="D78" s="121">
        <f>[6]REKAPITULASI!D49</f>
        <v>9.0560633625000005E-4</v>
      </c>
      <c r="E78" s="116">
        <f t="shared" si="23"/>
        <v>0.28073796423750003</v>
      </c>
      <c r="F78" s="154">
        <f t="shared" si="24"/>
        <v>1.1048397302250001</v>
      </c>
      <c r="H78" s="89">
        <v>2028</v>
      </c>
      <c r="I78" s="127">
        <f t="shared" si="25"/>
        <v>47.435061678078746</v>
      </c>
      <c r="J78" s="152">
        <f t="shared" si="27"/>
        <v>47435.061678078746</v>
      </c>
    </row>
    <row r="79" spans="1:10" x14ac:dyDescent="0.25">
      <c r="A79" s="89">
        <v>2029</v>
      </c>
      <c r="B79" s="121">
        <f>[6]REKAPITULASI!B50</f>
        <v>4.0280660874999999E-2</v>
      </c>
      <c r="C79" s="116">
        <f t="shared" si="22"/>
        <v>0.84589387837499996</v>
      </c>
      <c r="D79" s="121">
        <f>[6]REKAPITULASI!D50</f>
        <v>9.2955371250000004E-4</v>
      </c>
      <c r="E79" s="116">
        <f t="shared" si="23"/>
        <v>0.28816165087500001</v>
      </c>
      <c r="F79" s="154">
        <f t="shared" si="24"/>
        <v>1.1340555292499999</v>
      </c>
      <c r="H79" s="89">
        <v>2029</v>
      </c>
      <c r="I79" s="127">
        <f t="shared" si="25"/>
        <v>48.984513028718183</v>
      </c>
      <c r="J79" s="152">
        <f t="shared" si="27"/>
        <v>48984.513028718182</v>
      </c>
    </row>
    <row r="80" spans="1:10" x14ac:dyDescent="0.25">
      <c r="A80" s="89">
        <v>2030</v>
      </c>
      <c r="B80" s="121">
        <f>[6]REKAPITULASI!B51</f>
        <v>4.1318380512500003E-2</v>
      </c>
      <c r="C80" s="116">
        <f t="shared" si="22"/>
        <v>0.86768599076250008</v>
      </c>
      <c r="D80" s="121">
        <f>[6]REKAPITULASI!D51</f>
        <v>9.5350108875000002E-4</v>
      </c>
      <c r="E80" s="116">
        <f t="shared" si="23"/>
        <v>0.29558533751249999</v>
      </c>
      <c r="F80" s="154">
        <f t="shared" si="24"/>
        <v>1.163271328275</v>
      </c>
      <c r="H80" s="89">
        <v>2030</v>
      </c>
      <c r="I80" s="127">
        <f t="shared" si="25"/>
        <v>50.552147714974531</v>
      </c>
      <c r="J80" s="152">
        <f t="shared" si="27"/>
        <v>50552.147714974533</v>
      </c>
    </row>
    <row r="81" spans="1:10" x14ac:dyDescent="0.25">
      <c r="A81" s="89">
        <v>2031</v>
      </c>
      <c r="B81" s="115"/>
      <c r="C81" s="116">
        <f t="shared" si="22"/>
        <v>0</v>
      </c>
      <c r="D81" s="115"/>
      <c r="E81" s="116">
        <f t="shared" si="23"/>
        <v>0</v>
      </c>
      <c r="F81" s="117">
        <f t="shared" si="24"/>
        <v>0</v>
      </c>
      <c r="H81" s="89">
        <v>2031</v>
      </c>
      <c r="I81" s="127">
        <f t="shared" si="25"/>
        <v>0</v>
      </c>
      <c r="J81" s="128">
        <f t="shared" si="27"/>
        <v>0</v>
      </c>
    </row>
    <row r="84" spans="1:10" x14ac:dyDescent="0.25">
      <c r="A84" s="118"/>
      <c r="B84" s="99"/>
      <c r="C84" s="100"/>
      <c r="D84" s="99"/>
      <c r="E84" s="100"/>
      <c r="F84" s="100"/>
    </row>
    <row r="85" spans="1:10" x14ac:dyDescent="0.25">
      <c r="A85" s="119" t="s">
        <v>142</v>
      </c>
      <c r="B85" s="100"/>
      <c r="C85" s="99"/>
      <c r="D85" s="100"/>
      <c r="G85" s="95">
        <v>1000</v>
      </c>
    </row>
    <row r="86" spans="1:10" ht="18" x14ac:dyDescent="0.25">
      <c r="A86" s="195" t="s">
        <v>10</v>
      </c>
      <c r="B86" s="196" t="s">
        <v>135</v>
      </c>
      <c r="C86" s="196"/>
      <c r="D86" s="192" t="s">
        <v>136</v>
      </c>
      <c r="E86" s="192"/>
      <c r="F86" s="194" t="s">
        <v>94</v>
      </c>
      <c r="G86" s="194"/>
    </row>
    <row r="87" spans="1:10" ht="36" x14ac:dyDescent="0.25">
      <c r="A87" s="195"/>
      <c r="B87" s="163" t="s">
        <v>137</v>
      </c>
      <c r="C87" s="163" t="s">
        <v>138</v>
      </c>
      <c r="D87" s="164" t="s">
        <v>139</v>
      </c>
      <c r="E87" s="164" t="s">
        <v>140</v>
      </c>
      <c r="F87" s="165" t="s">
        <v>141</v>
      </c>
      <c r="G87" s="165" t="s">
        <v>145</v>
      </c>
    </row>
    <row r="88" spans="1:10" x14ac:dyDescent="0.25">
      <c r="A88" s="195"/>
      <c r="B88" s="197" t="s">
        <v>100</v>
      </c>
      <c r="C88" s="166" t="s">
        <v>101</v>
      </c>
      <c r="D88" s="167" t="s">
        <v>102</v>
      </c>
      <c r="E88" s="167" t="s">
        <v>103</v>
      </c>
      <c r="F88" s="168" t="s">
        <v>104</v>
      </c>
      <c r="G88" s="168" t="s">
        <v>104</v>
      </c>
    </row>
    <row r="89" spans="1:10" x14ac:dyDescent="0.25">
      <c r="A89" s="195"/>
      <c r="B89" s="197"/>
      <c r="C89" s="166" t="s">
        <v>105</v>
      </c>
      <c r="D89" s="167"/>
      <c r="E89" s="167" t="s">
        <v>106</v>
      </c>
      <c r="F89" s="168" t="s">
        <v>107</v>
      </c>
      <c r="G89" s="168" t="s">
        <v>107</v>
      </c>
    </row>
    <row r="90" spans="1:10" x14ac:dyDescent="0.25">
      <c r="A90" s="89">
        <v>2011</v>
      </c>
      <c r="B90" s="122">
        <f>[6]REKAPITULASI!B59</f>
        <v>0.28142080349999998</v>
      </c>
      <c r="C90" s="125">
        <f>B90*21</f>
        <v>5.9098368734999998</v>
      </c>
      <c r="D90" s="124">
        <f>[6]REKAPITULASI!D59</f>
        <v>9.564120892857143E-3</v>
      </c>
      <c r="E90" s="120">
        <f>D90*310</f>
        <v>2.9648774767857144</v>
      </c>
      <c r="F90" s="123">
        <f>C90+E90</f>
        <v>8.8747143502857142</v>
      </c>
      <c r="G90" s="153">
        <f>F90*$G$85</f>
        <v>8874.7143502857143</v>
      </c>
    </row>
    <row r="91" spans="1:10" x14ac:dyDescent="0.25">
      <c r="A91" s="89">
        <v>2012</v>
      </c>
      <c r="B91" s="122">
        <f>[6]REKAPITULASI!B60</f>
        <v>0.29418620785440003</v>
      </c>
      <c r="C91" s="125">
        <f t="shared" ref="C91:C110" si="28">B91*21</f>
        <v>6.1779103649424005</v>
      </c>
      <c r="D91" s="124">
        <f>[6]REKAPITULASI!D60</f>
        <v>9.63775578857143E-3</v>
      </c>
      <c r="E91" s="120">
        <f t="shared" ref="E91:E110" si="29">D91*310</f>
        <v>2.9877042944571435</v>
      </c>
      <c r="F91" s="123">
        <f t="shared" ref="F91:F110" si="30">C91+E91</f>
        <v>9.1656146593995445</v>
      </c>
      <c r="G91" s="153">
        <f t="shared" ref="G91:G109" si="31">F91*$G$85</f>
        <v>9165.6146593995436</v>
      </c>
    </row>
    <row r="92" spans="1:10" x14ac:dyDescent="0.25">
      <c r="A92" s="89">
        <v>2013</v>
      </c>
      <c r="B92" s="122">
        <f>[6]REKAPITULASI!B61</f>
        <v>0.30737263340160004</v>
      </c>
      <c r="C92" s="125">
        <f t="shared" si="28"/>
        <v>6.4548253014336012</v>
      </c>
      <c r="D92" s="124">
        <f>[6]REKAPITULASI!D61</f>
        <v>9.9273522102857146E-3</v>
      </c>
      <c r="E92" s="120">
        <f t="shared" si="29"/>
        <v>3.0774791851885714</v>
      </c>
      <c r="F92" s="123">
        <f t="shared" si="30"/>
        <v>9.5323044866221736</v>
      </c>
      <c r="G92" s="153">
        <f t="shared" si="31"/>
        <v>9532.3044866221735</v>
      </c>
    </row>
    <row r="93" spans="1:10" x14ac:dyDescent="0.25">
      <c r="A93" s="89">
        <v>2014</v>
      </c>
      <c r="B93" s="122">
        <f>[6]REKAPITULASI!B62</f>
        <v>0.32070114054239995</v>
      </c>
      <c r="C93" s="125">
        <f t="shared" si="28"/>
        <v>6.7347239513903991</v>
      </c>
      <c r="D93" s="124">
        <f>[6]REKAPITULASI!D62</f>
        <v>1.0587767144952383E-2</v>
      </c>
      <c r="E93" s="120">
        <f t="shared" si="29"/>
        <v>3.2822078149352389</v>
      </c>
      <c r="F93" s="123">
        <f t="shared" si="30"/>
        <v>10.016931766325637</v>
      </c>
      <c r="G93" s="153">
        <f t="shared" si="31"/>
        <v>10016.931766325637</v>
      </c>
    </row>
    <row r="94" spans="1:10" x14ac:dyDescent="0.25">
      <c r="A94" s="89">
        <v>2015</v>
      </c>
      <c r="B94" s="122">
        <f>[6]REKAPITULASI!B63</f>
        <v>0.33442977452400002</v>
      </c>
      <c r="C94" s="125">
        <f t="shared" si="28"/>
        <v>7.0230252650040006</v>
      </c>
      <c r="D94" s="124">
        <f>[6]REKAPITULASI!D63</f>
        <v>1.1041010247142859E-2</v>
      </c>
      <c r="E94" s="120">
        <f t="shared" si="29"/>
        <v>3.4227131766142862</v>
      </c>
      <c r="F94" s="123">
        <f t="shared" si="30"/>
        <v>10.445738441618287</v>
      </c>
      <c r="G94" s="153">
        <f t="shared" si="31"/>
        <v>10445.738441618287</v>
      </c>
    </row>
    <row r="95" spans="1:10" x14ac:dyDescent="0.25">
      <c r="A95" s="89">
        <v>2016</v>
      </c>
      <c r="B95" s="122">
        <f>[6]REKAPITULASI!B64</f>
        <v>0.34850838890159996</v>
      </c>
      <c r="C95" s="125">
        <f t="shared" si="28"/>
        <v>7.3186761669335993</v>
      </c>
      <c r="D95" s="124">
        <f>[6]REKAPITULASI!D64</f>
        <v>1.1505807754571429E-2</v>
      </c>
      <c r="E95" s="120">
        <f t="shared" si="29"/>
        <v>3.566800403917143</v>
      </c>
      <c r="F95" s="123">
        <f t="shared" si="30"/>
        <v>10.885476570850741</v>
      </c>
      <c r="G95" s="153">
        <f t="shared" si="31"/>
        <v>10885.476570850742</v>
      </c>
    </row>
    <row r="96" spans="1:10" x14ac:dyDescent="0.25">
      <c r="A96" s="89">
        <v>2017</v>
      </c>
      <c r="B96" s="122">
        <f>[6]REKAPITULASI!B65</f>
        <v>0.35011203041759997</v>
      </c>
      <c r="C96" s="125">
        <f t="shared" si="28"/>
        <v>7.3523526387695997</v>
      </c>
      <c r="D96" s="124">
        <f>[6]REKAPITULASI!D65</f>
        <v>1.1558751074095239E-2</v>
      </c>
      <c r="E96" s="120">
        <f t="shared" si="29"/>
        <v>3.5832128329695241</v>
      </c>
      <c r="F96" s="123">
        <f t="shared" si="30"/>
        <v>10.935565471739125</v>
      </c>
      <c r="G96" s="153">
        <f t="shared" si="31"/>
        <v>10935.565471739124</v>
      </c>
    </row>
    <row r="97" spans="1:7" x14ac:dyDescent="0.25">
      <c r="A97" s="89">
        <v>2018</v>
      </c>
      <c r="B97" s="122">
        <f>[6]REKAPITULASI!B66</f>
        <v>0.36316786626480002</v>
      </c>
      <c r="C97" s="125">
        <f t="shared" si="28"/>
        <v>7.6265251915608001</v>
      </c>
      <c r="D97" s="124">
        <f>[6]REKAPITULASI!D66</f>
        <v>1.1989782125619049E-2</v>
      </c>
      <c r="E97" s="120">
        <f t="shared" si="29"/>
        <v>3.7168324589419051</v>
      </c>
      <c r="F97" s="123">
        <f t="shared" si="30"/>
        <v>11.343357650502705</v>
      </c>
      <c r="G97" s="153">
        <f t="shared" si="31"/>
        <v>11343.357650502705</v>
      </c>
    </row>
    <row r="98" spans="1:7" x14ac:dyDescent="0.25">
      <c r="A98" s="89">
        <v>2019</v>
      </c>
      <c r="B98" s="122">
        <f>[6]REKAPITULASI!B67</f>
        <v>0.37622370211200001</v>
      </c>
      <c r="C98" s="125">
        <f t="shared" si="28"/>
        <v>7.9006977443520006</v>
      </c>
      <c r="D98" s="124">
        <f>[6]REKAPITULASI!D67</f>
        <v>1.2420813177142859E-2</v>
      </c>
      <c r="E98" s="120">
        <f t="shared" si="29"/>
        <v>3.850452084914286</v>
      </c>
      <c r="F98" s="123">
        <f t="shared" si="30"/>
        <v>11.751149829266286</v>
      </c>
      <c r="G98" s="153">
        <f t="shared" si="31"/>
        <v>11751.149829266285</v>
      </c>
    </row>
    <row r="99" spans="1:7" x14ac:dyDescent="0.25">
      <c r="A99" s="89">
        <v>2020</v>
      </c>
      <c r="B99" s="122">
        <f>[6]REKAPITULASI!B68</f>
        <v>0.38927953795919995</v>
      </c>
      <c r="C99" s="125">
        <f t="shared" si="28"/>
        <v>8.1748702971431992</v>
      </c>
      <c r="D99" s="124">
        <f>[6]REKAPITULASI!D68</f>
        <v>1.2851844228666672E-2</v>
      </c>
      <c r="E99" s="120">
        <f t="shared" si="29"/>
        <v>3.9840717108866683</v>
      </c>
      <c r="F99" s="123">
        <f t="shared" si="30"/>
        <v>12.158942008029868</v>
      </c>
      <c r="G99" s="153">
        <f t="shared" si="31"/>
        <v>12158.942008029868</v>
      </c>
    </row>
    <row r="100" spans="1:7" x14ac:dyDescent="0.25">
      <c r="A100" s="89">
        <v>2021</v>
      </c>
      <c r="B100" s="122">
        <f>[6]REKAPITULASI!B69</f>
        <v>0.4023353738064</v>
      </c>
      <c r="C100" s="125">
        <f t="shared" si="28"/>
        <v>8.4490428499344006</v>
      </c>
      <c r="D100" s="124">
        <f>[6]REKAPITULASI!D69</f>
        <v>1.328287528019048E-2</v>
      </c>
      <c r="E100" s="120">
        <f t="shared" si="29"/>
        <v>4.1176913368590489</v>
      </c>
      <c r="F100" s="123">
        <f t="shared" si="30"/>
        <v>12.56673418679345</v>
      </c>
      <c r="G100" s="153">
        <f t="shared" si="31"/>
        <v>12566.73418679345</v>
      </c>
    </row>
    <row r="101" spans="1:7" x14ac:dyDescent="0.25">
      <c r="A101" s="89">
        <v>2022</v>
      </c>
      <c r="B101" s="122">
        <f>[6]REKAPITULASI!B70</f>
        <v>0.41539120965359999</v>
      </c>
      <c r="C101" s="125">
        <f t="shared" si="28"/>
        <v>8.7232154027256001</v>
      </c>
      <c r="D101" s="124">
        <f>[6]REKAPITULASI!D70</f>
        <v>1.3713906331714288E-2</v>
      </c>
      <c r="E101" s="120">
        <f t="shared" si="29"/>
        <v>4.251310962831429</v>
      </c>
      <c r="F101" s="123">
        <f t="shared" si="30"/>
        <v>12.974526365557029</v>
      </c>
      <c r="G101" s="153">
        <f t="shared" si="31"/>
        <v>12974.526365557029</v>
      </c>
    </row>
    <row r="102" spans="1:7" x14ac:dyDescent="0.25">
      <c r="A102" s="89">
        <v>2023</v>
      </c>
      <c r="B102" s="122">
        <f>[6]REKAPITULASI!B71</f>
        <v>0.42844704550079998</v>
      </c>
      <c r="C102" s="125">
        <f t="shared" si="28"/>
        <v>8.9973879555167997</v>
      </c>
      <c r="D102" s="124">
        <f>[6]REKAPITULASI!D71</f>
        <v>1.4144937383238096E-2</v>
      </c>
      <c r="E102" s="120">
        <f t="shared" si="29"/>
        <v>4.3849305888038099</v>
      </c>
      <c r="F102" s="123">
        <f t="shared" si="30"/>
        <v>13.38231854432061</v>
      </c>
      <c r="G102" s="153">
        <f t="shared" si="31"/>
        <v>13382.318544320609</v>
      </c>
    </row>
    <row r="103" spans="1:7" x14ac:dyDescent="0.25">
      <c r="A103" s="89">
        <v>2024</v>
      </c>
      <c r="B103" s="122">
        <f>[6]REKAPITULASI!B72</f>
        <v>0.44150288134800009</v>
      </c>
      <c r="C103" s="125">
        <f t="shared" si="28"/>
        <v>9.271560508308001</v>
      </c>
      <c r="D103" s="124">
        <f>[6]REKAPITULASI!D72</f>
        <v>1.4575968434761909E-2</v>
      </c>
      <c r="E103" s="120">
        <f t="shared" si="29"/>
        <v>4.5185502147761918</v>
      </c>
      <c r="F103" s="123">
        <f t="shared" si="30"/>
        <v>13.790110723084194</v>
      </c>
      <c r="G103" s="153">
        <f t="shared" si="31"/>
        <v>13790.110723084194</v>
      </c>
    </row>
    <row r="104" spans="1:7" x14ac:dyDescent="0.25">
      <c r="A104" s="89">
        <v>2025</v>
      </c>
      <c r="B104" s="122">
        <f>[6]REKAPITULASI!B73</f>
        <v>0.45330505607520011</v>
      </c>
      <c r="C104" s="125">
        <f t="shared" si="28"/>
        <v>9.5194061775792029</v>
      </c>
      <c r="D104" s="124">
        <f>[6]REKAPITULASI!D73</f>
        <v>1.4965610572000002E-2</v>
      </c>
      <c r="E104" s="120">
        <f t="shared" si="29"/>
        <v>4.6393392773200004</v>
      </c>
      <c r="F104" s="123">
        <f t="shared" si="30"/>
        <v>14.158745454899204</v>
      </c>
      <c r="G104" s="153">
        <f t="shared" si="31"/>
        <v>14158.745454899205</v>
      </c>
    </row>
    <row r="105" spans="1:7" x14ac:dyDescent="0.25">
      <c r="A105" s="89">
        <v>2026</v>
      </c>
      <c r="B105" s="122">
        <f>[6]REKAPITULASI!B74</f>
        <v>0.46636089192239999</v>
      </c>
      <c r="C105" s="125">
        <f t="shared" si="28"/>
        <v>9.7935787303703989</v>
      </c>
      <c r="D105" s="124">
        <f>[6]REKAPITULASI!D74</f>
        <v>1.5396641623523812E-2</v>
      </c>
      <c r="E105" s="120">
        <f t="shared" si="29"/>
        <v>4.7729589032923814</v>
      </c>
      <c r="F105" s="123">
        <f t="shared" si="30"/>
        <v>14.566537633662779</v>
      </c>
      <c r="G105" s="153">
        <f t="shared" si="31"/>
        <v>14566.53763366278</v>
      </c>
    </row>
    <row r="106" spans="1:7" x14ac:dyDescent="0.25">
      <c r="A106" s="89">
        <v>2027</v>
      </c>
      <c r="B106" s="122">
        <f>[6]REKAPITULASI!B75</f>
        <v>0.47941672776959993</v>
      </c>
      <c r="C106" s="125">
        <f t="shared" si="28"/>
        <v>10.067751283161599</v>
      </c>
      <c r="D106" s="124">
        <f>[6]REKAPITULASI!D75</f>
        <v>1.5827672675047623E-2</v>
      </c>
      <c r="E106" s="120">
        <f t="shared" si="29"/>
        <v>4.9065785292647632</v>
      </c>
      <c r="F106" s="123">
        <f t="shared" si="30"/>
        <v>14.974329812426362</v>
      </c>
      <c r="G106" s="153">
        <f t="shared" si="31"/>
        <v>14974.329812426362</v>
      </c>
    </row>
    <row r="107" spans="1:7" x14ac:dyDescent="0.25">
      <c r="A107" s="89">
        <v>2028</v>
      </c>
      <c r="B107" s="122">
        <f>[6]REKAPITULASI!B76</f>
        <v>0.49247256361679997</v>
      </c>
      <c r="C107" s="125">
        <f t="shared" si="28"/>
        <v>10.3419238359528</v>
      </c>
      <c r="D107" s="124">
        <f>[6]REKAPITULASI!D76</f>
        <v>1.6258703726571431E-2</v>
      </c>
      <c r="E107" s="120">
        <f t="shared" si="29"/>
        <v>5.0401981552371433</v>
      </c>
      <c r="F107" s="123">
        <f t="shared" si="30"/>
        <v>15.382121991189944</v>
      </c>
      <c r="G107" s="153">
        <f t="shared" si="31"/>
        <v>15382.121991189944</v>
      </c>
    </row>
    <row r="108" spans="1:7" x14ac:dyDescent="0.25">
      <c r="A108" s="89">
        <v>2029</v>
      </c>
      <c r="B108" s="122">
        <f>[6]REKAPITULASI!B77</f>
        <v>0.50552839946400008</v>
      </c>
      <c r="C108" s="125">
        <f t="shared" si="28"/>
        <v>10.616096388744001</v>
      </c>
      <c r="D108" s="124">
        <f>[6]REKAPITULASI!D77</f>
        <v>1.6689734778095235E-2</v>
      </c>
      <c r="E108" s="120">
        <f t="shared" si="29"/>
        <v>5.1738177812095225</v>
      </c>
      <c r="F108" s="123">
        <f t="shared" si="30"/>
        <v>15.789914169953523</v>
      </c>
      <c r="G108" s="153">
        <f t="shared" si="31"/>
        <v>15789.914169953523</v>
      </c>
    </row>
    <row r="109" spans="1:7" x14ac:dyDescent="0.25">
      <c r="A109" s="89">
        <v>2030</v>
      </c>
      <c r="B109" s="122">
        <f>[6]REKAPITULASI!B78</f>
        <v>0.51858423531120001</v>
      </c>
      <c r="C109" s="125">
        <f t="shared" si="28"/>
        <v>10.890268941535201</v>
      </c>
      <c r="D109" s="124">
        <f>[6]REKAPITULASI!D78</f>
        <v>1.7120765829619054E-2</v>
      </c>
      <c r="E109" s="120">
        <f t="shared" si="29"/>
        <v>5.307437407181907</v>
      </c>
      <c r="F109" s="123">
        <f t="shared" si="30"/>
        <v>16.197706348717109</v>
      </c>
      <c r="G109" s="153">
        <f t="shared" si="31"/>
        <v>16197.706348717109</v>
      </c>
    </row>
    <row r="110" spans="1:7" x14ac:dyDescent="0.25">
      <c r="A110" s="89">
        <v>2031</v>
      </c>
      <c r="B110" s="122"/>
      <c r="C110" s="125">
        <f t="shared" si="28"/>
        <v>0</v>
      </c>
      <c r="D110" s="124"/>
      <c r="E110" s="120">
        <f t="shared" si="29"/>
        <v>0</v>
      </c>
      <c r="F110" s="123">
        <f t="shared" si="30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topLeftCell="A8" zoomScale="85" zoomScaleNormal="85" workbookViewId="0">
      <selection activeCell="H20" sqref="H20"/>
    </sheetView>
  </sheetViews>
  <sheetFormatPr defaultRowHeight="15" x14ac:dyDescent="0.25"/>
  <cols>
    <col min="1" max="1" width="24" customWidth="1"/>
    <col min="2" max="2" width="23.28515625" bestFit="1" customWidth="1"/>
    <col min="3" max="3" width="21.42578125" bestFit="1" customWidth="1"/>
    <col min="4" max="4" width="20" bestFit="1" customWidth="1"/>
    <col min="5" max="5" width="19" bestFit="1" customWidth="1"/>
    <col min="6" max="6" width="9" bestFit="1" customWidth="1"/>
    <col min="11" max="21" width="10.5703125" bestFit="1" customWidth="1"/>
    <col min="22" max="22" width="11.5703125" bestFit="1" customWidth="1"/>
  </cols>
  <sheetData>
    <row r="2" spans="1:22" x14ac:dyDescent="0.25">
      <c r="B2" s="158">
        <v>2011</v>
      </c>
      <c r="C2" s="158">
        <v>2012</v>
      </c>
      <c r="D2" s="158">
        <v>2013</v>
      </c>
      <c r="E2" s="158">
        <v>2014</v>
      </c>
      <c r="F2" s="158">
        <v>2015</v>
      </c>
      <c r="G2" s="158">
        <v>2016</v>
      </c>
      <c r="H2" s="158">
        <v>2017</v>
      </c>
      <c r="I2" s="158">
        <v>2018</v>
      </c>
      <c r="J2" s="158">
        <v>2019</v>
      </c>
      <c r="K2" s="158">
        <v>2020</v>
      </c>
      <c r="L2" s="158">
        <v>2021</v>
      </c>
      <c r="M2" s="158">
        <v>2022</v>
      </c>
      <c r="N2" s="158">
        <v>2023</v>
      </c>
      <c r="O2" s="158">
        <v>2024</v>
      </c>
      <c r="P2" s="158">
        <v>2025</v>
      </c>
      <c r="Q2" s="158">
        <v>2026</v>
      </c>
      <c r="R2" s="158">
        <v>2027</v>
      </c>
      <c r="S2" s="158">
        <v>2028</v>
      </c>
      <c r="T2" s="158">
        <v>2029</v>
      </c>
      <c r="U2" s="158">
        <v>2030</v>
      </c>
    </row>
    <row r="3" spans="1:22" x14ac:dyDescent="0.25">
      <c r="A3" t="s">
        <v>152</v>
      </c>
      <c r="B3" s="159">
        <f>'Rekapitulasi BaU Emisi GRK'!J61</f>
        <v>24794.656551247845</v>
      </c>
      <c r="C3" s="159">
        <f>'Rekapitulasi BaU Emisi GRK'!$J62</f>
        <v>26442.807806414698</v>
      </c>
      <c r="D3" s="159">
        <f>'Rekapitulasi BaU Emisi GRK'!$J63</f>
        <v>28053.974344295872</v>
      </c>
      <c r="E3" s="159">
        <f>'Rekapitulasi BaU Emisi GRK'!$J64</f>
        <v>29651.436387079695</v>
      </c>
      <c r="F3" s="159">
        <f>'Rekapitulasi BaU Emisi GRK'!$J65</f>
        <v>31244.6018211146</v>
      </c>
      <c r="G3" s="159">
        <f>'Rekapitulasi BaU Emisi GRK'!$J66</f>
        <v>32846.782191040715</v>
      </c>
      <c r="H3" s="159">
        <f>'Rekapitulasi BaU Emisi GRK'!$J67</f>
        <v>34436.010029717283</v>
      </c>
      <c r="I3" s="159">
        <f>'Rekapitulasi BaU Emisi GRK'!$J68</f>
        <v>35167.624469706701</v>
      </c>
      <c r="J3" s="159">
        <f>'Rekapitulasi BaU Emisi GRK'!$J69</f>
        <v>36136.41653730056</v>
      </c>
      <c r="K3" s="159">
        <f>'Rekapitulasi BaU Emisi GRK'!$J70</f>
        <v>36255.420073735528</v>
      </c>
      <c r="L3" s="159">
        <f>'Rekapitulasi BaU Emisi GRK'!$J71</f>
        <v>37454.179869718704</v>
      </c>
      <c r="M3" s="159">
        <f>'Rekapitulasi BaU Emisi GRK'!$J72</f>
        <v>38739.3346045457</v>
      </c>
      <c r="N3" s="159">
        <f>'Rekapitulasi BaU Emisi GRK'!$J73</f>
        <v>40089.411985228711</v>
      </c>
      <c r="O3" s="159">
        <f>'Rekapitulasi BaU Emisi GRK'!$J74</f>
        <v>41489.835369135297</v>
      </c>
      <c r="P3" s="159">
        <f>'Rekapitulasi BaU Emisi GRK'!$J75</f>
        <v>42930.624309033992</v>
      </c>
      <c r="Q3" s="159">
        <f>'Rekapitulasi BaU Emisi GRK'!$J76</f>
        <v>44404.842036564791</v>
      </c>
      <c r="R3" s="159">
        <f>'Rekapitulasi BaU Emisi GRK'!$J77</f>
        <v>45907.543897343632</v>
      </c>
      <c r="S3" s="159">
        <f>'Rekapitulasi BaU Emisi GRK'!$J78</f>
        <v>47435.061678078746</v>
      </c>
      <c r="T3" s="159">
        <f>'Rekapitulasi BaU Emisi GRK'!$J79</f>
        <v>48984.513028718182</v>
      </c>
      <c r="U3" s="159">
        <f>'Rekapitulasi BaU Emisi GRK'!$J80</f>
        <v>50552.147714974533</v>
      </c>
    </row>
    <row r="4" spans="1:22" x14ac:dyDescent="0.25">
      <c r="A4" t="s">
        <v>153</v>
      </c>
      <c r="B4" s="159">
        <f>'Rekapitulasi BaU Emisi GRK'!$G90</f>
        <v>8874.7143502857143</v>
      </c>
      <c r="C4" s="159">
        <f>'Rekapitulasi BaU Emisi GRK'!$G91</f>
        <v>9165.6146593995436</v>
      </c>
      <c r="D4" s="159">
        <f>'Rekapitulasi BaU Emisi GRK'!$G92</f>
        <v>9532.3044866221735</v>
      </c>
      <c r="E4" s="159">
        <f>'Rekapitulasi BaU Emisi GRK'!$G93</f>
        <v>10016.931766325637</v>
      </c>
      <c r="F4" s="159">
        <f>'Rekapitulasi BaU Emisi GRK'!$G94</f>
        <v>10445.738441618287</v>
      </c>
      <c r="G4" s="159">
        <f>'Rekapitulasi BaU Emisi GRK'!$G95</f>
        <v>10885.476570850742</v>
      </c>
      <c r="H4" s="159">
        <f>'Rekapitulasi BaU Emisi GRK'!$G96</f>
        <v>10935.565471739124</v>
      </c>
      <c r="I4" s="159">
        <f>'Rekapitulasi BaU Emisi GRK'!$G97</f>
        <v>11343.357650502705</v>
      </c>
      <c r="J4" s="159">
        <f>'Rekapitulasi BaU Emisi GRK'!$G98</f>
        <v>11751.149829266285</v>
      </c>
      <c r="K4" s="159">
        <f>'Rekapitulasi BaU Emisi GRK'!$G99</f>
        <v>12158.942008029868</v>
      </c>
      <c r="L4" s="159">
        <f>'Rekapitulasi BaU Emisi GRK'!$G100</f>
        <v>12566.73418679345</v>
      </c>
      <c r="M4" s="159">
        <f>'Rekapitulasi BaU Emisi GRK'!$G101</f>
        <v>12974.526365557029</v>
      </c>
      <c r="N4" s="159">
        <f>'Rekapitulasi BaU Emisi GRK'!$G102</f>
        <v>13382.318544320609</v>
      </c>
      <c r="O4" s="159">
        <f>'Rekapitulasi BaU Emisi GRK'!$G103</f>
        <v>13790.110723084194</v>
      </c>
      <c r="P4" s="159">
        <f>'Rekapitulasi BaU Emisi GRK'!$G104</f>
        <v>14158.745454899205</v>
      </c>
      <c r="Q4" s="159">
        <f>'Rekapitulasi BaU Emisi GRK'!$G105</f>
        <v>14566.53763366278</v>
      </c>
      <c r="R4" s="159">
        <f>'Rekapitulasi BaU Emisi GRK'!$G106</f>
        <v>14974.329812426362</v>
      </c>
      <c r="S4" s="159">
        <f>'Rekapitulasi BaU Emisi GRK'!$G107</f>
        <v>15382.121991189944</v>
      </c>
      <c r="T4" s="159">
        <f>'Rekapitulasi BaU Emisi GRK'!$G108</f>
        <v>15789.914169953523</v>
      </c>
      <c r="U4" s="159">
        <f>'Rekapitulasi BaU Emisi GRK'!$G109</f>
        <v>16197.706348717109</v>
      </c>
    </row>
    <row r="5" spans="1:22" x14ac:dyDescent="0.25">
      <c r="A5" t="s">
        <v>154</v>
      </c>
      <c r="B5" s="159">
        <f>'Rekap BAU Emisi Industri Sawitt'!$D5</f>
        <v>238089.47399999999</v>
      </c>
      <c r="C5" s="159">
        <f>'Rekap BAU Emisi Industri Sawitt'!$D6</f>
        <v>314814.78000000003</v>
      </c>
      <c r="D5" s="159">
        <f>'Rekap BAU Emisi Industri Sawitt'!$D7</f>
        <v>428703.408</v>
      </c>
      <c r="E5" s="159">
        <f>'Rekap BAU Emisi Industri Sawitt'!$D8</f>
        <v>655587.95400000003</v>
      </c>
      <c r="F5" s="159">
        <f>'Rekap BAU Emisi Industri Sawitt'!$D9</f>
        <v>717510.65399999998</v>
      </c>
      <c r="G5" s="159">
        <f>'Rekap BAU Emisi Industri Sawitt'!$D10</f>
        <v>640376.60400000005</v>
      </c>
      <c r="H5" s="159">
        <f>'Rekap BAU Emisi Industri Sawitt'!$D11</f>
        <v>794522.08646999998</v>
      </c>
      <c r="I5" s="159">
        <f>'Rekap BAU Emisi Industri Sawitt'!$D12</f>
        <v>901288.97510399995</v>
      </c>
      <c r="J5" s="159">
        <f>'Rekap BAU Emisi Industri Sawitt'!$D13</f>
        <v>1011713.2423019999</v>
      </c>
      <c r="K5" s="159">
        <f>'Rekap BAU Emisi Industri Sawitt'!$D14</f>
        <v>1125794.8880639998</v>
      </c>
      <c r="L5" s="159">
        <f>'Rekap BAU Emisi Industri Sawitt'!$D15</f>
        <v>1186458.70994</v>
      </c>
      <c r="M5" s="159">
        <f>'Rekap BAU Emisi Industri Sawitt'!$D16</f>
        <v>1248601.8551999999</v>
      </c>
      <c r="N5" s="159">
        <f>'Rekap BAU Emisi Industri Sawitt'!$D17</f>
        <v>1312224.3238439998</v>
      </c>
      <c r="O5" s="159">
        <f>'Rekap BAU Emisi Industri Sawitt'!$D18</f>
        <v>1377326.1158719996</v>
      </c>
      <c r="P5" s="159">
        <f>'Rekap BAU Emisi Industri Sawitt'!$D19</f>
        <v>1443907.2312839997</v>
      </c>
      <c r="Q5" s="159">
        <f>'Rekap BAU Emisi Industri Sawitt'!$D20</f>
        <v>1511967.6700800001</v>
      </c>
      <c r="R5" s="159">
        <f>'Rekap BAU Emisi Industri Sawitt'!$D21</f>
        <v>1581507.4322599997</v>
      </c>
      <c r="S5" s="159">
        <f>'Rekap BAU Emisi Industri Sawitt'!$D22</f>
        <v>1652526.517824</v>
      </c>
      <c r="T5" s="159">
        <f>'Rekap BAU Emisi Industri Sawitt'!$D23</f>
        <v>1725024.9267719996</v>
      </c>
      <c r="U5" s="159">
        <f>'Rekap BAU Emisi Industri Sawitt'!$D24</f>
        <v>1753580.5328159998</v>
      </c>
    </row>
    <row r="6" spans="1:22" x14ac:dyDescent="0.25">
      <c r="A6" t="s">
        <v>155</v>
      </c>
      <c r="B6" s="159">
        <f>SUM(B3:B5)</f>
        <v>271758.84490153356</v>
      </c>
      <c r="C6" s="159">
        <f t="shared" ref="C6:U6" si="0">SUM(C3:C5)</f>
        <v>350423.20246581425</v>
      </c>
      <c r="D6" s="159">
        <f t="shared" si="0"/>
        <v>466289.68683091807</v>
      </c>
      <c r="E6" s="159">
        <f t="shared" si="0"/>
        <v>695256.3221534054</v>
      </c>
      <c r="F6" s="159">
        <f t="shared" si="0"/>
        <v>759200.99426273291</v>
      </c>
      <c r="G6" s="159">
        <f t="shared" si="0"/>
        <v>684108.86276189145</v>
      </c>
      <c r="H6" s="159">
        <f t="shared" si="0"/>
        <v>839893.66197145637</v>
      </c>
      <c r="I6" s="159">
        <f t="shared" si="0"/>
        <v>947799.95722420933</v>
      </c>
      <c r="J6" s="159">
        <f t="shared" si="0"/>
        <v>1059600.8086685669</v>
      </c>
      <c r="K6" s="159">
        <f t="shared" si="0"/>
        <v>1174209.2501457653</v>
      </c>
      <c r="L6" s="159">
        <f t="shared" si="0"/>
        <v>1236479.623996512</v>
      </c>
      <c r="M6" s="159">
        <f t="shared" si="0"/>
        <v>1300315.7161701026</v>
      </c>
      <c r="N6" s="159">
        <f t="shared" si="0"/>
        <v>1365696.0543735491</v>
      </c>
      <c r="O6" s="159">
        <f t="shared" si="0"/>
        <v>1432606.0619642192</v>
      </c>
      <c r="P6" s="159">
        <f t="shared" si="0"/>
        <v>1500996.6010479329</v>
      </c>
      <c r="Q6" s="159">
        <f t="shared" si="0"/>
        <v>1570939.0497502277</v>
      </c>
      <c r="R6" s="159">
        <f t="shared" si="0"/>
        <v>1642389.3059697696</v>
      </c>
      <c r="S6" s="159">
        <f t="shared" si="0"/>
        <v>1715343.7014932686</v>
      </c>
      <c r="T6" s="159">
        <f t="shared" si="0"/>
        <v>1789799.3539706713</v>
      </c>
      <c r="U6" s="159">
        <f t="shared" si="0"/>
        <v>1820330.3868796914</v>
      </c>
      <c r="V6" s="160">
        <f>U6-B6</f>
        <v>1548571.5419781578</v>
      </c>
    </row>
    <row r="7" spans="1:22" x14ac:dyDescent="0.25">
      <c r="B7" s="159"/>
      <c r="C7" s="159"/>
      <c r="V7" s="161">
        <f>V6/(U6+B6)</f>
        <v>0.74020339020610948</v>
      </c>
    </row>
    <row r="8" spans="1:22" x14ac:dyDescent="0.25">
      <c r="B8" s="162" t="s">
        <v>152</v>
      </c>
      <c r="C8" s="162" t="s">
        <v>153</v>
      </c>
      <c r="D8" s="162" t="s">
        <v>154</v>
      </c>
      <c r="E8" s="162" t="s">
        <v>155</v>
      </c>
    </row>
    <row r="9" spans="1:22" x14ac:dyDescent="0.25">
      <c r="A9" s="158">
        <v>2011</v>
      </c>
      <c r="B9" s="159">
        <f>'Rekapitulasi BaU Emisi GRK'!J61</f>
        <v>24794.656551247845</v>
      </c>
      <c r="C9" s="159">
        <f>'Rekapitulasi BaU Emisi GRK'!G90</f>
        <v>8874.7143502857143</v>
      </c>
      <c r="D9" s="159">
        <f>'Rekap BAU Emisi Industri Sawitt'!D5</f>
        <v>238089.47399999999</v>
      </c>
      <c r="E9" s="160">
        <f>SUM(B9:D9)</f>
        <v>271758.84490153356</v>
      </c>
    </row>
    <row r="10" spans="1:22" x14ac:dyDescent="0.25">
      <c r="A10" s="158">
        <v>2012</v>
      </c>
      <c r="B10" s="159">
        <f>'Rekapitulasi BaU Emisi GRK'!J62</f>
        <v>26442.807806414698</v>
      </c>
      <c r="C10" s="159">
        <f>'Rekapitulasi BaU Emisi GRK'!G91</f>
        <v>9165.6146593995436</v>
      </c>
      <c r="D10" s="159">
        <f>'Rekap BAU Emisi Industri Sawitt'!D6</f>
        <v>314814.78000000003</v>
      </c>
      <c r="E10" s="160">
        <f t="shared" ref="E10:E28" si="1">SUM(B10:D10)</f>
        <v>350423.20246581425</v>
      </c>
    </row>
    <row r="11" spans="1:22" x14ac:dyDescent="0.25">
      <c r="A11" s="158">
        <v>2013</v>
      </c>
      <c r="B11" s="159">
        <f>'Rekapitulasi BaU Emisi GRK'!J63</f>
        <v>28053.974344295872</v>
      </c>
      <c r="C11" s="159">
        <f>'Rekapitulasi BaU Emisi GRK'!G92</f>
        <v>9532.3044866221735</v>
      </c>
      <c r="D11" s="159">
        <f>'Rekap BAU Emisi Industri Sawitt'!D7</f>
        <v>428703.408</v>
      </c>
      <c r="E11" s="160">
        <f t="shared" si="1"/>
        <v>466289.68683091807</v>
      </c>
    </row>
    <row r="12" spans="1:22" x14ac:dyDescent="0.25">
      <c r="A12" s="158">
        <v>2014</v>
      </c>
      <c r="B12" s="159">
        <f>'Rekapitulasi BaU Emisi GRK'!J64</f>
        <v>29651.436387079695</v>
      </c>
      <c r="C12" s="159">
        <f>'Rekapitulasi BaU Emisi GRK'!G93</f>
        <v>10016.931766325637</v>
      </c>
      <c r="D12" s="159">
        <f>'Rekap BAU Emisi Industri Sawitt'!D8</f>
        <v>655587.95400000003</v>
      </c>
      <c r="E12" s="160">
        <f t="shared" si="1"/>
        <v>695256.3221534054</v>
      </c>
    </row>
    <row r="13" spans="1:22" x14ac:dyDescent="0.25">
      <c r="A13" s="158">
        <v>2015</v>
      </c>
      <c r="B13" s="159">
        <f>'Rekapitulasi BaU Emisi GRK'!J65</f>
        <v>31244.6018211146</v>
      </c>
      <c r="C13" s="159">
        <f>'Rekapitulasi BaU Emisi GRK'!G94</f>
        <v>10445.738441618287</v>
      </c>
      <c r="D13" s="159">
        <f>'Rekap BAU Emisi Industri Sawitt'!D9</f>
        <v>717510.65399999998</v>
      </c>
      <c r="E13" s="160">
        <f t="shared" si="1"/>
        <v>759200.99426273291</v>
      </c>
    </row>
    <row r="14" spans="1:22" x14ac:dyDescent="0.25">
      <c r="A14" s="158">
        <v>2016</v>
      </c>
      <c r="B14" s="159">
        <f>'Rekapitulasi BaU Emisi GRK'!J66</f>
        <v>32846.782191040715</v>
      </c>
      <c r="C14" s="159">
        <f>'Rekapitulasi BaU Emisi GRK'!G95</f>
        <v>10885.476570850742</v>
      </c>
      <c r="D14" s="159">
        <f>'Rekap BAU Emisi Industri Sawitt'!D10</f>
        <v>640376.60400000005</v>
      </c>
      <c r="E14" s="160">
        <f t="shared" si="1"/>
        <v>684108.86276189145</v>
      </c>
    </row>
    <row r="15" spans="1:22" x14ac:dyDescent="0.25">
      <c r="A15" s="158">
        <v>2017</v>
      </c>
      <c r="B15" s="159">
        <f>'Rekapitulasi BaU Emisi GRK'!J67</f>
        <v>34436.010029717283</v>
      </c>
      <c r="C15" s="159">
        <f>'Rekapitulasi BaU Emisi GRK'!G96</f>
        <v>10935.565471739124</v>
      </c>
      <c r="D15" s="159">
        <f>'Rekap BAU Emisi Industri Sawitt'!D11</f>
        <v>794522.08646999998</v>
      </c>
      <c r="E15" s="160">
        <f t="shared" si="1"/>
        <v>839893.66197145637</v>
      </c>
    </row>
    <row r="16" spans="1:22" x14ac:dyDescent="0.25">
      <c r="A16" s="158">
        <v>2018</v>
      </c>
      <c r="B16" s="159">
        <f>'Rekapitulasi BaU Emisi GRK'!J68</f>
        <v>35167.624469706701</v>
      </c>
      <c r="C16" s="159">
        <f>'Rekapitulasi BaU Emisi GRK'!G97</f>
        <v>11343.357650502705</v>
      </c>
      <c r="D16" s="159">
        <f>'Rekap BAU Emisi Industri Sawitt'!D12</f>
        <v>901288.97510399995</v>
      </c>
      <c r="E16" s="160">
        <f t="shared" si="1"/>
        <v>947799.95722420933</v>
      </c>
    </row>
    <row r="17" spans="1:5" x14ac:dyDescent="0.25">
      <c r="A17" s="158">
        <v>2019</v>
      </c>
      <c r="B17" s="159">
        <f>'Rekapitulasi BaU Emisi GRK'!J69</f>
        <v>36136.41653730056</v>
      </c>
      <c r="C17" s="159">
        <f>'Rekapitulasi BaU Emisi GRK'!G98</f>
        <v>11751.149829266285</v>
      </c>
      <c r="D17" s="159">
        <f>'Rekap BAU Emisi Industri Sawitt'!D13</f>
        <v>1011713.2423019999</v>
      </c>
      <c r="E17" s="160">
        <f t="shared" si="1"/>
        <v>1059600.8086685669</v>
      </c>
    </row>
    <row r="18" spans="1:5" x14ac:dyDescent="0.25">
      <c r="A18" s="158">
        <v>2020</v>
      </c>
      <c r="B18" s="159">
        <f>'Rekapitulasi BaU Emisi GRK'!J70</f>
        <v>36255.420073735528</v>
      </c>
      <c r="C18" s="159">
        <f>'Rekapitulasi BaU Emisi GRK'!G99</f>
        <v>12158.942008029868</v>
      </c>
      <c r="D18" s="159">
        <f>'Rekap BAU Emisi Industri Sawitt'!D14</f>
        <v>1125794.8880639998</v>
      </c>
      <c r="E18" s="160">
        <f t="shared" si="1"/>
        <v>1174209.2501457653</v>
      </c>
    </row>
    <row r="19" spans="1:5" x14ac:dyDescent="0.25">
      <c r="A19" s="158">
        <v>2021</v>
      </c>
      <c r="B19" s="159">
        <f>'Rekapitulasi BaU Emisi GRK'!J71</f>
        <v>37454.179869718704</v>
      </c>
      <c r="C19" s="159">
        <f>'Rekapitulasi BaU Emisi GRK'!G100</f>
        <v>12566.73418679345</v>
      </c>
      <c r="D19" s="159">
        <f>'Rekap BAU Emisi Industri Sawitt'!D15</f>
        <v>1186458.70994</v>
      </c>
      <c r="E19" s="160">
        <f t="shared" si="1"/>
        <v>1236479.623996512</v>
      </c>
    </row>
    <row r="20" spans="1:5" x14ac:dyDescent="0.25">
      <c r="A20" s="158">
        <v>2022</v>
      </c>
      <c r="B20" s="159">
        <f>'Rekapitulasi BaU Emisi GRK'!J72</f>
        <v>38739.3346045457</v>
      </c>
      <c r="C20" s="159">
        <f>'Rekapitulasi BaU Emisi GRK'!G101</f>
        <v>12974.526365557029</v>
      </c>
      <c r="D20" s="159">
        <f>'Rekap BAU Emisi Industri Sawitt'!D16</f>
        <v>1248601.8551999999</v>
      </c>
      <c r="E20" s="160">
        <f t="shared" si="1"/>
        <v>1300315.7161701026</v>
      </c>
    </row>
    <row r="21" spans="1:5" x14ac:dyDescent="0.25">
      <c r="A21" s="158">
        <v>2023</v>
      </c>
      <c r="B21" s="159">
        <f>'Rekapitulasi BaU Emisi GRK'!J73</f>
        <v>40089.411985228711</v>
      </c>
      <c r="C21" s="159">
        <f>'Rekapitulasi BaU Emisi GRK'!G102</f>
        <v>13382.318544320609</v>
      </c>
      <c r="D21" s="159">
        <f>'Rekap BAU Emisi Industri Sawitt'!D17</f>
        <v>1312224.3238439998</v>
      </c>
      <c r="E21" s="160">
        <f t="shared" si="1"/>
        <v>1365696.0543735491</v>
      </c>
    </row>
    <row r="22" spans="1:5" x14ac:dyDescent="0.25">
      <c r="A22" s="158">
        <v>2024</v>
      </c>
      <c r="B22" s="159">
        <f>'Rekapitulasi BaU Emisi GRK'!J74</f>
        <v>41489.835369135297</v>
      </c>
      <c r="C22" s="159">
        <f>'Rekapitulasi BaU Emisi GRK'!G103</f>
        <v>13790.110723084194</v>
      </c>
      <c r="D22" s="159">
        <f>'Rekap BAU Emisi Industri Sawitt'!D18</f>
        <v>1377326.1158719996</v>
      </c>
      <c r="E22" s="160">
        <f t="shared" si="1"/>
        <v>1432606.0619642192</v>
      </c>
    </row>
    <row r="23" spans="1:5" x14ac:dyDescent="0.25">
      <c r="A23" s="158">
        <v>2025</v>
      </c>
      <c r="B23" s="159">
        <f>'Rekapitulasi BaU Emisi GRK'!J75</f>
        <v>42930.624309033992</v>
      </c>
      <c r="C23" s="159">
        <f>'Rekapitulasi BaU Emisi GRK'!G104</f>
        <v>14158.745454899205</v>
      </c>
      <c r="D23" s="159">
        <f>'Rekap BAU Emisi Industri Sawitt'!D19</f>
        <v>1443907.2312839997</v>
      </c>
      <c r="E23" s="160">
        <f t="shared" si="1"/>
        <v>1500996.6010479329</v>
      </c>
    </row>
    <row r="24" spans="1:5" x14ac:dyDescent="0.25">
      <c r="A24" s="158">
        <v>2026</v>
      </c>
      <c r="B24" s="159">
        <f>'Rekapitulasi BaU Emisi GRK'!J76</f>
        <v>44404.842036564791</v>
      </c>
      <c r="C24" s="159">
        <f>'Rekapitulasi BaU Emisi GRK'!G105</f>
        <v>14566.53763366278</v>
      </c>
      <c r="D24" s="159">
        <f>'Rekap BAU Emisi Industri Sawitt'!D20</f>
        <v>1511967.6700800001</v>
      </c>
      <c r="E24" s="160">
        <f t="shared" si="1"/>
        <v>1570939.0497502277</v>
      </c>
    </row>
    <row r="25" spans="1:5" x14ac:dyDescent="0.25">
      <c r="A25" s="158">
        <v>2027</v>
      </c>
      <c r="B25" s="159">
        <f>'Rekapitulasi BaU Emisi GRK'!J77</f>
        <v>45907.543897343632</v>
      </c>
      <c r="C25" s="159">
        <f>'Rekapitulasi BaU Emisi GRK'!G106</f>
        <v>14974.329812426362</v>
      </c>
      <c r="D25" s="159">
        <f>'Rekap BAU Emisi Industri Sawitt'!D21</f>
        <v>1581507.4322599997</v>
      </c>
      <c r="E25" s="160">
        <f t="shared" si="1"/>
        <v>1642389.3059697696</v>
      </c>
    </row>
    <row r="26" spans="1:5" x14ac:dyDescent="0.25">
      <c r="A26" s="158">
        <v>2028</v>
      </c>
      <c r="B26" s="159">
        <f>'Rekapitulasi BaU Emisi GRK'!J78</f>
        <v>47435.061678078746</v>
      </c>
      <c r="C26" s="159">
        <f>'Rekapitulasi BaU Emisi GRK'!G107</f>
        <v>15382.121991189944</v>
      </c>
      <c r="D26" s="159">
        <f>'Rekap BAU Emisi Industri Sawitt'!D22</f>
        <v>1652526.517824</v>
      </c>
      <c r="E26" s="160">
        <f t="shared" si="1"/>
        <v>1715343.7014932686</v>
      </c>
    </row>
    <row r="27" spans="1:5" x14ac:dyDescent="0.25">
      <c r="A27" s="158">
        <v>2029</v>
      </c>
      <c r="B27" s="159">
        <f>'Rekapitulasi BaU Emisi GRK'!J79</f>
        <v>48984.513028718182</v>
      </c>
      <c r="C27" s="159">
        <f>'Rekapitulasi BaU Emisi GRK'!G108</f>
        <v>15789.914169953523</v>
      </c>
      <c r="D27" s="159">
        <f>'Rekap BAU Emisi Industri Sawitt'!D23</f>
        <v>1725024.9267719996</v>
      </c>
      <c r="E27" s="160">
        <f t="shared" si="1"/>
        <v>1789799.3539706713</v>
      </c>
    </row>
    <row r="28" spans="1:5" x14ac:dyDescent="0.25">
      <c r="A28" s="158">
        <v>2030</v>
      </c>
      <c r="B28" s="159">
        <f>'Rekapitulasi BaU Emisi GRK'!J80</f>
        <v>50552.147714974533</v>
      </c>
      <c r="C28" s="159">
        <f>'Rekapitulasi BaU Emisi GRK'!G109</f>
        <v>16197.706348717109</v>
      </c>
      <c r="D28" s="159">
        <f>'Rekap BAU Emisi Industri Sawitt'!D24</f>
        <v>1753580.5328159998</v>
      </c>
      <c r="E28" s="160">
        <f t="shared" si="1"/>
        <v>1820330.3868796914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opLeftCell="A7" workbookViewId="0">
      <selection activeCell="C17" sqref="C17"/>
    </sheetView>
  </sheetViews>
  <sheetFormatPr defaultRowHeight="12.75" x14ac:dyDescent="0.25"/>
  <cols>
    <col min="1" max="2" width="9.140625" style="130"/>
    <col min="3" max="3" width="14.5703125" style="130" customWidth="1"/>
    <col min="4" max="4" width="19.140625" style="130" customWidth="1"/>
    <col min="5" max="16384" width="9.140625" style="130"/>
  </cols>
  <sheetData>
    <row r="3" spans="2:4" x14ac:dyDescent="0.25">
      <c r="B3" s="203" t="s">
        <v>10</v>
      </c>
      <c r="C3" s="203" t="s">
        <v>149</v>
      </c>
      <c r="D3" s="203"/>
    </row>
    <row r="4" spans="2:4" x14ac:dyDescent="0.25">
      <c r="B4" s="203"/>
      <c r="C4" s="131" t="s">
        <v>148</v>
      </c>
      <c r="D4" s="131" t="s">
        <v>144</v>
      </c>
    </row>
    <row r="5" spans="2:4" ht="15" x14ac:dyDescent="0.25">
      <c r="B5" s="89">
        <v>2011</v>
      </c>
      <c r="C5" s="150">
        <f>'[8]4D2_CH4_Industrial_Wastewater'!$G12</f>
        <v>11337594</v>
      </c>
      <c r="D5" s="150">
        <f>(C5*21)/1000</f>
        <v>238089.47399999999</v>
      </c>
    </row>
    <row r="6" spans="2:4" ht="15" x14ac:dyDescent="0.25">
      <c r="B6" s="89">
        <v>2012</v>
      </c>
      <c r="C6" s="150">
        <f>'[8]4D2_CH4_Industrial_Wastewater'!$G13</f>
        <v>14991180</v>
      </c>
      <c r="D6" s="150">
        <f t="shared" ref="D6:D15" si="0">(C6*21)/1000</f>
        <v>314814.78000000003</v>
      </c>
    </row>
    <row r="7" spans="2:4" ht="15" x14ac:dyDescent="0.25">
      <c r="B7" s="89">
        <v>2013</v>
      </c>
      <c r="C7" s="150">
        <f>'[8]4D2_CH4_Industrial_Wastewater'!$G14</f>
        <v>20414448</v>
      </c>
      <c r="D7" s="150">
        <f t="shared" si="0"/>
        <v>428703.408</v>
      </c>
    </row>
    <row r="8" spans="2:4" ht="15" x14ac:dyDescent="0.25">
      <c r="B8" s="89">
        <v>2014</v>
      </c>
      <c r="C8" s="150">
        <f>'[8]4D2_CH4_Industrial_Wastewater'!$G15</f>
        <v>31218474</v>
      </c>
      <c r="D8" s="150">
        <f t="shared" si="0"/>
        <v>655587.95400000003</v>
      </c>
    </row>
    <row r="9" spans="2:4" ht="15" x14ac:dyDescent="0.25">
      <c r="B9" s="89">
        <v>2015</v>
      </c>
      <c r="C9" s="150">
        <f>'[8]4D2_CH4_Industrial_Wastewater'!$G16</f>
        <v>34167174</v>
      </c>
      <c r="D9" s="150">
        <f t="shared" si="0"/>
        <v>717510.65399999998</v>
      </c>
    </row>
    <row r="10" spans="2:4" ht="15" x14ac:dyDescent="0.25">
      <c r="B10" s="89">
        <v>2016</v>
      </c>
      <c r="C10" s="150">
        <f>'[8]4D2_CH4_Industrial_Wastewater'!$G17</f>
        <v>30494124</v>
      </c>
      <c r="D10" s="150">
        <f t="shared" si="0"/>
        <v>640376.60400000005</v>
      </c>
    </row>
    <row r="11" spans="2:4" ht="15" x14ac:dyDescent="0.25">
      <c r="B11" s="89">
        <v>2017</v>
      </c>
      <c r="C11" s="150">
        <f>'[8]4D2_CH4_Industrial_Wastewater'!$G18</f>
        <v>37834385.07</v>
      </c>
      <c r="D11" s="150">
        <f t="shared" si="0"/>
        <v>794522.08646999998</v>
      </c>
    </row>
    <row r="12" spans="2:4" ht="15" x14ac:dyDescent="0.25">
      <c r="B12" s="89">
        <v>2018</v>
      </c>
      <c r="C12" s="150">
        <f>'[8]4D2_CH4_Industrial_Wastewater'!$G19</f>
        <v>42918522.623999998</v>
      </c>
      <c r="D12" s="150">
        <f t="shared" si="0"/>
        <v>901288.97510399995</v>
      </c>
    </row>
    <row r="13" spans="2:4" ht="15" x14ac:dyDescent="0.25">
      <c r="B13" s="89">
        <v>2019</v>
      </c>
      <c r="C13" s="150">
        <f>'[8]4D2_CH4_Industrial_Wastewater'!$G20</f>
        <v>48176821.061999999</v>
      </c>
      <c r="D13" s="150">
        <f t="shared" si="0"/>
        <v>1011713.2423019999</v>
      </c>
    </row>
    <row r="14" spans="2:4" ht="15" x14ac:dyDescent="0.25">
      <c r="B14" s="89">
        <v>2020</v>
      </c>
      <c r="C14" s="150">
        <f>'[8]4D2_CH4_Industrial_Wastewater'!$G21</f>
        <v>53609280.383999996</v>
      </c>
      <c r="D14" s="150">
        <f t="shared" si="0"/>
        <v>1125794.8880639998</v>
      </c>
    </row>
    <row r="15" spans="2:4" ht="15" x14ac:dyDescent="0.25">
      <c r="B15" s="89">
        <v>2021</v>
      </c>
      <c r="C15" s="150">
        <f>'[9]4D2_CH4_Industrial_Wastewater'!$G$12</f>
        <v>56498033.806666672</v>
      </c>
      <c r="D15" s="150">
        <f t="shared" si="0"/>
        <v>1186458.70994</v>
      </c>
    </row>
    <row r="16" spans="2:4" ht="15" x14ac:dyDescent="0.25">
      <c r="B16" s="89">
        <v>2022</v>
      </c>
      <c r="C16" s="150">
        <f>'[9]4D2_CH4_Industrial_Wastewater'!$G$13</f>
        <v>59457231.199999988</v>
      </c>
      <c r="D16" s="150">
        <f t="shared" ref="D16:D25" si="1">(C16*21)/1000</f>
        <v>1248601.8551999999</v>
      </c>
    </row>
    <row r="17" spans="2:4" ht="15" x14ac:dyDescent="0.25">
      <c r="B17" s="89">
        <v>2023</v>
      </c>
      <c r="C17" s="150">
        <f>'[9]4D2_CH4_Industrial_Wastewater'!$G$14</f>
        <v>62486872.563999988</v>
      </c>
      <c r="D17" s="150">
        <f t="shared" si="1"/>
        <v>1312224.3238439998</v>
      </c>
    </row>
    <row r="18" spans="2:4" ht="15" x14ac:dyDescent="0.25">
      <c r="B18" s="89">
        <v>2024</v>
      </c>
      <c r="C18" s="150">
        <f>'[9]4D2_CH4_Industrial_Wastewater'!$G$15</f>
        <v>65586957.898666658</v>
      </c>
      <c r="D18" s="150">
        <f t="shared" si="1"/>
        <v>1377326.1158719996</v>
      </c>
    </row>
    <row r="19" spans="2:4" ht="15" x14ac:dyDescent="0.25">
      <c r="B19" s="89">
        <v>2025</v>
      </c>
      <c r="C19" s="150">
        <f>'[9]4D2_CH4_Industrial_Wastewater'!$G$16</f>
        <v>68757487.203999981</v>
      </c>
      <c r="D19" s="150">
        <f t="shared" si="1"/>
        <v>1443907.2312839997</v>
      </c>
    </row>
    <row r="20" spans="2:4" ht="15" x14ac:dyDescent="0.25">
      <c r="B20" s="89">
        <v>2026</v>
      </c>
      <c r="C20" s="150">
        <f>'[9]4D2_CH4_Industrial_Wastewater'!$G$17</f>
        <v>71998460.480000004</v>
      </c>
      <c r="D20" s="150">
        <f t="shared" si="1"/>
        <v>1511967.6700800001</v>
      </c>
    </row>
    <row r="21" spans="2:4" ht="15" x14ac:dyDescent="0.25">
      <c r="B21" s="89">
        <v>2027</v>
      </c>
      <c r="C21" s="150">
        <f>'[9]4D2_CH4_Industrial_Wastewater'!$G$18</f>
        <v>75309877.726666659</v>
      </c>
      <c r="D21" s="150">
        <f t="shared" si="1"/>
        <v>1581507.4322599997</v>
      </c>
    </row>
    <row r="22" spans="2:4" ht="15" x14ac:dyDescent="0.25">
      <c r="B22" s="89">
        <v>2028</v>
      </c>
      <c r="C22" s="150">
        <f>'[9]4D2_CH4_Industrial_Wastewater'!$G$19</f>
        <v>78691738.943999991</v>
      </c>
      <c r="D22" s="150">
        <f t="shared" si="1"/>
        <v>1652526.517824</v>
      </c>
    </row>
    <row r="23" spans="2:4" ht="15" x14ac:dyDescent="0.25">
      <c r="B23" s="89">
        <v>2029</v>
      </c>
      <c r="C23" s="150">
        <f>'[9]4D2_CH4_Industrial_Wastewater'!$G$20</f>
        <v>82144044.131999984</v>
      </c>
      <c r="D23" s="150">
        <f t="shared" si="1"/>
        <v>1725024.9267719996</v>
      </c>
    </row>
    <row r="24" spans="2:4" ht="15" x14ac:dyDescent="0.25">
      <c r="B24" s="89">
        <v>2030</v>
      </c>
      <c r="C24" s="150">
        <f>'[9]4D2_CH4_Industrial_Wastewater'!$G$21</f>
        <v>83503834.895999983</v>
      </c>
      <c r="D24" s="150">
        <f t="shared" si="1"/>
        <v>1753580.5328159998</v>
      </c>
    </row>
    <row r="25" spans="2:4" ht="15" x14ac:dyDescent="0.25">
      <c r="B25" s="89">
        <v>2031</v>
      </c>
      <c r="C25" s="132"/>
      <c r="D25" s="132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34" t="s">
        <v>53</v>
      </c>
      <c r="E5" s="234"/>
      <c r="F5" s="235" t="s">
        <v>63</v>
      </c>
      <c r="G5" s="235"/>
      <c r="H5" s="235"/>
      <c r="I5" s="235"/>
    </row>
    <row r="6" spans="1:9" s="20" customFormat="1" ht="16.5" customHeight="1" x14ac:dyDescent="0.25">
      <c r="A6" s="231" t="s">
        <v>47</v>
      </c>
      <c r="B6" s="231" t="s">
        <v>49</v>
      </c>
      <c r="C6" s="232"/>
      <c r="D6" s="220" t="s">
        <v>69</v>
      </c>
      <c r="E6" s="220"/>
      <c r="F6" s="221" t="s">
        <v>55</v>
      </c>
      <c r="G6" s="221"/>
      <c r="H6" s="221"/>
      <c r="I6" s="221"/>
    </row>
    <row r="7" spans="1:9" s="20" customFormat="1" ht="29.25" customHeight="1" x14ac:dyDescent="0.25">
      <c r="A7" s="231"/>
      <c r="B7" s="231"/>
      <c r="C7" s="232"/>
      <c r="D7" s="220"/>
      <c r="E7" s="220"/>
      <c r="F7" s="221" t="s">
        <v>56</v>
      </c>
      <c r="G7" s="221"/>
      <c r="H7" s="221"/>
      <c r="I7" s="221"/>
    </row>
    <row r="8" spans="1:9" s="20" customFormat="1" ht="51" customHeight="1" x14ac:dyDescent="0.25">
      <c r="A8" s="231"/>
      <c r="B8" s="29" t="s">
        <v>58</v>
      </c>
      <c r="C8" s="22"/>
      <c r="D8" s="220" t="s">
        <v>57</v>
      </c>
      <c r="E8" s="220"/>
      <c r="F8" s="221" t="s">
        <v>60</v>
      </c>
      <c r="G8" s="221"/>
      <c r="H8" s="221"/>
      <c r="I8" s="221"/>
    </row>
    <row r="9" spans="1:9" s="20" customFormat="1" ht="31.5" customHeight="1" x14ac:dyDescent="0.25">
      <c r="A9" s="231"/>
      <c r="B9" s="219" t="s">
        <v>50</v>
      </c>
      <c r="C9" s="22"/>
      <c r="D9" s="220" t="s">
        <v>59</v>
      </c>
      <c r="E9" s="220"/>
      <c r="F9" s="228" t="s">
        <v>65</v>
      </c>
      <c r="G9" s="229"/>
      <c r="H9" s="229"/>
      <c r="I9" s="230"/>
    </row>
    <row r="10" spans="1:9" s="20" customFormat="1" ht="20.25" customHeight="1" x14ac:dyDescent="0.25">
      <c r="A10" s="231"/>
      <c r="B10" s="219"/>
      <c r="C10" s="22"/>
      <c r="D10" s="220"/>
      <c r="E10" s="220"/>
      <c r="F10" s="221" t="s">
        <v>61</v>
      </c>
      <c r="G10" s="221"/>
      <c r="H10" s="221"/>
      <c r="I10" s="221"/>
    </row>
    <row r="11" spans="1:9" s="20" customFormat="1" ht="17.25" customHeight="1" x14ac:dyDescent="0.25">
      <c r="A11" s="231"/>
      <c r="B11" s="219"/>
      <c r="C11" s="22"/>
      <c r="D11" s="220"/>
      <c r="E11" s="220"/>
      <c r="F11" s="221" t="s">
        <v>62</v>
      </c>
      <c r="G11" s="221"/>
      <c r="H11" s="221"/>
      <c r="I11" s="221"/>
    </row>
    <row r="12" spans="1:9" s="20" customFormat="1" ht="60" customHeight="1" x14ac:dyDescent="0.25">
      <c r="A12" s="231" t="s">
        <v>48</v>
      </c>
      <c r="B12" s="27" t="s">
        <v>51</v>
      </c>
      <c r="C12" s="23"/>
      <c r="D12" s="24"/>
      <c r="E12" s="22"/>
      <c r="F12" s="222" t="s">
        <v>66</v>
      </c>
      <c r="G12" s="223"/>
      <c r="H12" s="223"/>
      <c r="I12" s="224"/>
    </row>
    <row r="13" spans="1:9" s="20" customFormat="1" ht="30" x14ac:dyDescent="0.25">
      <c r="A13" s="231"/>
      <c r="B13" s="28" t="s">
        <v>52</v>
      </c>
      <c r="C13" s="23"/>
      <c r="D13" s="24"/>
      <c r="E13" s="22"/>
      <c r="F13" s="225"/>
      <c r="G13" s="226"/>
      <c r="H13" s="226"/>
      <c r="I13" s="227"/>
    </row>
    <row r="18" spans="1:22" ht="21" x14ac:dyDescent="0.35">
      <c r="A18" s="233" t="s">
        <v>73</v>
      </c>
      <c r="B18" s="233"/>
      <c r="C18" s="233"/>
      <c r="D18" s="233"/>
      <c r="E18" s="233"/>
      <c r="F18" s="233"/>
      <c r="G18" s="233"/>
      <c r="H18" s="233"/>
      <c r="I18" s="233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04" t="s">
        <v>8</v>
      </c>
      <c r="B21" s="217" t="s">
        <v>39</v>
      </c>
      <c r="C21" s="217"/>
      <c r="D21" s="217"/>
      <c r="E21" s="217"/>
      <c r="F21" s="217"/>
      <c r="G21" s="217"/>
      <c r="H21" s="217"/>
      <c r="I21" s="218"/>
      <c r="K21" t="s">
        <v>21</v>
      </c>
      <c r="L21" t="s">
        <v>24</v>
      </c>
    </row>
    <row r="22" spans="1:22" ht="38.25" x14ac:dyDescent="0.25">
      <c r="A22" s="20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8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10" t="s">
        <v>70</v>
      </c>
      <c r="C24" s="35">
        <v>0</v>
      </c>
      <c r="D24" s="210" t="s">
        <v>72</v>
      </c>
      <c r="E24" s="210" t="s">
        <v>78</v>
      </c>
      <c r="F24" s="210"/>
      <c r="G24" s="210"/>
      <c r="H24" s="210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10"/>
      <c r="C25" s="35">
        <v>0</v>
      </c>
      <c r="D25" s="210"/>
      <c r="E25" s="210"/>
      <c r="F25" s="210"/>
      <c r="G25" s="210"/>
      <c r="H25" s="210"/>
      <c r="I25" s="34"/>
      <c r="K25" t="s">
        <v>26</v>
      </c>
      <c r="L25" s="208">
        <v>1000</v>
      </c>
      <c r="M25" s="208"/>
      <c r="N25" s="208"/>
      <c r="O25" s="8" t="s">
        <v>27</v>
      </c>
      <c r="R25" s="209">
        <f>L25*1000/365</f>
        <v>2739.7260273972602</v>
      </c>
      <c r="S25" s="209"/>
      <c r="T25" s="209"/>
      <c r="U25" s="11" t="s">
        <v>44</v>
      </c>
    </row>
    <row r="26" spans="1:22" x14ac:dyDescent="0.25">
      <c r="A26" s="2">
        <v>2013</v>
      </c>
      <c r="B26" s="210"/>
      <c r="C26" s="35">
        <v>0</v>
      </c>
      <c r="D26" s="210"/>
      <c r="E26" s="210"/>
      <c r="F26" s="210"/>
      <c r="G26" s="210"/>
      <c r="H26" s="210"/>
      <c r="I26" s="34"/>
      <c r="K26" t="s">
        <v>28</v>
      </c>
      <c r="L26" s="208">
        <v>3000</v>
      </c>
      <c r="M26" s="208"/>
      <c r="N26" s="208"/>
      <c r="O26" s="8" t="s">
        <v>27</v>
      </c>
    </row>
    <row r="27" spans="1:22" x14ac:dyDescent="0.25">
      <c r="A27" s="2">
        <v>2014</v>
      </c>
      <c r="B27" s="210"/>
      <c r="C27" s="35">
        <v>0</v>
      </c>
      <c r="D27" s="210"/>
      <c r="E27" s="210"/>
      <c r="F27" s="210"/>
      <c r="G27" s="210"/>
      <c r="H27" s="210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10"/>
      <c r="C28" s="35">
        <v>0</v>
      </c>
      <c r="D28" s="210"/>
      <c r="E28" s="210"/>
      <c r="F28" s="210"/>
      <c r="G28" s="210"/>
      <c r="H28" s="210"/>
      <c r="I28" s="34"/>
    </row>
    <row r="29" spans="1:22" x14ac:dyDescent="0.25">
      <c r="A29" s="2">
        <v>2016</v>
      </c>
      <c r="B29" s="210"/>
      <c r="C29" s="35">
        <v>0</v>
      </c>
      <c r="D29" s="210"/>
      <c r="E29" s="210"/>
      <c r="F29" s="210"/>
      <c r="G29" s="210"/>
      <c r="H29" s="210"/>
      <c r="I29" s="34"/>
    </row>
    <row r="30" spans="1:22" x14ac:dyDescent="0.25">
      <c r="A30" s="2">
        <v>2017</v>
      </c>
      <c r="B30" s="210"/>
      <c r="C30" s="35">
        <v>0</v>
      </c>
      <c r="D30" s="210"/>
      <c r="E30" s="210"/>
      <c r="F30" s="210"/>
      <c r="G30" s="210"/>
      <c r="H30" s="210"/>
      <c r="I30" s="34"/>
    </row>
    <row r="31" spans="1:22" ht="25.5" x14ac:dyDescent="0.25">
      <c r="A31" s="2">
        <v>2018</v>
      </c>
      <c r="B31" s="210"/>
      <c r="C31" s="35">
        <v>0</v>
      </c>
      <c r="D31" s="210"/>
      <c r="E31" s="210"/>
      <c r="F31" s="210"/>
      <c r="G31" s="210"/>
      <c r="H31" s="210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10"/>
      <c r="C32" s="35">
        <v>0</v>
      </c>
      <c r="D32" s="210"/>
      <c r="E32" s="210"/>
      <c r="F32" s="210"/>
      <c r="G32" s="210"/>
      <c r="H32" s="210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10"/>
      <c r="C33" s="35">
        <v>0</v>
      </c>
      <c r="D33" s="210"/>
      <c r="E33" s="210"/>
      <c r="F33" s="210"/>
      <c r="G33" s="210"/>
      <c r="H33" s="210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04" t="s">
        <v>8</v>
      </c>
      <c r="B37" s="211" t="s">
        <v>77</v>
      </c>
      <c r="C37" s="212"/>
      <c r="D37" s="212"/>
      <c r="E37" s="212"/>
      <c r="F37" s="212"/>
      <c r="G37" s="212"/>
      <c r="H37" s="213"/>
      <c r="I37" s="206" t="s">
        <v>39</v>
      </c>
    </row>
    <row r="38" spans="1:20" ht="38.25" x14ac:dyDescent="0.25">
      <c r="A38" s="20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7"/>
    </row>
    <row r="39" spans="1:20" x14ac:dyDescent="0.25">
      <c r="A39" s="2">
        <v>2010</v>
      </c>
      <c r="B39" s="214" t="s">
        <v>74</v>
      </c>
      <c r="C39" s="214" t="s">
        <v>75</v>
      </c>
      <c r="D39" s="214" t="s">
        <v>74</v>
      </c>
      <c r="E39" s="214" t="s">
        <v>75</v>
      </c>
      <c r="F39" s="214" t="s">
        <v>75</v>
      </c>
      <c r="G39" s="214" t="s">
        <v>75</v>
      </c>
      <c r="H39" s="214" t="s">
        <v>75</v>
      </c>
      <c r="I39" s="14">
        <f>'timbulan sampah'!E5</f>
        <v>53.875</v>
      </c>
    </row>
    <row r="40" spans="1:20" x14ac:dyDescent="0.25">
      <c r="A40" s="2">
        <v>2011</v>
      </c>
      <c r="B40" s="215"/>
      <c r="C40" s="215"/>
      <c r="D40" s="215"/>
      <c r="E40" s="215"/>
      <c r="F40" s="215"/>
      <c r="G40" s="215"/>
      <c r="H40" s="215"/>
      <c r="I40" s="14">
        <f>'timbulan sampah'!E6</f>
        <v>56.318800000000003</v>
      </c>
      <c r="K40" t="s">
        <v>19</v>
      </c>
      <c r="O40" s="8" t="s">
        <v>20</v>
      </c>
    </row>
    <row r="41" spans="1:20" x14ac:dyDescent="0.25">
      <c r="A41" s="2">
        <v>2012</v>
      </c>
      <c r="B41" s="215"/>
      <c r="C41" s="215"/>
      <c r="D41" s="215"/>
      <c r="E41" s="215"/>
      <c r="F41" s="215"/>
      <c r="G41" s="215"/>
      <c r="H41" s="215"/>
      <c r="I41" s="14">
        <f>'timbulan sampah'!E7</f>
        <v>58.843200000000003</v>
      </c>
      <c r="K41" t="s">
        <v>22</v>
      </c>
      <c r="O41" s="8" t="s">
        <v>23</v>
      </c>
    </row>
    <row r="42" spans="1:20" x14ac:dyDescent="0.25">
      <c r="A42" s="2">
        <v>2013</v>
      </c>
      <c r="B42" s="215"/>
      <c r="C42" s="215"/>
      <c r="D42" s="215"/>
      <c r="E42" s="215"/>
      <c r="F42" s="215"/>
      <c r="G42" s="215"/>
      <c r="H42" s="215"/>
      <c r="I42" s="14">
        <f>'timbulan sampah'!E8</f>
        <v>61.394800000000004</v>
      </c>
    </row>
    <row r="43" spans="1:20" x14ac:dyDescent="0.25">
      <c r="A43" s="2">
        <v>2014</v>
      </c>
      <c r="B43" s="215"/>
      <c r="C43" s="215"/>
      <c r="D43" s="215"/>
      <c r="E43" s="215"/>
      <c r="F43" s="215"/>
      <c r="G43" s="215"/>
      <c r="H43" s="215"/>
      <c r="I43" s="14">
        <f>'timbulan sampah'!E9</f>
        <v>64.022999999999996</v>
      </c>
    </row>
    <row r="44" spans="1:20" x14ac:dyDescent="0.25">
      <c r="A44" s="2">
        <v>2015</v>
      </c>
      <c r="B44" s="215"/>
      <c r="C44" s="215"/>
      <c r="D44" s="215"/>
      <c r="E44" s="215"/>
      <c r="F44" s="215"/>
      <c r="G44" s="215"/>
      <c r="H44" s="215"/>
      <c r="I44" s="14">
        <f>'timbulan sampah'!E10</f>
        <v>66.718199999999996</v>
      </c>
    </row>
    <row r="45" spans="1:20" x14ac:dyDescent="0.25">
      <c r="A45" s="2">
        <v>2016</v>
      </c>
      <c r="B45" s="215"/>
      <c r="C45" s="215"/>
      <c r="D45" s="215"/>
      <c r="E45" s="215"/>
      <c r="F45" s="215"/>
      <c r="G45" s="215"/>
      <c r="H45" s="215"/>
      <c r="I45" s="14">
        <f>'timbulan sampah'!E11</f>
        <v>67.025199999999998</v>
      </c>
    </row>
    <row r="46" spans="1:20" x14ac:dyDescent="0.25">
      <c r="A46" s="2">
        <v>2017</v>
      </c>
      <c r="B46" s="215"/>
      <c r="C46" s="215"/>
      <c r="D46" s="215"/>
      <c r="E46" s="215"/>
      <c r="F46" s="215"/>
      <c r="G46" s="215"/>
      <c r="H46" s="215"/>
      <c r="I46" s="14">
        <f>'timbulan sampah'!E12</f>
        <v>69.524600000000007</v>
      </c>
    </row>
    <row r="47" spans="1:20" x14ac:dyDescent="0.25">
      <c r="A47" s="2">
        <v>2018</v>
      </c>
      <c r="B47" s="215"/>
      <c r="C47" s="215"/>
      <c r="D47" s="215"/>
      <c r="E47" s="215"/>
      <c r="F47" s="215"/>
      <c r="G47" s="215"/>
      <c r="H47" s="215"/>
      <c r="I47" s="14">
        <f>'timbulan sampah'!E13</f>
        <v>72.024000000000001</v>
      </c>
    </row>
    <row r="48" spans="1:20" x14ac:dyDescent="0.25">
      <c r="A48" s="2">
        <v>2019</v>
      </c>
      <c r="B48" s="215"/>
      <c r="C48" s="215"/>
      <c r="D48" s="215"/>
      <c r="E48" s="215"/>
      <c r="F48" s="215"/>
      <c r="G48" s="215"/>
      <c r="H48" s="215"/>
      <c r="I48" s="14">
        <f>'timbulan sampah'!E14</f>
        <v>74.523400000000009</v>
      </c>
    </row>
    <row r="49" spans="1:21" x14ac:dyDescent="0.25">
      <c r="A49" s="2">
        <v>2020</v>
      </c>
      <c r="B49" s="216"/>
      <c r="C49" s="216"/>
      <c r="D49" s="216"/>
      <c r="E49" s="216"/>
      <c r="F49" s="216"/>
      <c r="G49" s="216"/>
      <c r="H49" s="216"/>
      <c r="I49" s="14">
        <f>'timbulan sampah'!E15</f>
        <v>77.022800000000004</v>
      </c>
    </row>
    <row r="52" spans="1:21" x14ac:dyDescent="0.25">
      <c r="A52" s="204" t="s">
        <v>8</v>
      </c>
      <c r="B52" s="205" t="s">
        <v>0</v>
      </c>
      <c r="C52" s="205"/>
      <c r="D52" s="205"/>
      <c r="E52" s="205"/>
      <c r="F52" s="205"/>
      <c r="G52" s="205"/>
      <c r="H52" s="205"/>
      <c r="I52" s="206" t="s">
        <v>9</v>
      </c>
    </row>
    <row r="53" spans="1:21" ht="42.75" customHeight="1" x14ac:dyDescent="0.25">
      <c r="A53" s="20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7"/>
    </row>
    <row r="54" spans="1:21" ht="17.25" customHeight="1" x14ac:dyDescent="0.25">
      <c r="A54" s="2">
        <v>2010</v>
      </c>
      <c r="B54" s="236" t="s">
        <v>76</v>
      </c>
      <c r="C54" s="236" t="s">
        <v>76</v>
      </c>
      <c r="D54" s="236" t="s">
        <v>76</v>
      </c>
      <c r="E54" s="236" t="s">
        <v>76</v>
      </c>
      <c r="F54" s="236" t="s">
        <v>76</v>
      </c>
      <c r="G54" s="236" t="s">
        <v>76</v>
      </c>
      <c r="H54" s="236" t="s">
        <v>76</v>
      </c>
      <c r="I54" s="3">
        <v>1</v>
      </c>
    </row>
    <row r="55" spans="1:21" x14ac:dyDescent="0.25">
      <c r="A55" s="2">
        <v>2011</v>
      </c>
      <c r="B55" s="237"/>
      <c r="C55" s="237"/>
      <c r="D55" s="237"/>
      <c r="E55" s="237"/>
      <c r="F55" s="237"/>
      <c r="G55" s="237"/>
      <c r="H55" s="237"/>
      <c r="I55" s="3">
        <v>1</v>
      </c>
    </row>
    <row r="56" spans="1:21" x14ac:dyDescent="0.25">
      <c r="A56" s="2">
        <v>2012</v>
      </c>
      <c r="B56" s="237"/>
      <c r="C56" s="237"/>
      <c r="D56" s="237"/>
      <c r="E56" s="237"/>
      <c r="F56" s="237"/>
      <c r="G56" s="237"/>
      <c r="H56" s="237"/>
      <c r="I56" s="3">
        <v>1</v>
      </c>
    </row>
    <row r="57" spans="1:21" x14ac:dyDescent="0.25">
      <c r="A57" s="2">
        <v>2013</v>
      </c>
      <c r="B57" s="237"/>
      <c r="C57" s="237"/>
      <c r="D57" s="237"/>
      <c r="E57" s="237"/>
      <c r="F57" s="237"/>
      <c r="G57" s="237"/>
      <c r="H57" s="237"/>
      <c r="I57" s="3">
        <v>1</v>
      </c>
    </row>
    <row r="58" spans="1:21" x14ac:dyDescent="0.25">
      <c r="A58" s="2">
        <v>2014</v>
      </c>
      <c r="B58" s="237"/>
      <c r="C58" s="237"/>
      <c r="D58" s="237"/>
      <c r="E58" s="237"/>
      <c r="F58" s="237"/>
      <c r="G58" s="237"/>
      <c r="H58" s="237"/>
      <c r="I58" s="3">
        <v>1</v>
      </c>
    </row>
    <row r="59" spans="1:21" x14ac:dyDescent="0.25">
      <c r="A59" s="2">
        <v>2015</v>
      </c>
      <c r="B59" s="237"/>
      <c r="C59" s="237"/>
      <c r="D59" s="237"/>
      <c r="E59" s="237"/>
      <c r="F59" s="237"/>
      <c r="G59" s="237"/>
      <c r="H59" s="237"/>
      <c r="I59" s="3">
        <v>1</v>
      </c>
    </row>
    <row r="60" spans="1:21" x14ac:dyDescent="0.25">
      <c r="A60" s="2">
        <v>2016</v>
      </c>
      <c r="B60" s="237"/>
      <c r="C60" s="237"/>
      <c r="D60" s="237"/>
      <c r="E60" s="237"/>
      <c r="F60" s="237"/>
      <c r="G60" s="237"/>
      <c r="H60" s="237"/>
      <c r="I60" s="3">
        <v>1</v>
      </c>
    </row>
    <row r="61" spans="1:21" x14ac:dyDescent="0.25">
      <c r="A61" s="2">
        <v>2017</v>
      </c>
      <c r="B61" s="237"/>
      <c r="C61" s="237"/>
      <c r="D61" s="237"/>
      <c r="E61" s="237"/>
      <c r="F61" s="237"/>
      <c r="G61" s="237"/>
      <c r="H61" s="237"/>
      <c r="I61" s="3">
        <v>1</v>
      </c>
    </row>
    <row r="62" spans="1:21" x14ac:dyDescent="0.25">
      <c r="A62" s="2">
        <v>2018</v>
      </c>
      <c r="B62" s="237"/>
      <c r="C62" s="237"/>
      <c r="D62" s="237"/>
      <c r="E62" s="237"/>
      <c r="F62" s="237"/>
      <c r="G62" s="237"/>
      <c r="H62" s="237"/>
      <c r="I62" s="3">
        <v>1</v>
      </c>
    </row>
    <row r="63" spans="1:21" x14ac:dyDescent="0.25">
      <c r="A63" s="2">
        <v>2019</v>
      </c>
      <c r="B63" s="237"/>
      <c r="C63" s="237"/>
      <c r="D63" s="237"/>
      <c r="E63" s="237"/>
      <c r="F63" s="237"/>
      <c r="G63" s="237"/>
      <c r="H63" s="237"/>
      <c r="I63" s="3">
        <v>1</v>
      </c>
      <c r="U63" s="4"/>
    </row>
    <row r="64" spans="1:21" x14ac:dyDescent="0.25">
      <c r="A64" s="2">
        <v>2020</v>
      </c>
      <c r="B64" s="238"/>
      <c r="C64" s="238"/>
      <c r="D64" s="238"/>
      <c r="E64" s="238"/>
      <c r="F64" s="238"/>
      <c r="G64" s="238"/>
      <c r="H64" s="238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39" t="s">
        <v>10</v>
      </c>
      <c r="B6" s="240" t="s">
        <v>109</v>
      </c>
      <c r="C6" s="240"/>
      <c r="D6" s="240"/>
      <c r="E6" s="71" t="s">
        <v>113</v>
      </c>
      <c r="F6" s="239" t="s">
        <v>10</v>
      </c>
      <c r="G6" s="240" t="s">
        <v>110</v>
      </c>
      <c r="H6" s="240"/>
      <c r="I6" s="240"/>
      <c r="J6" s="72" t="s">
        <v>114</v>
      </c>
      <c r="K6" s="239" t="s">
        <v>10</v>
      </c>
      <c r="L6" s="240" t="s">
        <v>111</v>
      </c>
      <c r="M6" s="240"/>
      <c r="N6" s="240"/>
      <c r="O6" s="72" t="s">
        <v>114</v>
      </c>
      <c r="P6" s="239" t="s">
        <v>10</v>
      </c>
      <c r="Q6" s="240" t="s">
        <v>112</v>
      </c>
      <c r="R6" s="240"/>
      <c r="S6" s="240"/>
    </row>
    <row r="7" spans="1:19" x14ac:dyDescent="0.25">
      <c r="A7" s="239"/>
      <c r="B7" s="239" t="s">
        <v>81</v>
      </c>
      <c r="C7" s="239"/>
      <c r="D7" s="240" t="s">
        <v>83</v>
      </c>
      <c r="E7" s="69"/>
      <c r="F7" s="239"/>
      <c r="G7" s="239" t="s">
        <v>81</v>
      </c>
      <c r="H7" s="239"/>
      <c r="I7" s="240" t="s">
        <v>83</v>
      </c>
      <c r="K7" s="239"/>
      <c r="L7" s="239" t="s">
        <v>81</v>
      </c>
      <c r="M7" s="239"/>
      <c r="N7" s="240" t="s">
        <v>83</v>
      </c>
      <c r="P7" s="239"/>
      <c r="Q7" s="239" t="s">
        <v>81</v>
      </c>
      <c r="R7" s="239"/>
      <c r="S7" s="240" t="s">
        <v>83</v>
      </c>
    </row>
    <row r="8" spans="1:19" x14ac:dyDescent="0.25">
      <c r="A8" s="239"/>
      <c r="B8" s="74" t="s">
        <v>84</v>
      </c>
      <c r="C8" s="74" t="s">
        <v>85</v>
      </c>
      <c r="D8" s="240"/>
      <c r="E8" s="6"/>
      <c r="F8" s="239"/>
      <c r="G8" s="74" t="s">
        <v>84</v>
      </c>
      <c r="H8" s="74" t="s">
        <v>85</v>
      </c>
      <c r="I8" s="240"/>
      <c r="K8" s="239"/>
      <c r="L8" s="74" t="s">
        <v>84</v>
      </c>
      <c r="M8" s="74" t="s">
        <v>85</v>
      </c>
      <c r="N8" s="240"/>
      <c r="P8" s="239"/>
      <c r="Q8" s="74" t="s">
        <v>84</v>
      </c>
      <c r="R8" s="74" t="s">
        <v>85</v>
      </c>
      <c r="S8" s="240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47" t="s">
        <v>10</v>
      </c>
      <c r="B23" s="249" t="s">
        <v>80</v>
      </c>
      <c r="C23" s="250"/>
      <c r="D23" s="250"/>
      <c r="E23" s="250"/>
      <c r="F23" s="251"/>
      <c r="K23" t="s">
        <v>120</v>
      </c>
      <c r="L23">
        <v>280</v>
      </c>
      <c r="M23" t="s">
        <v>122</v>
      </c>
    </row>
    <row r="24" spans="1:19" ht="15.75" thickBot="1" x14ac:dyDescent="0.3">
      <c r="A24" s="248"/>
      <c r="B24" s="249" t="s">
        <v>81</v>
      </c>
      <c r="C24" s="251"/>
      <c r="D24" s="249" t="s">
        <v>82</v>
      </c>
      <c r="E24" s="251"/>
      <c r="F24" s="252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48"/>
      <c r="B25" s="36" t="s">
        <v>84</v>
      </c>
      <c r="C25" s="36" t="s">
        <v>85</v>
      </c>
      <c r="D25" s="36" t="s">
        <v>86</v>
      </c>
      <c r="E25" s="36" t="s">
        <v>85</v>
      </c>
      <c r="F25" s="253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54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55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55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0.62354518249286106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0.6514945965195269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0.67974516094293047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0.70884381802773588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0.73868427939862358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0.74208329306768839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0.76975591445029334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0.79742853583289819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0.82510115721550337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0.85277377859810821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0.88044639998071317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41" t="s">
        <v>10</v>
      </c>
      <c r="B58" s="243" t="s">
        <v>92</v>
      </c>
      <c r="C58" s="244"/>
      <c r="D58" s="53" t="s">
        <v>93</v>
      </c>
      <c r="E58" s="54"/>
      <c r="F58" s="55" t="s">
        <v>94</v>
      </c>
    </row>
    <row r="59" spans="1:6" ht="63.75" thickBot="1" x14ac:dyDescent="0.3">
      <c r="A59" s="242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42"/>
      <c r="B60" s="245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42"/>
      <c r="B61" s="246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Rekapitulasi BaU Emisi GRK</vt:lpstr>
      <vt:lpstr>Rekap BAU_Gabung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2017-10-03T09:05:33Z</dcterms:modified>
</cp:coreProperties>
</file>