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Mahulu\"/>
    </mc:Choice>
  </mc:AlternateContent>
  <bookViews>
    <workbookView xWindow="360" yWindow="45" windowWidth="21015" windowHeight="9975" tabRatio="870" activeTab="3"/>
  </bookViews>
  <sheets>
    <sheet name="timbulan sampah" sheetId="4" r:id="rId1"/>
    <sheet name="Fraksi pengelolaan sampah BaU" sheetId="1" r:id="rId2"/>
    <sheet name="Rekapitulasi BaU Emisi GRK" sheetId="3" r:id="rId3"/>
    <sheet name="Rekap BAU Emisi Industri Sawitt" sheetId="6" r:id="rId4"/>
    <sheet name="Rekap BAU_Gabung" sheetId="7" r:id="rId5"/>
    <sheet name="Frksi pengelolaan smph Mitigasi" sheetId="2" state="hidden" r:id="rId6"/>
    <sheet name="Rekaptlasi Mitigasi Emisi GRK" sheetId="5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52511"/>
</workbook>
</file>

<file path=xl/calcChain.xml><?xml version="1.0" encoding="utf-8"?>
<calcChain xmlns="http://schemas.openxmlformats.org/spreadsheetml/2006/main">
  <c r="F13" i="1" l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I81" i="3"/>
  <c r="E13" i="1" l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E12" i="1"/>
  <c r="D12" i="1"/>
  <c r="B12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10" i="1"/>
  <c r="C9" i="1"/>
  <c r="C8" i="1"/>
  <c r="C7" i="1"/>
  <c r="C6" i="1"/>
  <c r="H26" i="1" l="1"/>
  <c r="G26" i="1"/>
  <c r="F26" i="1"/>
  <c r="E26" i="1"/>
  <c r="D26" i="1"/>
  <c r="C26" i="1"/>
  <c r="B26" i="1"/>
  <c r="C24" i="6" l="1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53" i="5"/>
  <c r="F52" i="5"/>
  <c r="F51" i="5"/>
  <c r="F50" i="5"/>
  <c r="F49" i="5"/>
  <c r="F48" i="5"/>
  <c r="F47" i="5"/>
  <c r="F46" i="5"/>
  <c r="F45" i="5"/>
  <c r="F44" i="5"/>
  <c r="F43" i="5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5" i="4"/>
  <c r="D16" i="6" l="1"/>
  <c r="D17" i="6"/>
  <c r="D18" i="6"/>
  <c r="D19" i="6"/>
  <c r="D20" i="6"/>
  <c r="D21" i="6"/>
  <c r="D22" i="6"/>
  <c r="D23" i="6"/>
  <c r="D24" i="6"/>
  <c r="D25" i="6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/>
  <c r="M29" i="3"/>
  <c r="N29" i="3"/>
  <c r="J81" i="3" s="1"/>
  <c r="H29" i="3"/>
  <c r="I29" i="3"/>
  <c r="C29" i="3"/>
  <c r="D29" i="3"/>
  <c r="S5" i="7" l="1"/>
  <c r="D26" i="7"/>
  <c r="D24" i="7"/>
  <c r="Q5" i="7"/>
  <c r="R5" i="7"/>
  <c r="D25" i="7"/>
  <c r="D22" i="7"/>
  <c r="O5" i="7"/>
  <c r="D23" i="7"/>
  <c r="P5" i="7"/>
  <c r="N5" i="7"/>
  <c r="D21" i="7"/>
  <c r="D27" i="7"/>
  <c r="T5" i="7"/>
  <c r="D28" i="7"/>
  <c r="U5" i="7"/>
  <c r="D20" i="7"/>
  <c r="M5" i="7"/>
  <c r="I6" i="1"/>
  <c r="E91" i="3" l="1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90" i="3"/>
  <c r="F106" i="3" l="1"/>
  <c r="G106" i="3" s="1"/>
  <c r="F98" i="3"/>
  <c r="G98" i="3" s="1"/>
  <c r="F109" i="3"/>
  <c r="G109" i="3" s="1"/>
  <c r="F101" i="3"/>
  <c r="G101" i="3" s="1"/>
  <c r="F93" i="3"/>
  <c r="G93" i="3" s="1"/>
  <c r="F108" i="3"/>
  <c r="G108" i="3" s="1"/>
  <c r="F100" i="3"/>
  <c r="G100" i="3" s="1"/>
  <c r="F92" i="3"/>
  <c r="G92" i="3" s="1"/>
  <c r="F105" i="3"/>
  <c r="G105" i="3" s="1"/>
  <c r="F97" i="3"/>
  <c r="G97" i="3" s="1"/>
  <c r="F104" i="3"/>
  <c r="G104" i="3" s="1"/>
  <c r="F96" i="3"/>
  <c r="G96" i="3" s="1"/>
  <c r="F110" i="3"/>
  <c r="F102" i="3"/>
  <c r="G102" i="3" s="1"/>
  <c r="F94" i="3"/>
  <c r="G94" i="3" s="1"/>
  <c r="F107" i="3"/>
  <c r="G107" i="3" s="1"/>
  <c r="F99" i="3"/>
  <c r="G99" i="3" s="1"/>
  <c r="F91" i="3"/>
  <c r="G91" i="3" s="1"/>
  <c r="F90" i="3"/>
  <c r="G90" i="3" s="1"/>
  <c r="F103" i="3"/>
  <c r="G103" i="3" s="1"/>
  <c r="F95" i="3"/>
  <c r="G95" i="3" s="1"/>
  <c r="T4" i="7" l="1"/>
  <c r="C27" i="7"/>
  <c r="C19" i="7"/>
  <c r="L4" i="7"/>
  <c r="C15" i="7"/>
  <c r="H4" i="7"/>
  <c r="C28" i="7"/>
  <c r="U4" i="7"/>
  <c r="C11" i="7"/>
  <c r="D4" i="7"/>
  <c r="N4" i="7"/>
  <c r="C21" i="7"/>
  <c r="C12" i="7"/>
  <c r="E4" i="7"/>
  <c r="C20" i="7"/>
  <c r="M4" i="7"/>
  <c r="C23" i="7"/>
  <c r="P4" i="7"/>
  <c r="C16" i="7"/>
  <c r="I4" i="7"/>
  <c r="J4" i="7"/>
  <c r="C17" i="7"/>
  <c r="C26" i="7"/>
  <c r="S4" i="7"/>
  <c r="F4" i="7"/>
  <c r="C13" i="7"/>
  <c r="G4" i="7"/>
  <c r="C14" i="7"/>
  <c r="O4" i="7"/>
  <c r="C22" i="7"/>
  <c r="C9" i="7"/>
  <c r="B4" i="7"/>
  <c r="C10" i="7"/>
  <c r="C4" i="7"/>
  <c r="C18" i="7"/>
  <c r="K4" i="7"/>
  <c r="C24" i="7"/>
  <c r="Q4" i="7"/>
  <c r="R4" i="7"/>
  <c r="C25" i="7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F81" i="3" s="1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F53" i="3" l="1"/>
  <c r="F49" i="3"/>
  <c r="F52" i="3"/>
  <c r="F48" i="3"/>
  <c r="F73" i="3"/>
  <c r="F54" i="3"/>
  <c r="F77" i="3"/>
  <c r="F80" i="3"/>
  <c r="F72" i="3"/>
  <c r="F79" i="3"/>
  <c r="F78" i="3"/>
  <c r="F71" i="3"/>
  <c r="F63" i="3"/>
  <c r="F70" i="3"/>
  <c r="F66" i="3"/>
  <c r="F65" i="3"/>
  <c r="F64" i="3"/>
  <c r="F69" i="3"/>
  <c r="F68" i="3"/>
  <c r="F67" i="3"/>
  <c r="F76" i="3"/>
  <c r="F75" i="3"/>
  <c r="F74" i="3"/>
  <c r="F51" i="3"/>
  <c r="F50" i="3"/>
  <c r="F46" i="3"/>
  <c r="F47" i="3"/>
  <c r="F55" i="3"/>
  <c r="I17" i="1" l="1"/>
  <c r="I18" i="1"/>
  <c r="I19" i="1"/>
  <c r="I20" i="1"/>
  <c r="I21" i="1"/>
  <c r="I22" i="1"/>
  <c r="I23" i="1"/>
  <c r="I24" i="1"/>
  <c r="I25" i="1"/>
  <c r="D16" i="4" l="1"/>
  <c r="E16" i="4" s="1"/>
  <c r="I40" i="1" s="1"/>
  <c r="F40" i="1" s="1"/>
  <c r="F55" i="1" s="1"/>
  <c r="D17" i="4"/>
  <c r="E17" i="4" s="1"/>
  <c r="I41" i="1" s="1"/>
  <c r="D18" i="4"/>
  <c r="E18" i="4" s="1"/>
  <c r="I42" i="1" s="1"/>
  <c r="D19" i="4"/>
  <c r="E19" i="4" s="1"/>
  <c r="I43" i="1" s="1"/>
  <c r="D20" i="4"/>
  <c r="E20" i="4" s="1"/>
  <c r="I44" i="1" s="1"/>
  <c r="D21" i="4"/>
  <c r="E21" i="4" s="1"/>
  <c r="I45" i="1" s="1"/>
  <c r="D22" i="4"/>
  <c r="E22" i="4" s="1"/>
  <c r="I46" i="1" s="1"/>
  <c r="D23" i="4"/>
  <c r="E23" i="4" s="1"/>
  <c r="I47" i="1" s="1"/>
  <c r="D24" i="4"/>
  <c r="E24" i="4" s="1"/>
  <c r="I48" i="1" s="1"/>
  <c r="H41" i="1" l="1"/>
  <c r="F41" i="1"/>
  <c r="E41" i="1"/>
  <c r="G41" i="1"/>
  <c r="C41" i="1"/>
  <c r="D41" i="1"/>
  <c r="D40" i="1"/>
  <c r="H40" i="1"/>
  <c r="B40" i="1"/>
  <c r="B61" i="1" s="1"/>
  <c r="G40" i="1"/>
  <c r="E40" i="1"/>
  <c r="C40" i="1"/>
  <c r="G47" i="1"/>
  <c r="E47" i="1"/>
  <c r="C47" i="1"/>
  <c r="D47" i="1"/>
  <c r="H47" i="1"/>
  <c r="F47" i="1"/>
  <c r="G43" i="1"/>
  <c r="E43" i="1"/>
  <c r="C43" i="1"/>
  <c r="D43" i="1"/>
  <c r="H43" i="1"/>
  <c r="F43" i="1"/>
  <c r="H45" i="1"/>
  <c r="F45" i="1"/>
  <c r="D45" i="1"/>
  <c r="G45" i="1"/>
  <c r="E45" i="1"/>
  <c r="C45" i="1"/>
  <c r="D48" i="1"/>
  <c r="G48" i="1"/>
  <c r="H48" i="1"/>
  <c r="F48" i="1"/>
  <c r="E48" i="1"/>
  <c r="C48" i="1"/>
  <c r="D44" i="1"/>
  <c r="H44" i="1"/>
  <c r="F44" i="1"/>
  <c r="E44" i="1"/>
  <c r="C44" i="1"/>
  <c r="G44" i="1"/>
  <c r="G46" i="1"/>
  <c r="E46" i="1"/>
  <c r="C46" i="1"/>
  <c r="H46" i="1"/>
  <c r="F46" i="1"/>
  <c r="D46" i="1"/>
  <c r="G42" i="1"/>
  <c r="E42" i="1"/>
  <c r="C42" i="1"/>
  <c r="F42" i="1"/>
  <c r="D42" i="1"/>
  <c r="H42" i="1"/>
  <c r="B43" i="1" l="1"/>
  <c r="F58" i="1"/>
  <c r="B46" i="1"/>
  <c r="B67" i="1" s="1"/>
  <c r="F61" i="1"/>
  <c r="B44" i="1"/>
  <c r="F59" i="1"/>
  <c r="B42" i="1"/>
  <c r="F57" i="1"/>
  <c r="B48" i="1"/>
  <c r="B69" i="1" s="1"/>
  <c r="F63" i="1"/>
  <c r="B45" i="1"/>
  <c r="F60" i="1"/>
  <c r="B47" i="1"/>
  <c r="F62" i="1"/>
  <c r="B41" i="1"/>
  <c r="F56" i="1"/>
  <c r="J48" i="1"/>
  <c r="J40" i="1"/>
  <c r="J46" i="1"/>
  <c r="M15" i="1"/>
  <c r="M14" i="1" s="1"/>
  <c r="M13" i="1" s="1"/>
  <c r="M12" i="1" s="1"/>
  <c r="M11" i="1" s="1"/>
  <c r="M10" i="1" s="1"/>
  <c r="M9" i="1" s="1"/>
  <c r="M8" i="1" s="1"/>
  <c r="M7" i="1" s="1"/>
  <c r="J42" i="1" l="1"/>
  <c r="B63" i="1"/>
  <c r="J47" i="1"/>
  <c r="B68" i="1"/>
  <c r="J44" i="1"/>
  <c r="B65" i="1"/>
  <c r="J43" i="1"/>
  <c r="B64" i="1"/>
  <c r="J41" i="1"/>
  <c r="B62" i="1"/>
  <c r="J45" i="1"/>
  <c r="B66" i="1"/>
  <c r="C62" i="3"/>
  <c r="F62" i="3" s="1"/>
  <c r="E61" i="3"/>
  <c r="C61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0" i="1" s="1"/>
  <c r="D7" i="4"/>
  <c r="E7" i="4" s="1"/>
  <c r="I41" i="2" s="1"/>
  <c r="D8" i="4"/>
  <c r="E8" i="4" s="1"/>
  <c r="I32" i="1" s="1"/>
  <c r="C32" i="1" s="1"/>
  <c r="D9" i="4"/>
  <c r="E9" i="4" s="1"/>
  <c r="I33" i="1" s="1"/>
  <c r="C33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I29" i="1" s="1"/>
  <c r="B29" i="1" s="1"/>
  <c r="B50" i="1" s="1"/>
  <c r="L7" i="4"/>
  <c r="L8" i="4" s="1"/>
  <c r="J7" i="4"/>
  <c r="J8" i="4" s="1"/>
  <c r="I39" i="2" l="1"/>
  <c r="F61" i="3"/>
  <c r="F40" i="3"/>
  <c r="F27" i="5"/>
  <c r="F29" i="5"/>
  <c r="F65" i="5"/>
  <c r="F69" i="5"/>
  <c r="I49" i="2"/>
  <c r="I39" i="1"/>
  <c r="C39" i="1" s="1"/>
  <c r="F26" i="5"/>
  <c r="F30" i="5"/>
  <c r="F70" i="5"/>
  <c r="F72" i="5"/>
  <c r="F35" i="3"/>
  <c r="F37" i="3"/>
  <c r="F39" i="3"/>
  <c r="F43" i="3"/>
  <c r="F45" i="3"/>
  <c r="F42" i="3"/>
  <c r="F44" i="3"/>
  <c r="F36" i="3"/>
  <c r="D30" i="1"/>
  <c r="C30" i="1"/>
  <c r="I31" i="1"/>
  <c r="I40" i="2"/>
  <c r="I36" i="1"/>
  <c r="I35" i="1"/>
  <c r="F32" i="1"/>
  <c r="E32" i="1"/>
  <c r="I42" i="2"/>
  <c r="B30" i="1"/>
  <c r="B51" i="1" s="1"/>
  <c r="F30" i="1"/>
  <c r="E30" i="1"/>
  <c r="I34" i="1"/>
  <c r="I37" i="1"/>
  <c r="C37" i="1" s="1"/>
  <c r="I47" i="2"/>
  <c r="F33" i="1"/>
  <c r="B33" i="1"/>
  <c r="B54" i="1" s="1"/>
  <c r="D33" i="1"/>
  <c r="G33" i="1"/>
  <c r="H33" i="1"/>
  <c r="I43" i="2"/>
  <c r="F31" i="5"/>
  <c r="F33" i="5"/>
  <c r="F63" i="5"/>
  <c r="I38" i="1"/>
  <c r="C38" i="1" s="1"/>
  <c r="F35" i="5"/>
  <c r="F67" i="5"/>
  <c r="F38" i="3"/>
  <c r="F41" i="3"/>
  <c r="G30" i="1"/>
  <c r="F36" i="5"/>
  <c r="F66" i="5"/>
  <c r="F71" i="5"/>
  <c r="B32" i="1"/>
  <c r="B53" i="1" s="1"/>
  <c r="E33" i="1"/>
  <c r="G32" i="1"/>
  <c r="H32" i="1"/>
  <c r="D32" i="1"/>
  <c r="H30" i="1"/>
  <c r="J32" i="1" l="1"/>
  <c r="J30" i="1"/>
  <c r="J33" i="1"/>
  <c r="E29" i="1"/>
  <c r="F34" i="1"/>
  <c r="C34" i="1"/>
  <c r="F36" i="1"/>
  <c r="C36" i="1"/>
  <c r="E31" i="1"/>
  <c r="C31" i="1"/>
  <c r="E35" i="1"/>
  <c r="C35" i="1"/>
  <c r="G35" i="1"/>
  <c r="H36" i="1"/>
  <c r="G36" i="1"/>
  <c r="E36" i="1"/>
  <c r="D35" i="1"/>
  <c r="D31" i="1"/>
  <c r="H35" i="1"/>
  <c r="D29" i="1"/>
  <c r="G31" i="1"/>
  <c r="H34" i="1"/>
  <c r="G34" i="1"/>
  <c r="F31" i="1"/>
  <c r="H31" i="1"/>
  <c r="D36" i="1"/>
  <c r="B31" i="1"/>
  <c r="B52" i="1" s="1"/>
  <c r="E34" i="1"/>
  <c r="F35" i="1"/>
  <c r="D34" i="1"/>
  <c r="B34" i="1"/>
  <c r="B55" i="1" s="1"/>
  <c r="D38" i="1"/>
  <c r="E38" i="1"/>
  <c r="F38" i="1"/>
  <c r="G38" i="1"/>
  <c r="F37" i="1"/>
  <c r="D37" i="1"/>
  <c r="E37" i="1"/>
  <c r="G37" i="1"/>
  <c r="H37" i="1"/>
  <c r="H29" i="1"/>
  <c r="C29" i="1"/>
  <c r="G29" i="1"/>
  <c r="H38" i="1"/>
  <c r="E39" i="1"/>
  <c r="G39" i="1"/>
  <c r="F39" i="1"/>
  <c r="H39" i="1"/>
  <c r="D39" i="1"/>
  <c r="F29" i="1"/>
  <c r="I7" i="1"/>
  <c r="I8" i="1"/>
  <c r="I9" i="1"/>
  <c r="I10" i="1"/>
  <c r="I11" i="1"/>
  <c r="I12" i="1"/>
  <c r="I13" i="1"/>
  <c r="I14" i="1"/>
  <c r="I15" i="1"/>
  <c r="I16" i="1"/>
  <c r="B39" i="1" l="1"/>
  <c r="F54" i="1"/>
  <c r="B36" i="1"/>
  <c r="F51" i="1"/>
  <c r="B35" i="1"/>
  <c r="B56" i="1" s="1"/>
  <c r="F50" i="1"/>
  <c r="B37" i="1"/>
  <c r="F52" i="1"/>
  <c r="B38" i="1"/>
  <c r="B59" i="1" s="1"/>
  <c r="F53" i="1"/>
  <c r="J29" i="1"/>
  <c r="J31" i="1"/>
  <c r="J34" i="1"/>
  <c r="J35" i="1"/>
  <c r="J37" i="1" l="1"/>
  <c r="B58" i="1"/>
  <c r="J38" i="1"/>
  <c r="J36" i="1"/>
  <c r="B57" i="1"/>
  <c r="J39" i="1"/>
  <c r="B60" i="1"/>
  <c r="F64" i="1"/>
  <c r="F65" i="1" s="1"/>
  <c r="C9" i="3"/>
  <c r="D9" i="3" s="1"/>
  <c r="B70" i="1" l="1"/>
  <c r="B71" i="1" s="1"/>
  <c r="C11" i="3"/>
  <c r="D11" i="3" s="1"/>
  <c r="C10" i="3"/>
  <c r="D10" i="3" s="1"/>
  <c r="C12" i="3" l="1"/>
  <c r="D12" i="3" s="1"/>
  <c r="C13" i="3" l="1"/>
  <c r="D13" i="3" s="1"/>
  <c r="C14" i="3" l="1"/>
  <c r="D14" i="3" s="1"/>
  <c r="C15" i="3" l="1"/>
  <c r="D15" i="3" s="1"/>
  <c r="C16" i="3" l="1"/>
  <c r="D16" i="3" s="1"/>
  <c r="C18" i="3" l="1"/>
  <c r="D18" i="3" s="1"/>
  <c r="C17" i="3"/>
  <c r="D17" i="3" s="1"/>
  <c r="C19" i="3" l="1"/>
  <c r="D19" i="3" s="1"/>
  <c r="C20" i="3" l="1"/>
  <c r="D20" i="3" s="1"/>
  <c r="C21" i="3" l="1"/>
  <c r="D21" i="3" s="1"/>
  <c r="C22" i="3" l="1"/>
  <c r="D22" i="3" s="1"/>
  <c r="C23" i="3" l="1"/>
  <c r="D23" i="3" s="1"/>
  <c r="C24" i="3" l="1"/>
  <c r="D24" i="3" s="1"/>
  <c r="C25" i="3" l="1"/>
  <c r="D25" i="3" s="1"/>
  <c r="C27" i="3" l="1"/>
  <c r="D27" i="3" s="1"/>
  <c r="C26" i="3"/>
  <c r="D26" i="3" s="1"/>
  <c r="C28" i="3" l="1"/>
  <c r="D28" i="3" s="1"/>
  <c r="M9" i="3" l="1"/>
  <c r="N9" i="3" s="1"/>
  <c r="M10" i="3" l="1"/>
  <c r="N10" i="3" s="1"/>
  <c r="M11" i="3" l="1"/>
  <c r="N11" i="3" s="1"/>
  <c r="M12" i="3" l="1"/>
  <c r="N12" i="3" s="1"/>
  <c r="M13" i="3" l="1"/>
  <c r="N13" i="3" s="1"/>
  <c r="M14" i="3" l="1"/>
  <c r="N14" i="3" s="1"/>
  <c r="M15" i="3" l="1"/>
  <c r="N15" i="3" s="1"/>
  <c r="M16" i="3" l="1"/>
  <c r="N16" i="3" s="1"/>
  <c r="M17" i="3" l="1"/>
  <c r="N17" i="3" s="1"/>
  <c r="M18" i="3" l="1"/>
  <c r="N18" i="3" s="1"/>
  <c r="M19" i="3" l="1"/>
  <c r="N19" i="3" s="1"/>
  <c r="M20" i="3" l="1"/>
  <c r="N20" i="3" s="1"/>
  <c r="M21" i="3" l="1"/>
  <c r="N21" i="3" s="1"/>
  <c r="M22" i="3" l="1"/>
  <c r="N22" i="3" s="1"/>
  <c r="M23" i="3" l="1"/>
  <c r="N23" i="3" s="1"/>
  <c r="M24" i="3" l="1"/>
  <c r="N24" i="3" s="1"/>
  <c r="M25" i="3" l="1"/>
  <c r="N25" i="3" s="1"/>
  <c r="M26" i="3" l="1"/>
  <c r="N26" i="3" s="1"/>
  <c r="M27" i="3" l="1"/>
  <c r="N27" i="3" s="1"/>
  <c r="M28" i="3" l="1"/>
  <c r="N28" i="3" s="1"/>
  <c r="H9" i="3" l="1"/>
  <c r="I9" i="3" s="1"/>
  <c r="I61" i="3" s="1"/>
  <c r="J61" i="3" l="1"/>
  <c r="H10" i="3"/>
  <c r="I10" i="3" s="1"/>
  <c r="I62" i="3" l="1"/>
  <c r="J62" i="3" s="1"/>
  <c r="C3" i="7" s="1"/>
  <c r="B9" i="7"/>
  <c r="B3" i="7"/>
  <c r="H11" i="3"/>
  <c r="I11" i="3" s="1"/>
  <c r="I63" i="3" l="1"/>
  <c r="J63" i="3" s="1"/>
  <c r="B11" i="7" s="1"/>
  <c r="B10" i="7"/>
  <c r="H12" i="3"/>
  <c r="I12" i="3" s="1"/>
  <c r="I64" i="3" l="1"/>
  <c r="J64" i="3" s="1"/>
  <c r="B12" i="7" s="1"/>
  <c r="D3" i="7"/>
  <c r="H13" i="3"/>
  <c r="I13" i="3" s="1"/>
  <c r="I65" i="3" l="1"/>
  <c r="J65" i="3" s="1"/>
  <c r="E3" i="7"/>
  <c r="H14" i="3"/>
  <c r="I14" i="3" s="1"/>
  <c r="F3" i="7" l="1"/>
  <c r="B13" i="7"/>
  <c r="I66" i="3"/>
  <c r="J66" i="3" s="1"/>
  <c r="H15" i="3"/>
  <c r="I15" i="3" s="1"/>
  <c r="B14" i="7" l="1"/>
  <c r="G3" i="7"/>
  <c r="I67" i="3"/>
  <c r="J67" i="3" s="1"/>
  <c r="H16" i="3"/>
  <c r="I16" i="3" s="1"/>
  <c r="H3" i="7" l="1"/>
  <c r="B15" i="7"/>
  <c r="I68" i="3"/>
  <c r="J68" i="3" s="1"/>
  <c r="H17" i="3"/>
  <c r="I17" i="3" s="1"/>
  <c r="I3" i="7" l="1"/>
  <c r="B16" i="7"/>
  <c r="I69" i="3"/>
  <c r="J69" i="3" s="1"/>
  <c r="H18" i="3"/>
  <c r="I18" i="3" s="1"/>
  <c r="B17" i="7" l="1"/>
  <c r="J3" i="7"/>
  <c r="I70" i="3"/>
  <c r="J70" i="3" s="1"/>
  <c r="H19" i="3"/>
  <c r="I19" i="3" s="1"/>
  <c r="K3" i="7" l="1"/>
  <c r="B18" i="7"/>
  <c r="I71" i="3"/>
  <c r="J71" i="3" s="1"/>
  <c r="H20" i="3"/>
  <c r="I20" i="3" s="1"/>
  <c r="B19" i="7" l="1"/>
  <c r="L3" i="7"/>
  <c r="I72" i="3"/>
  <c r="J72" i="3" s="1"/>
  <c r="H21" i="3"/>
  <c r="I21" i="3" s="1"/>
  <c r="B20" i="7" l="1"/>
  <c r="E20" i="7" s="1"/>
  <c r="M3" i="7"/>
  <c r="M6" i="7" s="1"/>
  <c r="I73" i="3"/>
  <c r="J73" i="3" s="1"/>
  <c r="H22" i="3"/>
  <c r="I22" i="3" s="1"/>
  <c r="N3" i="7" l="1"/>
  <c r="N6" i="7" s="1"/>
  <c r="B21" i="7"/>
  <c r="E21" i="7" s="1"/>
  <c r="I74" i="3"/>
  <c r="J74" i="3" s="1"/>
  <c r="H23" i="3"/>
  <c r="I23" i="3" s="1"/>
  <c r="O3" i="7" l="1"/>
  <c r="O6" i="7" s="1"/>
  <c r="B22" i="7"/>
  <c r="E22" i="7" s="1"/>
  <c r="I75" i="3"/>
  <c r="J75" i="3" s="1"/>
  <c r="H24" i="3"/>
  <c r="I24" i="3" s="1"/>
  <c r="P3" i="7" l="1"/>
  <c r="P6" i="7" s="1"/>
  <c r="B23" i="7"/>
  <c r="E23" i="7" s="1"/>
  <c r="I76" i="3"/>
  <c r="J76" i="3" s="1"/>
  <c r="H25" i="3"/>
  <c r="I25" i="3" s="1"/>
  <c r="Q3" i="7" l="1"/>
  <c r="Q6" i="7" s="1"/>
  <c r="B24" i="7"/>
  <c r="E24" i="7" s="1"/>
  <c r="I77" i="3"/>
  <c r="J77" i="3" s="1"/>
  <c r="H26" i="3"/>
  <c r="I26" i="3" s="1"/>
  <c r="R3" i="7" l="1"/>
  <c r="R6" i="7" s="1"/>
  <c r="B25" i="7"/>
  <c r="E25" i="7" s="1"/>
  <c r="I78" i="3"/>
  <c r="J78" i="3" s="1"/>
  <c r="H27" i="3"/>
  <c r="I27" i="3" s="1"/>
  <c r="S3" i="7" l="1"/>
  <c r="S6" i="7" s="1"/>
  <c r="B26" i="7"/>
  <c r="E26" i="7" s="1"/>
  <c r="I79" i="3"/>
  <c r="J79" i="3" s="1"/>
  <c r="H28" i="3"/>
  <c r="I28" i="3" s="1"/>
  <c r="B27" i="7" l="1"/>
  <c r="E27" i="7" s="1"/>
  <c r="T3" i="7"/>
  <c r="I80" i="3"/>
  <c r="J80" i="3" s="1"/>
  <c r="T6" i="7"/>
  <c r="D6" i="6"/>
  <c r="D7" i="6"/>
  <c r="D8" i="6"/>
  <c r="D9" i="6"/>
  <c r="D10" i="6"/>
  <c r="D11" i="6"/>
  <c r="D12" i="6"/>
  <c r="D13" i="6"/>
  <c r="D14" i="6"/>
  <c r="D15" i="6"/>
  <c r="B28" i="7" l="1"/>
  <c r="E28" i="7" s="1"/>
  <c r="U3" i="7"/>
  <c r="U6" i="7"/>
  <c r="D15" i="7"/>
  <c r="E15" i="7" s="1"/>
  <c r="H5" i="7"/>
  <c r="H6" i="7" s="1"/>
  <c r="K5" i="7"/>
  <c r="K6" i="7" s="1"/>
  <c r="D18" i="7"/>
  <c r="E18" i="7" s="1"/>
  <c r="F5" i="7"/>
  <c r="F6" i="7" s="1"/>
  <c r="D13" i="7"/>
  <c r="E13" i="7" s="1"/>
  <c r="D19" i="7"/>
  <c r="E19" i="7" s="1"/>
  <c r="L5" i="7"/>
  <c r="L6" i="7" s="1"/>
  <c r="D14" i="7"/>
  <c r="E14" i="7" s="1"/>
  <c r="G5" i="7"/>
  <c r="G6" i="7" s="1"/>
  <c r="D12" i="7"/>
  <c r="E12" i="7" s="1"/>
  <c r="E5" i="7"/>
  <c r="E6" i="7" s="1"/>
  <c r="D11" i="7"/>
  <c r="E11" i="7" s="1"/>
  <c r="D5" i="7"/>
  <c r="D6" i="7" s="1"/>
  <c r="C5" i="7"/>
  <c r="C6" i="7" s="1"/>
  <c r="D10" i="7"/>
  <c r="E10" i="7" s="1"/>
  <c r="J5" i="7"/>
  <c r="J6" i="7" s="1"/>
  <c r="D17" i="7"/>
  <c r="E17" i="7" s="1"/>
  <c r="D16" i="7"/>
  <c r="E16" i="7" s="1"/>
  <c r="I5" i="7"/>
  <c r="I6" i="7" s="1"/>
  <c r="D5" i="6"/>
  <c r="B5" i="7" l="1"/>
  <c r="B6" i="7" s="1"/>
  <c r="V6" i="7" s="1"/>
  <c r="V7" i="7" s="1"/>
  <c r="D9" i="7"/>
  <c r="E9" i="7" s="1"/>
</calcChain>
</file>

<file path=xl/comments1.xml><?xml version="1.0" encoding="utf-8"?>
<comments xmlns="http://schemas.openxmlformats.org/spreadsheetml/2006/main">
  <authors>
    <author>Iwied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Mengurangi jumlah sampah yang masuk ke TPA melalui Kegiatan 3R sebesar 2% dari sampah yang masuk ke TPA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<sst xmlns="http://schemas.openxmlformats.org/spreadsheetml/2006/main" count="312" uniqueCount="162">
  <si>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</si>
  <si>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</si>
  <si>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</si>
  <si>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</si>
  <si>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</si>
  <si>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</si>
  <si>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</si>
  <si>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</si>
  <si>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</si>
  <si>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</si>
  <si>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</si>
  <si>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</si>
  <si>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</si>
  <si>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</si>
  <si>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</si>
  <si>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</si>
  <si>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</si>
  <si>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</si>
  <si>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</si>
  <si>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</si>
  <si>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</si>
  <si>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</si>
  <si>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</si>
  <si>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</si>
  <si>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</si>
  <si>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</si>
  <si>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</si>
  <si>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</si>
  <si>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</si>
  <si>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</si>
  <si>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</si>
  <si>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</si>
  <si>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</si>
  <si>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</si>
  <si>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</si>
  <si>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</si>
  <si>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</si>
  <si>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</si>
  <si>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</si>
  <si>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</si>
  <si>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</si>
  <si>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</si>
  <si>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</si>
  <si>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</si>
  <si>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</si>
  <si>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</si>
  <si>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</si>
  <si>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</si>
  <si>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</si>
  <si>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</si>
  <si>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</si>
  <si>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</si>
  <si>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</si>
  <si>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</si>
  <si>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</si>
  <si>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</si>
  <si>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</si>
  <si>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</si>
  <si>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</si>
  <si>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</si>
  <si>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</si>
  <si>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</si>
  <si>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</si>
  <si>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</si>
  <si>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</si>
  <si>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</si>
  <si>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</si>
  <si>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</si>
  <si>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</si>
  <si>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</si>
  <si>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</si>
  <si>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</si>
  <si>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</si>
  <si>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</si>
  <si>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</si>
  <si>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</si>
  <si>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</si>
  <si>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</si>
  <si>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</si>
  <si>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</si>
  <si>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</si>
  <si>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</si>
  <si>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</si>
  <si>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</si>
  <si>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</si>
  <si>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</si>
  <si>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</si>
  <si>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</si>
  <si>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</si>
  <si>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</si>
  <si>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</si>
  <si>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</si>
  <si>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</si>
  <si>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</si>
  <si>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</si>
  <si>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</si>
  <si>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</si>
  <si>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</si>
  <si>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</si>
  <si>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</si>
  <si>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</si>
  <si>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</si>
  <si>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</si>
  <si>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</si>
  <si>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</si>
  <si>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</si>
  <si>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</si>
  <si>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</si>
  <si>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</si>
  <si>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</si>
  <si>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</si>
  <si>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</si>
  <si>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</si>
  <si>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</si>
  <si>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</si>
  <si>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</si>
  <si>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</si>
  <si>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</si>
  <si>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</si>
  <si>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</si>
  <si>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</si>
  <si>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</si>
  <si>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</si>
  <si>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 xml:space="preserve">Jumlah Penduduk </t>
  </si>
  <si>
    <t>Rekapitulasi BaU Baseline Emisi GRK dari Pengomposan Sampah</t>
  </si>
  <si>
    <t>Dibuang sembarangan</t>
  </si>
  <si>
    <t>Rekapitulasi BAU Baseline Emisi GRK dari Pengelolaan Air Limbah Domestik</t>
  </si>
  <si>
    <t>ton CO2</t>
  </si>
  <si>
    <t>Kompos</t>
  </si>
  <si>
    <t>Total timbulan sampah (Gg/tahun)</t>
  </si>
  <si>
    <t>kg CH4</t>
  </si>
  <si>
    <t>Emisi GRK dari Limbah Cair Industri Sawit</t>
  </si>
  <si>
    <t>KABUPATEN KUTAI TIMUR</t>
  </si>
  <si>
    <t>Limbah Padat Domestik</t>
  </si>
  <si>
    <t>Limbah Cair Domestik</t>
  </si>
  <si>
    <t>Limbah Cair Industri</t>
  </si>
  <si>
    <t>Total Emisi Limbah</t>
  </si>
  <si>
    <t>Rekapitulasi MITIGASI Emisi GRK dari Penimbunan Sampah</t>
  </si>
  <si>
    <t>KONDISI MITIGASI</t>
  </si>
  <si>
    <t>AM1: Meningkatkan jumlah sampah yang diangkut ke TPA dan mengurangi jumlah fraksi lainnya</t>
  </si>
  <si>
    <t>KABUPATEN MAHAKAM HULU</t>
  </si>
  <si>
    <r>
      <t>Emisi CH</t>
    </r>
    <r>
      <rPr>
        <vertAlign val="subscript"/>
        <sz val="10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</si>
  <si>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0"/>
        <color indexed="9"/>
        <rFont val="Calibri"/>
        <family val="2"/>
        <scheme val="minor"/>
      </rPr>
      <t>2</t>
    </r>
    <r>
      <rPr>
        <sz val="10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</si>
  <si>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0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</si>
  <si>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0"/>
        <color indexed="9"/>
        <rFont val="Calibri"/>
        <family val="2"/>
        <scheme val="minor"/>
      </rPr>
      <t>2</t>
    </r>
    <r>
      <rPr>
        <sz val="10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</si>
  <si>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0"/>
        <color indexed="9"/>
        <rFont val="Calibri"/>
        <family val="2"/>
        <scheme val="minor"/>
      </rPr>
      <t>2</t>
    </r>
    <r>
      <rPr>
        <sz val="10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</si>
  <si>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0"/>
        <color indexed="9"/>
        <rFont val="Calibri"/>
        <family val="2"/>
        <scheme val="minor"/>
      </rPr>
      <t>2</t>
    </r>
    <r>
      <rPr>
        <sz val="10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</si>
  <si>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0"/>
        <color indexed="9"/>
        <rFont val="Calibri"/>
        <family val="2"/>
        <scheme val="minor"/>
      </rPr>
      <t>2</t>
    </r>
  </si>
  <si>
    <r>
      <t>Limbah Padat Domestik (ton CO</t>
    </r>
    <r>
      <rPr>
        <vertAlign val="subscript"/>
        <sz val="10"/>
        <rFont val="Calibri"/>
        <family val="2"/>
        <scheme val="minor"/>
      </rPr>
      <t>2-eq)</t>
    </r>
  </si>
  <si>
    <r>
      <t>Gg CO</t>
    </r>
    <r>
      <rPr>
        <vertAlign val="subscript"/>
        <sz val="10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</si>
  <si>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0"/>
        <rFont val="Calibri"/>
        <family val="2"/>
        <scheme val="minor"/>
      </rPr>
      <t>2</t>
    </r>
  </si>
  <si>
    <r>
      <t>Emisi CH</t>
    </r>
    <r>
      <rPr>
        <vertAlign val="subscript"/>
        <sz val="10"/>
        <rFont val="Calibri"/>
        <family val="2"/>
        <scheme val="minor"/>
      </rPr>
      <t>4</t>
    </r>
  </si>
  <si>
    <r>
      <t>Emisi N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O</t>
    </r>
  </si>
  <si>
    <r>
      <t>Gg CH</t>
    </r>
    <r>
      <rPr>
        <vertAlign val="subscript"/>
        <sz val="10"/>
        <rFont val="Calibri"/>
        <family val="2"/>
        <scheme val="minor"/>
      </rPr>
      <t>4</t>
    </r>
  </si>
  <si>
    <r>
      <t>Gg CO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eq (hasil konversi dari Gg CH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)</t>
    </r>
  </si>
  <si>
    <r>
      <t>Gg N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O</t>
    </r>
  </si>
  <si>
    <r>
      <t>Gg CO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eq (hasil konversi dari Gg N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O)</t>
    </r>
  </si>
  <si>
    <r>
      <t>Gg CO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eq (hasil perjumlahan)</t>
    </r>
  </si>
  <si>
    <r>
      <t>ton CO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eq (hasil perjumlahan)</t>
    </r>
  </si>
  <si>
    <t xml:space="preserve"> Emisi GRK dari sampah yang dilakukan 3R</t>
  </si>
  <si>
    <t xml:space="preserve">3R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</si>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</sst>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62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charset val="1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C00000"/>
      <name val="Calibri"/>
      <family val="2"/>
      <scheme val="minor"/>
    </font>
    <font>
      <vertAlign val="subscript"/>
      <sz val="10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0"/>
      <color rgb="FF00682F"/>
      <name val="Calibri"/>
      <family val="2"/>
      <scheme val="minor"/>
    </font>
    <font>
      <vertAlign val="subscript"/>
      <sz val="1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</cellStyleXfs>
  <cellXfs count="277">
    <xf numFmtId="0" fontId="0" fillId="0" borderId="0" xfId="0"/>
    <xf numFmtId="0" fontId="4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/>
    <xf numFmtId="0" fontId="7" fillId="0" borderId="0" xfId="0" applyFont="1"/>
    <xf numFmtId="0" fontId="0" fillId="0" borderId="0" xfId="0" applyAlignment="1">
      <alignment horizontal="right"/>
    </xf>
    <xf numFmtId="0" fontId="4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1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3" fillId="11" borderId="0" xfId="0" applyNumberFormat="1" applyFont="1" applyFill="1" applyBorder="1" applyAlignment="1">
      <alignment horizontal="center" vertical="top" wrapText="1"/>
    </xf>
    <xf numFmtId="3" fontId="13" fillId="11" borderId="0" xfId="0" quotePrefix="1" applyNumberFormat="1" applyFont="1" applyFill="1" applyBorder="1" applyAlignment="1">
      <alignment horizontal="center" vertical="top" wrapText="1"/>
    </xf>
    <xf numFmtId="0" fontId="10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4" fillId="3" borderId="1" xfId="0" applyFont="1" applyFill="1" applyBorder="1" applyAlignment="1">
      <alignment vertical="top" wrapText="1"/>
    </xf>
    <xf numFmtId="0" fontId="15" fillId="14" borderId="1" xfId="0" applyFont="1" applyFill="1" applyBorder="1" applyAlignment="1">
      <alignment vertical="top"/>
    </xf>
    <xf numFmtId="0" fontId="15" fillId="8" borderId="1" xfId="0" applyFont="1" applyFill="1" applyBorder="1" applyAlignment="1">
      <alignment vertical="top" wrapText="1"/>
    </xf>
    <xf numFmtId="0" fontId="15" fillId="14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horizontal="left" vertical="top" wrapText="1"/>
    </xf>
    <xf numFmtId="0" fontId="15" fillId="12" borderId="1" xfId="0" applyFont="1" applyFill="1" applyBorder="1" applyAlignment="1">
      <alignment vertical="top" wrapText="1"/>
    </xf>
    <xf numFmtId="0" fontId="17" fillId="12" borderId="1" xfId="0" applyFont="1" applyFill="1" applyBorder="1" applyAlignment="1">
      <alignment vertical="top" wrapText="1"/>
    </xf>
    <xf numFmtId="0" fontId="15" fillId="11" borderId="1" xfId="0" applyFont="1" applyFill="1" applyBorder="1" applyAlignment="1">
      <alignment vertical="top" wrapText="1"/>
    </xf>
    <xf numFmtId="0" fontId="6" fillId="5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horizontal="center"/>
    </xf>
    <xf numFmtId="2" fontId="23" fillId="0" borderId="1" xfId="0" applyNumberFormat="1" applyFont="1" applyBorder="1" applyAlignment="1">
      <alignment wrapText="1"/>
    </xf>
    <xf numFmtId="2" fontId="23" fillId="0" borderId="1" xfId="0" applyNumberFormat="1" applyFont="1" applyBorder="1" applyAlignment="1">
      <alignment vertical="top" wrapText="1"/>
    </xf>
    <xf numFmtId="2" fontId="23" fillId="0" borderId="1" xfId="0" applyNumberFormat="1" applyFont="1" applyBorder="1"/>
    <xf numFmtId="0" fontId="24" fillId="0" borderId="0" xfId="0" applyFont="1"/>
    <xf numFmtId="0" fontId="3" fillId="15" borderId="19" xfId="0" applyFont="1" applyFill="1" applyBorder="1" applyAlignment="1">
      <alignment horizontal="center" vertical="top"/>
    </xf>
    <xf numFmtId="0" fontId="3" fillId="15" borderId="20" xfId="0" applyFont="1" applyFill="1" applyBorder="1" applyAlignment="1">
      <alignment horizontal="center" vertical="top"/>
    </xf>
    <xf numFmtId="0" fontId="3" fillId="15" borderId="9" xfId="0" applyFont="1" applyFill="1" applyBorder="1" applyAlignment="1">
      <alignment horizontal="center" vertical="top"/>
    </xf>
    <xf numFmtId="0" fontId="3" fillId="15" borderId="10" xfId="0" applyFont="1" applyFill="1" applyBorder="1" applyAlignment="1">
      <alignment vertical="top"/>
    </xf>
    <xf numFmtId="0" fontId="3" fillId="15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wrapText="1"/>
    </xf>
    <xf numFmtId="0" fontId="23" fillId="0" borderId="1" xfId="0" applyFont="1" applyBorder="1"/>
    <xf numFmtId="0" fontId="25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26" fillId="0" borderId="0" xfId="0" applyFont="1"/>
    <xf numFmtId="0" fontId="22" fillId="10" borderId="19" xfId="0" applyFont="1" applyFill="1" applyBorder="1" applyAlignment="1">
      <alignment horizontal="center" vertical="top" wrapText="1"/>
    </xf>
    <xf numFmtId="0" fontId="22" fillId="10" borderId="9" xfId="0" applyFont="1" applyFill="1" applyBorder="1" applyAlignment="1">
      <alignment horizontal="center" vertical="top" wrapText="1"/>
    </xf>
    <xf numFmtId="0" fontId="28" fillId="13" borderId="9" xfId="0" applyFont="1" applyFill="1" applyBorder="1" applyAlignment="1">
      <alignment horizontal="center" vertical="top" wrapText="1"/>
    </xf>
    <xf numFmtId="0" fontId="22" fillId="16" borderId="10" xfId="0" applyFont="1" applyFill="1" applyBorder="1" applyAlignment="1">
      <alignment horizontal="center" vertical="top" wrapText="1"/>
    </xf>
    <xf numFmtId="0" fontId="22" fillId="10" borderId="10" xfId="0" applyFont="1" applyFill="1" applyBorder="1" applyAlignment="1">
      <alignment horizontal="center" vertical="top" wrapText="1"/>
    </xf>
    <xf numFmtId="0" fontId="22" fillId="13" borderId="10" xfId="0" applyFont="1" applyFill="1" applyBorder="1" applyAlignment="1">
      <alignment horizontal="center" vertical="top" wrapText="1"/>
    </xf>
    <xf numFmtId="0" fontId="29" fillId="16" borderId="10" xfId="0" applyFont="1" applyFill="1" applyBorder="1" applyAlignment="1">
      <alignment horizontal="center" vertical="top" wrapText="1"/>
    </xf>
    <xf numFmtId="0" fontId="29" fillId="10" borderId="3" xfId="0" applyFont="1" applyFill="1" applyBorder="1" applyAlignment="1">
      <alignment horizontal="center" vertical="top" wrapText="1"/>
    </xf>
    <xf numFmtId="0" fontId="29" fillId="10" borderId="10" xfId="0" applyFont="1" applyFill="1" applyBorder="1" applyAlignment="1">
      <alignment horizontal="center" vertical="top" wrapText="1"/>
    </xf>
    <xf numFmtId="0" fontId="30" fillId="13" borderId="10" xfId="0" applyFont="1" applyFill="1" applyBorder="1" applyAlignment="1">
      <alignment horizontal="center" vertical="top" wrapText="1"/>
    </xf>
    <xf numFmtId="0" fontId="29" fillId="16" borderId="11" xfId="0" applyFont="1" applyFill="1" applyBorder="1" applyAlignment="1">
      <alignment horizontal="center" wrapText="1"/>
    </xf>
    <xf numFmtId="0" fontId="29" fillId="10" borderId="2" xfId="0" applyFont="1" applyFill="1" applyBorder="1" applyAlignment="1">
      <alignment horizontal="center" vertical="top" wrapText="1"/>
    </xf>
    <xf numFmtId="0" fontId="29" fillId="10" borderId="11" xfId="0" applyFont="1" applyFill="1" applyBorder="1" applyAlignment="1">
      <alignment horizontal="center" wrapText="1"/>
    </xf>
    <xf numFmtId="0" fontId="30" fillId="13" borderId="11" xfId="0" applyFont="1" applyFill="1" applyBorder="1" applyAlignment="1">
      <alignment horizontal="center" vertical="top" wrapText="1"/>
    </xf>
    <xf numFmtId="0" fontId="31" fillId="0" borderId="1" xfId="0" applyFont="1" applyBorder="1" applyAlignment="1">
      <alignment horizontal="right" vertical="top" wrapText="1"/>
    </xf>
    <xf numFmtId="2" fontId="31" fillId="0" borderId="1" xfId="0" applyNumberFormat="1" applyFont="1" applyBorder="1" applyAlignment="1">
      <alignment horizontal="right" vertical="top" wrapText="1"/>
    </xf>
    <xf numFmtId="0" fontId="3" fillId="0" borderId="0" xfId="0" applyFont="1" applyFill="1" applyBorder="1" applyAlignment="1">
      <alignment horizontal="center" vertical="top"/>
    </xf>
    <xf numFmtId="2" fontId="23" fillId="0" borderId="0" xfId="0" applyNumberFormat="1" applyFont="1" applyFill="1" applyBorder="1" applyAlignment="1">
      <alignment vertical="top" wrapText="1"/>
    </xf>
    <xf numFmtId="0" fontId="32" fillId="0" borderId="0" xfId="0" applyFont="1" applyFill="1" applyBorder="1" applyAlignment="1">
      <alignment horizontal="center" vertical="top"/>
    </xf>
    <xf numFmtId="0" fontId="33" fillId="0" borderId="0" xfId="0" applyFont="1" applyAlignment="1">
      <alignment horizontal="center" vertical="top"/>
    </xf>
    <xf numFmtId="0" fontId="34" fillId="0" borderId="0" xfId="0" applyFont="1"/>
    <xf numFmtId="0" fontId="3" fillId="17" borderId="1" xfId="0" applyFont="1" applyFill="1" applyBorder="1" applyAlignment="1">
      <alignment horizontal="center" vertical="top" wrapText="1"/>
    </xf>
    <xf numFmtId="0" fontId="35" fillId="0" borderId="0" xfId="0" applyFont="1"/>
    <xf numFmtId="0" fontId="36" fillId="3" borderId="0" xfId="0" applyFont="1" applyFill="1"/>
    <xf numFmtId="0" fontId="37" fillId="3" borderId="0" xfId="0" applyFont="1" applyFill="1"/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3" fontId="4" fillId="0" borderId="0" xfId="0" quotePrefix="1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2" fillId="0" borderId="0" xfId="0" applyFont="1" applyAlignment="1">
      <alignment vertical="center"/>
    </xf>
    <xf numFmtId="0" fontId="41" fillId="18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0" fontId="42" fillId="0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5" fillId="0" borderId="0" xfId="0" applyFont="1" applyFill="1" applyAlignment="1">
      <alignment vertical="center"/>
    </xf>
    <xf numFmtId="0" fontId="42" fillId="7" borderId="1" xfId="0" applyFont="1" applyFill="1" applyBorder="1" applyAlignment="1">
      <alignment horizontal="center" vertical="center"/>
    </xf>
    <xf numFmtId="9" fontId="42" fillId="7" borderId="1" xfId="0" applyNumberFormat="1" applyFont="1" applyFill="1" applyBorder="1" applyAlignment="1">
      <alignment horizontal="center" vertical="center"/>
    </xf>
    <xf numFmtId="3" fontId="42" fillId="0" borderId="0" xfId="0" applyNumberFormat="1" applyFont="1" applyFill="1" applyAlignment="1">
      <alignment vertical="center"/>
    </xf>
    <xf numFmtId="0" fontId="42" fillId="0" borderId="0" xfId="0" quotePrefix="1" applyFont="1" applyFill="1" applyAlignment="1">
      <alignment vertical="center"/>
    </xf>
    <xf numFmtId="3" fontId="42" fillId="0" borderId="0" xfId="0" applyNumberFormat="1" applyFont="1" applyFill="1" applyAlignment="1">
      <alignment horizontal="center" vertical="center"/>
    </xf>
    <xf numFmtId="2" fontId="42" fillId="0" borderId="1" xfId="0" applyNumberFormat="1" applyFont="1" applyBorder="1" applyAlignment="1">
      <alignment horizontal="center" vertical="center"/>
    </xf>
    <xf numFmtId="2" fontId="42" fillId="8" borderId="1" xfId="0" applyNumberFormat="1" applyFont="1" applyFill="1" applyBorder="1" applyAlignment="1">
      <alignment horizontal="center" vertical="center"/>
    </xf>
    <xf numFmtId="2" fontId="47" fillId="8" borderId="1" xfId="0" applyNumberFormat="1" applyFont="1" applyFill="1" applyBorder="1" applyAlignment="1">
      <alignment horizontal="center" vertical="center"/>
    </xf>
    <xf numFmtId="2" fontId="42" fillId="0" borderId="1" xfId="0" applyNumberFormat="1" applyFont="1" applyFill="1" applyBorder="1" applyAlignment="1">
      <alignment horizontal="center" vertical="center"/>
    </xf>
    <xf numFmtId="2" fontId="42" fillId="0" borderId="0" xfId="0" applyNumberFormat="1" applyFont="1" applyAlignment="1">
      <alignment vertical="center"/>
    </xf>
    <xf numFmtId="168" fontId="42" fillId="0" borderId="1" xfId="1" applyNumberFormat="1" applyFont="1" applyBorder="1" applyAlignment="1">
      <alignment vertical="center"/>
    </xf>
    <xf numFmtId="168" fontId="0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168" fontId="0" fillId="0" borderId="0" xfId="1" applyNumberFormat="1" applyFont="1"/>
    <xf numFmtId="168" fontId="0" fillId="0" borderId="0" xfId="0" applyNumberFormat="1"/>
    <xf numFmtId="9" fontId="0" fillId="0" borderId="0" xfId="2" applyFont="1"/>
    <xf numFmtId="0" fontId="0" fillId="0" borderId="0" xfId="0" applyAlignment="1">
      <alignment horizontal="center" vertical="center"/>
    </xf>
    <xf numFmtId="10" fontId="5" fillId="8" borderId="1" xfId="2" applyNumberFormat="1" applyFont="1" applyFill="1" applyBorder="1" applyAlignment="1">
      <alignment horizontal="center" vertical="center" wrapText="1"/>
    </xf>
    <xf numFmtId="10" fontId="0" fillId="19" borderId="0" xfId="2" applyNumberFormat="1" applyFont="1" applyFill="1" applyAlignment="1">
      <alignment vertical="center"/>
    </xf>
    <xf numFmtId="0" fontId="48" fillId="8" borderId="0" xfId="0" applyFont="1" applyFill="1" applyAlignment="1">
      <alignment vertical="center" wrapText="1"/>
    </xf>
    <xf numFmtId="0" fontId="49" fillId="3" borderId="0" xfId="0" applyFont="1" applyFill="1" applyAlignment="1">
      <alignment vertical="center"/>
    </xf>
    <xf numFmtId="0" fontId="50" fillId="3" borderId="0" xfId="0" applyFont="1" applyFill="1" applyAlignment="1">
      <alignment vertical="center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3" fillId="0" borderId="0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166" fontId="50" fillId="0" borderId="0" xfId="0" applyNumberFormat="1" applyFont="1" applyAlignment="1">
      <alignment vertical="center"/>
    </xf>
    <xf numFmtId="0" fontId="49" fillId="0" borderId="0" xfId="0" applyFont="1" applyFill="1" applyBorder="1" applyAlignment="1">
      <alignment horizontal="center" vertical="center"/>
    </xf>
    <xf numFmtId="0" fontId="49" fillId="17" borderId="1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/>
    </xf>
    <xf numFmtId="43" fontId="47" fillId="8" borderId="1" xfId="1" applyFont="1" applyFill="1" applyBorder="1" applyAlignment="1">
      <alignment vertical="center" wrapText="1"/>
    </xf>
    <xf numFmtId="43" fontId="47" fillId="0" borderId="1" xfId="1" applyFont="1" applyBorder="1" applyAlignment="1">
      <alignment vertical="center" wrapText="1"/>
    </xf>
    <xf numFmtId="43" fontId="47" fillId="0" borderId="1" xfId="1" applyFont="1" applyBorder="1" applyAlignment="1">
      <alignment vertical="center"/>
    </xf>
    <xf numFmtId="2" fontId="47" fillId="0" borderId="0" xfId="0" applyNumberFormat="1" applyFont="1" applyFill="1" applyBorder="1" applyAlignment="1">
      <alignment vertical="center" wrapText="1"/>
    </xf>
    <xf numFmtId="43" fontId="50" fillId="8" borderId="21" xfId="1" applyFont="1" applyFill="1" applyBorder="1" applyAlignment="1">
      <alignment vertical="center"/>
    </xf>
    <xf numFmtId="166" fontId="47" fillId="8" borderId="1" xfId="0" applyNumberFormat="1" applyFont="1" applyFill="1" applyBorder="1" applyAlignment="1">
      <alignment vertical="center" wrapText="1"/>
    </xf>
    <xf numFmtId="166" fontId="47" fillId="0" borderId="1" xfId="0" applyNumberFormat="1" applyFont="1" applyBorder="1" applyAlignment="1">
      <alignment vertical="center" wrapText="1"/>
    </xf>
    <xf numFmtId="166" fontId="47" fillId="0" borderId="1" xfId="0" applyNumberFormat="1" applyFont="1" applyBorder="1" applyAlignment="1">
      <alignment vertical="center"/>
    </xf>
    <xf numFmtId="164" fontId="50" fillId="8" borderId="21" xfId="0" applyNumberFormat="1" applyFont="1" applyFill="1" applyBorder="1" applyAlignment="1">
      <alignment vertical="center"/>
    </xf>
    <xf numFmtId="165" fontId="47" fillId="0" borderId="1" xfId="0" applyNumberFormat="1" applyFont="1" applyBorder="1" applyAlignment="1">
      <alignment vertical="center" wrapText="1"/>
    </xf>
    <xf numFmtId="165" fontId="47" fillId="0" borderId="1" xfId="0" applyNumberFormat="1" applyFont="1" applyBorder="1" applyAlignment="1">
      <alignment vertical="center"/>
    </xf>
    <xf numFmtId="0" fontId="56" fillId="0" borderId="0" xfId="0" applyFont="1" applyAlignment="1">
      <alignment vertical="center"/>
    </xf>
    <xf numFmtId="0" fontId="49" fillId="2" borderId="11" xfId="0" applyFont="1" applyFill="1" applyBorder="1" applyAlignment="1">
      <alignment horizontal="center" vertical="center" wrapText="1"/>
    </xf>
    <xf numFmtId="170" fontId="47" fillId="0" borderId="1" xfId="1" applyNumberFormat="1" applyFont="1" applyBorder="1" applyAlignment="1">
      <alignment vertical="center" wrapText="1"/>
    </xf>
    <xf numFmtId="170" fontId="50" fillId="0" borderId="1" xfId="1" applyNumberFormat="1" applyFont="1" applyBorder="1" applyAlignment="1">
      <alignment vertical="center"/>
    </xf>
    <xf numFmtId="0" fontId="49" fillId="15" borderId="10" xfId="0" applyFont="1" applyFill="1" applyBorder="1" applyAlignment="1">
      <alignment horizontal="center" vertical="center"/>
    </xf>
    <xf numFmtId="0" fontId="49" fillId="15" borderId="11" xfId="0" applyFont="1" applyFill="1" applyBorder="1" applyAlignment="1">
      <alignment horizontal="center" vertical="center" wrapText="1"/>
    </xf>
    <xf numFmtId="0" fontId="47" fillId="8" borderId="1" xfId="0" applyFont="1" applyFill="1" applyBorder="1" applyAlignment="1">
      <alignment horizontal="center" vertical="center" wrapText="1"/>
    </xf>
    <xf numFmtId="2" fontId="47" fillId="0" borderId="1" xfId="0" applyNumberFormat="1" applyFont="1" applyBorder="1" applyAlignment="1">
      <alignment vertical="center" wrapText="1"/>
    </xf>
    <xf numFmtId="43" fontId="47" fillId="8" borderId="1" xfId="1" applyNumberFormat="1" applyFont="1" applyFill="1" applyBorder="1" applyAlignment="1">
      <alignment vertical="center"/>
    </xf>
    <xf numFmtId="168" fontId="50" fillId="8" borderId="1" xfId="1" applyNumberFormat="1" applyFont="1" applyFill="1" applyBorder="1" applyAlignment="1">
      <alignment vertical="center" wrapText="1"/>
    </xf>
    <xf numFmtId="0" fontId="47" fillId="0" borderId="1" xfId="0" applyFont="1" applyBorder="1" applyAlignment="1">
      <alignment vertical="center" wrapText="1"/>
    </xf>
    <xf numFmtId="167" fontId="47" fillId="0" borderId="1" xfId="0" applyNumberFormat="1" applyFont="1" applyBorder="1" applyAlignment="1">
      <alignment vertical="center"/>
    </xf>
    <xf numFmtId="43" fontId="50" fillId="8" borderId="1" xfId="1" applyFont="1" applyFill="1" applyBorder="1" applyAlignment="1">
      <alignment vertical="center" wrapText="1"/>
    </xf>
    <xf numFmtId="0" fontId="47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vertical="center" wrapText="1"/>
    </xf>
    <xf numFmtId="0" fontId="47" fillId="0" borderId="0" xfId="0" applyFont="1" applyBorder="1" applyAlignment="1">
      <alignment vertical="center"/>
    </xf>
    <xf numFmtId="0" fontId="58" fillId="0" borderId="0" xfId="0" applyFont="1" applyAlignment="1">
      <alignment vertical="center"/>
    </xf>
    <xf numFmtId="0" fontId="47" fillId="16" borderId="10" xfId="0" applyFont="1" applyFill="1" applyBorder="1" applyAlignment="1">
      <alignment horizontal="center" vertical="center" wrapText="1"/>
    </xf>
    <xf numFmtId="0" fontId="47" fillId="10" borderId="10" xfId="0" applyFont="1" applyFill="1" applyBorder="1" applyAlignment="1">
      <alignment horizontal="center" vertical="center" wrapText="1"/>
    </xf>
    <xf numFmtId="0" fontId="47" fillId="13" borderId="10" xfId="0" applyFont="1" applyFill="1" applyBorder="1" applyAlignment="1">
      <alignment horizontal="center" vertical="center" wrapText="1"/>
    </xf>
    <xf numFmtId="0" fontId="60" fillId="16" borderId="10" xfId="0" applyFont="1" applyFill="1" applyBorder="1" applyAlignment="1">
      <alignment horizontal="center" vertical="center" wrapText="1"/>
    </xf>
    <xf numFmtId="0" fontId="60" fillId="10" borderId="3" xfId="0" applyFont="1" applyFill="1" applyBorder="1" applyAlignment="1">
      <alignment horizontal="center" vertical="center" wrapText="1"/>
    </xf>
    <xf numFmtId="0" fontId="60" fillId="10" borderId="10" xfId="0" applyFont="1" applyFill="1" applyBorder="1" applyAlignment="1">
      <alignment horizontal="center" vertical="center" wrapText="1"/>
    </xf>
    <xf numFmtId="0" fontId="61" fillId="13" borderId="10" xfId="0" applyFont="1" applyFill="1" applyBorder="1" applyAlignment="1">
      <alignment horizontal="center" vertical="center" wrapText="1"/>
    </xf>
    <xf numFmtId="0" fontId="60" fillId="16" borderId="11" xfId="0" applyFont="1" applyFill="1" applyBorder="1" applyAlignment="1">
      <alignment horizontal="center" vertical="center" wrapText="1"/>
    </xf>
    <xf numFmtId="0" fontId="60" fillId="10" borderId="2" xfId="0" applyFont="1" applyFill="1" applyBorder="1" applyAlignment="1">
      <alignment horizontal="center" vertical="center" wrapText="1"/>
    </xf>
    <xf numFmtId="0" fontId="60" fillId="10" borderId="11" xfId="0" applyFont="1" applyFill="1" applyBorder="1" applyAlignment="1">
      <alignment horizontal="center" vertical="center" wrapText="1"/>
    </xf>
    <xf numFmtId="0" fontId="61" fillId="13" borderId="11" xfId="0" applyFont="1" applyFill="1" applyBorder="1" applyAlignment="1">
      <alignment horizontal="center" vertical="center" wrapText="1"/>
    </xf>
    <xf numFmtId="169" fontId="47" fillId="0" borderId="1" xfId="1" applyNumberFormat="1" applyFont="1" applyBorder="1" applyAlignment="1">
      <alignment vertical="center"/>
    </xf>
    <xf numFmtId="43" fontId="47" fillId="0" borderId="1" xfId="1" applyNumberFormat="1" applyFont="1" applyBorder="1" applyAlignment="1">
      <alignment vertical="center" wrapText="1"/>
    </xf>
    <xf numFmtId="170" fontId="60" fillId="0" borderId="1" xfId="1" applyNumberFormat="1" applyFont="1" applyBorder="1" applyAlignment="1">
      <alignment horizontal="right" vertical="center" wrapText="1"/>
    </xf>
    <xf numFmtId="43" fontId="60" fillId="0" borderId="1" xfId="1" applyFont="1" applyBorder="1" applyAlignment="1">
      <alignment horizontal="right" vertical="center" wrapText="1"/>
    </xf>
    <xf numFmtId="168" fontId="50" fillId="0" borderId="1" xfId="0" applyNumberFormat="1" applyFont="1" applyBorder="1" applyAlignment="1">
      <alignment vertical="center"/>
    </xf>
    <xf numFmtId="0" fontId="50" fillId="0" borderId="1" xfId="0" applyFont="1" applyBorder="1" applyAlignment="1">
      <alignment vertical="center"/>
    </xf>
    <xf numFmtId="171" fontId="5" fillId="8" borderId="1" xfId="2" applyNumberFormat="1" applyFont="1" applyFill="1" applyBorder="1" applyAlignment="1">
      <alignment horizontal="center" vertical="center" wrapText="1"/>
    </xf>
    <xf numFmtId="2" fontId="42" fillId="20" borderId="1" xfId="0" applyNumberFormat="1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 wrapText="1"/>
    </xf>
    <xf numFmtId="168" fontId="42" fillId="0" borderId="0" xfId="1" applyNumberFormat="1" applyFont="1" applyAlignment="1">
      <alignment vertical="center"/>
    </xf>
    <xf numFmtId="168" fontId="42" fillId="0" borderId="0" xfId="0" applyNumberFormat="1" applyFont="1" applyAlignment="1">
      <alignment vertical="center"/>
    </xf>
    <xf numFmtId="43" fontId="42" fillId="0" borderId="0" xfId="0" applyNumberFormat="1" applyFont="1" applyAlignment="1">
      <alignment vertical="center"/>
    </xf>
    <xf numFmtId="43" fontId="42" fillId="0" borderId="0" xfId="1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6" fillId="3" borderId="6" xfId="0" applyFont="1" applyFill="1" applyBorder="1" applyAlignment="1">
      <alignment horizontal="center" vertical="center"/>
    </xf>
    <xf numFmtId="0" fontId="46" fillId="3" borderId="7" xfId="0" applyFont="1" applyFill="1" applyBorder="1" applyAlignment="1">
      <alignment horizontal="center" vertical="center"/>
    </xf>
    <xf numFmtId="0" fontId="46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9" fillId="17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 wrapText="1"/>
    </xf>
    <xf numFmtId="0" fontId="49" fillId="17" borderId="1" xfId="0" applyFont="1" applyFill="1" applyBorder="1" applyAlignment="1">
      <alignment horizontal="center" vertical="center" wrapText="1"/>
    </xf>
    <xf numFmtId="0" fontId="49" fillId="15" borderId="3" xfId="0" applyFont="1" applyFill="1" applyBorder="1" applyAlignment="1">
      <alignment horizontal="center" vertical="center"/>
    </xf>
    <xf numFmtId="0" fontId="49" fillId="15" borderId="2" xfId="0" applyFont="1" applyFill="1" applyBorder="1" applyAlignment="1">
      <alignment horizontal="center" vertical="center"/>
    </xf>
    <xf numFmtId="0" fontId="49" fillId="15" borderId="19" xfId="0" applyFont="1" applyFill="1" applyBorder="1" applyAlignment="1">
      <alignment horizontal="center" vertical="center"/>
    </xf>
    <xf numFmtId="0" fontId="49" fillId="15" borderId="20" xfId="0" applyFont="1" applyFill="1" applyBorder="1" applyAlignment="1">
      <alignment horizontal="center" vertical="center"/>
    </xf>
    <xf numFmtId="0" fontId="49" fillId="15" borderId="9" xfId="0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49" fillId="2" borderId="19" xfId="0" applyFont="1" applyFill="1" applyBorder="1" applyAlignment="1">
      <alignment horizontal="center" vertical="center"/>
    </xf>
    <xf numFmtId="0" fontId="49" fillId="2" borderId="20" xfId="0" applyFont="1" applyFill="1" applyBorder="1" applyAlignment="1">
      <alignment horizontal="center" vertical="center"/>
    </xf>
    <xf numFmtId="0" fontId="49" fillId="2" borderId="9" xfId="0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 wrapText="1"/>
    </xf>
    <xf numFmtId="0" fontId="47" fillId="10" borderId="19" xfId="0" applyFont="1" applyFill="1" applyBorder="1" applyAlignment="1">
      <alignment horizontal="center" vertical="center" wrapText="1"/>
    </xf>
    <xf numFmtId="0" fontId="47" fillId="10" borderId="9" xfId="0" applyFont="1" applyFill="1" applyBorder="1" applyAlignment="1">
      <alignment horizontal="center" vertical="center" wrapText="1"/>
    </xf>
    <xf numFmtId="0" fontId="47" fillId="8" borderId="1" xfId="0" applyFont="1" applyFill="1" applyBorder="1" applyAlignment="1">
      <alignment horizontal="center" vertical="center"/>
    </xf>
    <xf numFmtId="0" fontId="59" fillId="13" borderId="19" xfId="0" applyFont="1" applyFill="1" applyBorder="1" applyAlignment="1">
      <alignment horizontal="center" vertical="center" wrapText="1"/>
    </xf>
    <xf numFmtId="0" fontId="59" fillId="13" borderId="9" xfId="0" applyFont="1" applyFill="1" applyBorder="1" applyAlignment="1">
      <alignment horizontal="center" vertical="center" wrapText="1"/>
    </xf>
    <xf numFmtId="0" fontId="47" fillId="13" borderId="3" xfId="0" applyFont="1" applyFill="1" applyBorder="1" applyAlignment="1">
      <alignment horizontal="center" vertical="center" wrapText="1"/>
    </xf>
    <xf numFmtId="0" fontId="47" fillId="13" borderId="2" xfId="0" applyFont="1" applyFill="1" applyBorder="1" applyAlignment="1">
      <alignment horizontal="center" vertical="center" wrapText="1"/>
    </xf>
    <xf numFmtId="0" fontId="47" fillId="16" borderId="19" xfId="0" applyFont="1" applyFill="1" applyBorder="1" applyAlignment="1">
      <alignment horizontal="center" vertical="center"/>
    </xf>
    <xf numFmtId="0" fontId="47" fillId="16" borderId="9" xfId="0" applyFont="1" applyFill="1" applyBorder="1" applyAlignment="1">
      <alignment horizontal="center" vertical="center"/>
    </xf>
    <xf numFmtId="0" fontId="60" fillId="16" borderId="3" xfId="0" applyFont="1" applyFill="1" applyBorder="1" applyAlignment="1">
      <alignment horizontal="center" vertical="center" wrapText="1"/>
    </xf>
    <xf numFmtId="0" fontId="60" fillId="16" borderId="2" xfId="0" applyFont="1" applyFill="1" applyBorder="1" applyAlignment="1">
      <alignment horizontal="center" vertical="center" wrapText="1"/>
    </xf>
    <xf numFmtId="0" fontId="41" fillId="18" borderId="1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10" fontId="5" fillId="0" borderId="4" xfId="0" applyNumberFormat="1" applyFont="1" applyFill="1" applyBorder="1" applyAlignment="1">
      <alignment horizontal="center" vertical="top" wrapText="1"/>
    </xf>
    <xf numFmtId="10" fontId="5" fillId="0" borderId="12" xfId="0" applyNumberFormat="1" applyFont="1" applyFill="1" applyBorder="1" applyAlignment="1">
      <alignment horizontal="center" vertical="top" wrapText="1"/>
    </xf>
    <xf numFmtId="10" fontId="5" fillId="0" borderId="5" xfId="0" applyNumberFormat="1" applyFont="1" applyFill="1" applyBorder="1" applyAlignment="1">
      <alignment horizontal="center" vertical="top" wrapText="1"/>
    </xf>
    <xf numFmtId="0" fontId="14" fillId="3" borderId="1" xfId="0" applyFont="1" applyFill="1" applyBorder="1" applyAlignment="1">
      <alignment horizontal="center" vertical="top" wrapText="1"/>
    </xf>
    <xf numFmtId="0" fontId="14" fillId="3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15" fillId="11" borderId="1" xfId="0" applyFont="1" applyFill="1" applyBorder="1" applyAlignment="1">
      <alignment vertical="top" wrapText="1"/>
    </xf>
    <xf numFmtId="0" fontId="16" fillId="8" borderId="1" xfId="0" applyFont="1" applyFill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  <xf numFmtId="0" fontId="15" fillId="0" borderId="17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12" borderId="1" xfId="0" applyFont="1" applyFill="1" applyBorder="1" applyAlignment="1">
      <alignment vertical="top" wrapText="1"/>
    </xf>
    <xf numFmtId="0" fontId="15" fillId="14" borderId="1" xfId="0" applyFont="1" applyFill="1" applyBorder="1" applyAlignment="1">
      <alignment horizontal="center" vertical="top" wrapText="1"/>
    </xf>
    <xf numFmtId="0" fontId="6" fillId="5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 wrapText="1"/>
    </xf>
    <xf numFmtId="3" fontId="13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22" fillId="13" borderId="3" xfId="0" applyFont="1" applyFill="1" applyBorder="1" applyAlignment="1">
      <alignment horizontal="center" vertical="top" wrapText="1"/>
    </xf>
    <xf numFmtId="0" fontId="22" fillId="13" borderId="2" xfId="0" applyFont="1" applyFill="1" applyBorder="1" applyAlignment="1">
      <alignment horizontal="center" vertical="top" wrapText="1"/>
    </xf>
    <xf numFmtId="0" fontId="22" fillId="16" borderId="19" xfId="0" applyFont="1" applyFill="1" applyBorder="1" applyAlignment="1">
      <alignment horizontal="center"/>
    </xf>
    <xf numFmtId="0" fontId="22" fillId="16" borderId="9" xfId="0" applyFont="1" applyFill="1" applyBorder="1" applyAlignment="1">
      <alignment horizontal="center"/>
    </xf>
    <xf numFmtId="0" fontId="29" fillId="16" borderId="3" xfId="0" applyFont="1" applyFill="1" applyBorder="1" applyAlignment="1">
      <alignment horizontal="center" vertical="top" wrapText="1"/>
    </xf>
    <xf numFmtId="0" fontId="29" fillId="16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19" xfId="0" applyFont="1" applyFill="1" applyBorder="1" applyAlignment="1">
      <alignment horizontal="center" vertical="top"/>
    </xf>
    <xf numFmtId="0" fontId="3" fillId="2" borderId="20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15" borderId="3" xfId="0" applyFont="1" applyFill="1" applyBorder="1" applyAlignment="1">
      <alignment horizontal="center" vertical="top"/>
    </xf>
    <xf numFmtId="0" fontId="3" fillId="15" borderId="2" xfId="0" applyFont="1" applyFill="1" applyBorder="1" applyAlignment="1">
      <alignment horizontal="center" vertical="top"/>
    </xf>
    <xf numFmtId="0" fontId="3" fillId="17" borderId="1" xfId="0" applyFont="1" applyFill="1" applyBorder="1" applyAlignment="1">
      <alignment horizontal="center" vertical="top"/>
    </xf>
    <xf numFmtId="0" fontId="3" fillId="17" borderId="1" xfId="0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GRK'!$B$32:$F$32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GRK'!$F$35:$F$54</c:f>
              <c:numCache>
                <c:formatCode>_(* #,##0.00_);_(* \(#,##0.00\);_(* "-"??_);_(@_)</c:formatCode>
                <c:ptCount val="20"/>
                <c:pt idx="0">
                  <c:v>1.1494952594999998E-2</c:v>
                </c:pt>
                <c:pt idx="1">
                  <c:v>1.158711561E-2</c:v>
                </c:pt>
                <c:pt idx="2">
                  <c:v>1.1657940389999996E-2</c:v>
                </c:pt>
                <c:pt idx="3">
                  <c:v>1.1756005470000001E-2</c:v>
                </c:pt>
                <c:pt idx="4">
                  <c:v>1.1790509850000002E-2</c:v>
                </c:pt>
                <c:pt idx="5">
                  <c:v>1.1844536445E-2</c:v>
                </c:pt>
                <c:pt idx="6">
                  <c:v>1.2274089060313575E-2</c:v>
                </c:pt>
                <c:pt idx="7">
                  <c:v>1.2698133157987764E-2</c:v>
                </c:pt>
                <c:pt idx="8">
                  <c:v>1.3136378140390141E-2</c:v>
                </c:pt>
                <c:pt idx="9">
                  <c:v>1.3589289028131881E-2</c:v>
                </c:pt>
                <c:pt idx="10">
                  <c:v>1.4057345813330364E-2</c:v>
                </c:pt>
                <c:pt idx="11">
                  <c:v>1.4541043935272065E-2</c:v>
                </c:pt>
                <c:pt idx="12">
                  <c:v>1.5040894771027564E-2</c:v>
                </c:pt>
                <c:pt idx="13">
                  <c:v>1.5557426141484698E-2</c:v>
                </c:pt>
                <c:pt idx="14">
                  <c:v>1.6091182833280121E-2</c:v>
                </c:pt>
                <c:pt idx="15">
                  <c:v>1.6642727137124474E-2</c:v>
                </c:pt>
                <c:pt idx="16">
                  <c:v>1.721263940303161E-2</c:v>
                </c:pt>
                <c:pt idx="17">
                  <c:v>1.7801518612978327E-2</c:v>
                </c:pt>
                <c:pt idx="18">
                  <c:v>1.8409982971536898E-2</c:v>
                </c:pt>
                <c:pt idx="19">
                  <c:v>1.9031486040000004E-2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yang dilakukan 3R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GRK'!$S$9:$S$28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1.65984942303746E-2</c:v>
                </c:pt>
                <c:pt idx="8">
                  <c:v>2.9657989775982607E-2</c:v>
                </c:pt>
                <c:pt idx="9">
                  <c:v>4.0421831264113577E-2</c:v>
                </c:pt>
                <c:pt idx="10">
                  <c:v>4.973992463315477E-2</c:v>
                </c:pt>
                <c:pt idx="11">
                  <c:v>5.8198190507080638E-2</c:v>
                </c:pt>
                <c:pt idx="12">
                  <c:v>6.6205553808555279E-2</c:v>
                </c:pt>
                <c:pt idx="13">
                  <c:v>7.405244950213781E-2</c:v>
                </c:pt>
                <c:pt idx="14">
                  <c:v>8.1950219578433972E-2</c:v>
                </c:pt>
                <c:pt idx="15">
                  <c:v>9.0057689153808587E-2</c:v>
                </c:pt>
                <c:pt idx="16">
                  <c:v>9.8499139658201881E-2</c:v>
                </c:pt>
                <c:pt idx="17">
                  <c:v>0.10737650920054938</c:v>
                </c:pt>
                <c:pt idx="18">
                  <c:v>0.11677771955692781</c:v>
                </c:pt>
                <c:pt idx="19">
                  <c:v>0.12678240513604305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GRK'!$I$9:$I$28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GRK'!$D$9:$D$28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0.42114742733010957</c:v>
                </c:pt>
                <c:pt idx="2">
                  <c:v>0.72247676072509182</c:v>
                </c:pt>
                <c:pt idx="3">
                  <c:v>0.94090366915825208</c:v>
                </c:pt>
                <c:pt idx="4">
                  <c:v>1.1031754729317973</c:v>
                </c:pt>
                <c:pt idx="5">
                  <c:v>1.2241494318107036</c:v>
                </c:pt>
                <c:pt idx="6">
                  <c:v>1.3169231411340954</c:v>
                </c:pt>
                <c:pt idx="7">
                  <c:v>1.3745352319444106</c:v>
                </c:pt>
                <c:pt idx="8">
                  <c:v>1.4322909747485646</c:v>
                </c:pt>
                <c:pt idx="9">
                  <c:v>1.4900546175082237</c:v>
                </c:pt>
                <c:pt idx="10">
                  <c:v>1.5477897305779893</c:v>
                </c:pt>
                <c:pt idx="11">
                  <c:v>1.6055179388649543</c:v>
                </c:pt>
                <c:pt idx="12">
                  <c:v>1.6632923277743867</c:v>
                </c:pt>
                <c:pt idx="13">
                  <c:v>1.7211805014687211</c:v>
                </c:pt>
                <c:pt idx="14">
                  <c:v>1.7792539542278674</c:v>
                </c:pt>
                <c:pt idx="15">
                  <c:v>1.8375815390472032</c:v>
                </c:pt>
                <c:pt idx="16">
                  <c:v>1.8962255669690442</c:v>
                </c:pt>
                <c:pt idx="17">
                  <c:v>1.9552395698678313</c:v>
                </c:pt>
                <c:pt idx="18">
                  <c:v>2.0146670914325959</c:v>
                </c:pt>
                <c:pt idx="19">
                  <c:v>2.0745410914303815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GRK'!$B$58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GRK'!$F$61:$F$80</c:f>
              <c:numCache>
                <c:formatCode>_(* #,##0.00_);_(* \(#,##0.00\);_(* "-"??_);_(@_)</c:formatCode>
                <c:ptCount val="20"/>
                <c:pt idx="0">
                  <c:v>5.6231821616250004E-2</c:v>
                </c:pt>
                <c:pt idx="1">
                  <c:v>5.668267116749999E-2</c:v>
                </c:pt>
                <c:pt idx="2">
                  <c:v>5.7029136832499994E-2</c:v>
                </c:pt>
                <c:pt idx="3">
                  <c:v>5.7508858522500005E-2</c:v>
                </c:pt>
                <c:pt idx="4">
                  <c:v>5.7677649487499996E-2</c:v>
                </c:pt>
                <c:pt idx="5">
                  <c:v>5.7941940603749992E-2</c:v>
                </c:pt>
                <c:pt idx="6">
                  <c:v>5.8379442343162516E-2</c:v>
                </c:pt>
                <c:pt idx="7">
                  <c:v>5.8722732072899991E-2</c:v>
                </c:pt>
                <c:pt idx="8">
                  <c:v>5.9066021802637488E-2</c:v>
                </c:pt>
                <c:pt idx="9">
                  <c:v>5.9409311532375005E-2</c:v>
                </c:pt>
                <c:pt idx="10">
                  <c:v>5.9752601262112501E-2</c:v>
                </c:pt>
                <c:pt idx="11">
                  <c:v>6.009589099184999E-2</c:v>
                </c:pt>
                <c:pt idx="12">
                  <c:v>6.0439180721587486E-2</c:v>
                </c:pt>
                <c:pt idx="13">
                  <c:v>6.0782470451324996E-2</c:v>
                </c:pt>
                <c:pt idx="14">
                  <c:v>6.1125760181062506E-2</c:v>
                </c:pt>
                <c:pt idx="15">
                  <c:v>6.1469049910800003E-2</c:v>
                </c:pt>
                <c:pt idx="16">
                  <c:v>6.1812339640537506E-2</c:v>
                </c:pt>
                <c:pt idx="17">
                  <c:v>6.2155629370274995E-2</c:v>
                </c:pt>
                <c:pt idx="18">
                  <c:v>6.2498919100012498E-2</c:v>
                </c:pt>
                <c:pt idx="19">
                  <c:v>6.2842208829749988E-2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163344"/>
        <c:axId val="205164128"/>
        <c:axId val="0"/>
      </c:bar3DChart>
      <c:catAx>
        <c:axId val="2051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5164128"/>
        <c:crosses val="autoZero"/>
        <c:auto val="1"/>
        <c:lblAlgn val="ctr"/>
        <c:lblOffset val="100"/>
        <c:noMultiLvlLbl val="0"/>
      </c:catAx>
      <c:valAx>
        <c:axId val="205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5163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GRK'!$D$86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GRK'!$E$90:$E$109</c:f>
              <c:numCache>
                <c:formatCode>_(* #,##0.00_);_(* \(#,##0.00\);_(* "-"??_);_(@_)</c:formatCode>
                <c:ptCount val="20"/>
                <c:pt idx="0">
                  <c:v>0.27867371818000003</c:v>
                </c:pt>
                <c:pt idx="1">
                  <c:v>0.27078769080000004</c:v>
                </c:pt>
                <c:pt idx="2">
                  <c:v>0.26859011922285714</c:v>
                </c:pt>
                <c:pt idx="3">
                  <c:v>0.2768621745161905</c:v>
                </c:pt>
                <c:pt idx="4">
                  <c:v>0.27767477686666675</c:v>
                </c:pt>
                <c:pt idx="5">
                  <c:v>0.27894714107333335</c:v>
                </c:pt>
                <c:pt idx="6">
                  <c:v>0.28105338498149524</c:v>
                </c:pt>
                <c:pt idx="7">
                  <c:v>0.28270606847245722</c:v>
                </c:pt>
                <c:pt idx="8">
                  <c:v>0.28435875196341909</c:v>
                </c:pt>
                <c:pt idx="9">
                  <c:v>0.28601143545438101</c:v>
                </c:pt>
                <c:pt idx="10">
                  <c:v>0.28766411894534283</c:v>
                </c:pt>
                <c:pt idx="11">
                  <c:v>0.28931680243630481</c:v>
                </c:pt>
                <c:pt idx="12">
                  <c:v>0.29096948592726674</c:v>
                </c:pt>
                <c:pt idx="13">
                  <c:v>0.29262216941822849</c:v>
                </c:pt>
                <c:pt idx="14">
                  <c:v>0.29427485290919053</c:v>
                </c:pt>
                <c:pt idx="15">
                  <c:v>0.2959275364001524</c:v>
                </c:pt>
                <c:pt idx="16">
                  <c:v>0.29758021989111433</c:v>
                </c:pt>
                <c:pt idx="17">
                  <c:v>0.2992329033820762</c:v>
                </c:pt>
                <c:pt idx="18">
                  <c:v>0.30088558687303818</c:v>
                </c:pt>
                <c:pt idx="19">
                  <c:v>0.30253827036400005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GRK'!$B$86:$C$86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GRK'!$C$90:$C$109</c:f>
              <c:numCache>
                <c:formatCode>_(* #,##0.00_);_(* \(#,##0.00\);_(* "-"??_);_(@_)</c:formatCode>
                <c:ptCount val="20"/>
                <c:pt idx="0">
                  <c:v>0.55547530320240002</c:v>
                </c:pt>
                <c:pt idx="1">
                  <c:v>0.55992893433120006</c:v>
                </c:pt>
                <c:pt idx="2">
                  <c:v>0.56335142918879999</c:v>
                </c:pt>
                <c:pt idx="3">
                  <c:v>0.56809026822240005</c:v>
                </c:pt>
                <c:pt idx="4">
                  <c:v>0.56975763751200004</c:v>
                </c:pt>
                <c:pt idx="5">
                  <c:v>0.57236838679439983</c:v>
                </c:pt>
                <c:pt idx="6">
                  <c:v>0.57669016411490404</c:v>
                </c:pt>
                <c:pt idx="7">
                  <c:v>0.58008128610297616</c:v>
                </c:pt>
                <c:pt idx="8">
                  <c:v>0.58347240809104806</c:v>
                </c:pt>
                <c:pt idx="9">
                  <c:v>0.58686353007912007</c:v>
                </c:pt>
                <c:pt idx="10">
                  <c:v>0.59025465206719208</c:v>
                </c:pt>
                <c:pt idx="11">
                  <c:v>0.59364577405526409</c:v>
                </c:pt>
                <c:pt idx="12">
                  <c:v>0.5970368960433361</c:v>
                </c:pt>
                <c:pt idx="13">
                  <c:v>0.600428018031408</c:v>
                </c:pt>
                <c:pt idx="14">
                  <c:v>0.60381914001948001</c:v>
                </c:pt>
                <c:pt idx="15">
                  <c:v>0.60721026200755202</c:v>
                </c:pt>
                <c:pt idx="16">
                  <c:v>0.61060138399562414</c:v>
                </c:pt>
                <c:pt idx="17">
                  <c:v>0.61399250598369592</c:v>
                </c:pt>
                <c:pt idx="18">
                  <c:v>0.61738362797176816</c:v>
                </c:pt>
                <c:pt idx="19">
                  <c:v>0.62077474995984017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165304"/>
        <c:axId val="205165696"/>
        <c:axId val="0"/>
      </c:bar3DChart>
      <c:catAx>
        <c:axId val="20516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5696"/>
        <c:crosses val="autoZero"/>
        <c:auto val="1"/>
        <c:lblAlgn val="ctr"/>
        <c:lblOffset val="100"/>
        <c:noMultiLvlLbl val="0"/>
      </c:catAx>
      <c:valAx>
        <c:axId val="2051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5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2011 - 2030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GRK'!$A$86:$A$89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_-* #,##0_-;\-* #,##0_-;_-* "-"??_-;_-@_-</c:formatCode>
                <c:ptCount val="20"/>
                <c:pt idx="0">
                  <c:v>834.14902138240006</c:v>
                </c:pt>
                <c:pt idx="1">
                  <c:v>830.7166251312002</c:v>
                </c:pt>
                <c:pt idx="2">
                  <c:v>831.9415484116571</c:v>
                </c:pt>
                <c:pt idx="3">
                  <c:v>844.95244273859055</c:v>
                </c:pt>
                <c:pt idx="4">
                  <c:v>847.43241437866675</c:v>
                </c:pt>
                <c:pt idx="5">
                  <c:v>851.31552786773318</c:v>
                </c:pt>
                <c:pt idx="6">
                  <c:v>857.74354909639931</c:v>
                </c:pt>
                <c:pt idx="7">
                  <c:v>862.78735457543348</c:v>
                </c:pt>
                <c:pt idx="8">
                  <c:v>867.83116005446709</c:v>
                </c:pt>
                <c:pt idx="9">
                  <c:v>872.87496553350104</c:v>
                </c:pt>
                <c:pt idx="10">
                  <c:v>877.91877101253488</c:v>
                </c:pt>
                <c:pt idx="11">
                  <c:v>882.96257649156894</c:v>
                </c:pt>
                <c:pt idx="12">
                  <c:v>888.00638197060277</c:v>
                </c:pt>
                <c:pt idx="13">
                  <c:v>893.0501874496365</c:v>
                </c:pt>
                <c:pt idx="14">
                  <c:v>898.09399292867056</c:v>
                </c:pt>
                <c:pt idx="15">
                  <c:v>903.13779840770451</c:v>
                </c:pt>
                <c:pt idx="16">
                  <c:v>908.18160388673857</c:v>
                </c:pt>
                <c:pt idx="17">
                  <c:v>913.22540936577207</c:v>
                </c:pt>
                <c:pt idx="18">
                  <c:v>918.26921484480636</c:v>
                </c:pt>
                <c:pt idx="19">
                  <c:v>923.31302032384019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66872"/>
        <c:axId val="205167264"/>
      </c:lineChart>
      <c:catAx>
        <c:axId val="20516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7264"/>
        <c:crosses val="autoZero"/>
        <c:auto val="1"/>
        <c:lblAlgn val="ctr"/>
        <c:lblOffset val="100"/>
        <c:noMultiLvlLbl val="0"/>
      </c:catAx>
      <c:valAx>
        <c:axId val="2051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2011 - 2030 Limbah Padat Domestik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'Rekapitulasi BaU Emisi GRK'!$I$59:$J$59</c:f>
              <c:strCache>
                <c:ptCount val="1"/>
                <c:pt idx="0">
                  <c:v>Limbah Padat Domestik (ton CO2-eq)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GRK'!$H$61:$H$80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_-* #,##0_-;\-* #,##0_-;_-* "-"??_-;_-@_-</c:formatCode>
                <c:ptCount val="20"/>
                <c:pt idx="0">
                  <c:v>67.726774211250003</c:v>
                </c:pt>
                <c:pt idx="1">
                  <c:v>788.07082787008153</c:v>
                </c:pt>
                <c:pt idx="2">
                  <c:v>1303.5029416620382</c:v>
                </c:pt>
                <c:pt idx="3">
                  <c:v>1677.4034793023307</c:v>
                </c:pt>
                <c:pt idx="4">
                  <c:v>1954.9524396479485</c:v>
                </c:pt>
                <c:pt idx="5">
                  <c:v>2162.0325132083535</c:v>
                </c:pt>
                <c:pt idx="6">
                  <c:v>2321.4630734126704</c:v>
                </c:pt>
                <c:pt idx="7">
                  <c:v>2408.4310787581576</c:v>
                </c:pt>
                <c:pt idx="8">
                  <c:v>2483.9946551975963</c:v>
                </c:pt>
                <c:pt idx="9">
                  <c:v>2551.0602059909429</c:v>
                </c:pt>
                <c:pt idx="10">
                  <c:v>2611.7155202506765</c:v>
                </c:pt>
                <c:pt idx="11">
                  <c:v>2667.4770150977138</c:v>
                </c:pt>
                <c:pt idx="12">
                  <c:v>2719.458455378377</c:v>
                </c:pt>
                <c:pt idx="13">
                  <c:v>2768.4865481673137</c:v>
                </c:pt>
                <c:pt idx="14">
                  <c:v>2815.1805094035476</c:v>
                </c:pt>
                <c:pt idx="15">
                  <c:v>2860.0071248425515</c:v>
                </c:pt>
                <c:pt idx="16">
                  <c:v>2903.3190805643326</c:v>
                </c:pt>
                <c:pt idx="17">
                  <c:v>2945.3818183388926</c:v>
                </c:pt>
                <c:pt idx="18">
                  <c:v>2986.3924749702878</c:v>
                </c:pt>
                <c:pt idx="19">
                  <c:v>3026.4861373402755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010216"/>
        <c:axId val="298010608"/>
      </c:lineChart>
      <c:catAx>
        <c:axId val="29801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0608"/>
        <c:crosses val="autoZero"/>
        <c:auto val="1"/>
        <c:lblAlgn val="ctr"/>
        <c:lblOffset val="100"/>
        <c:noMultiLvlLbl val="0"/>
      </c:catAx>
      <c:valAx>
        <c:axId val="2980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Limbah Padat Domestik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_-* #,##0_-;\-* #,##0_-;_-* "-"??_-;_-@_-</c:formatCode>
                <c:ptCount val="20"/>
                <c:pt idx="0">
                  <c:v>67.726774211250003</c:v>
                </c:pt>
                <c:pt idx="1">
                  <c:v>788.07082787008153</c:v>
                </c:pt>
                <c:pt idx="2">
                  <c:v>1303.5029416620382</c:v>
                </c:pt>
                <c:pt idx="3">
                  <c:v>1677.4034793023307</c:v>
                </c:pt>
                <c:pt idx="4">
                  <c:v>1954.9524396479485</c:v>
                </c:pt>
                <c:pt idx="5">
                  <c:v>2162.0325132083535</c:v>
                </c:pt>
                <c:pt idx="6">
                  <c:v>2321.4630734126704</c:v>
                </c:pt>
                <c:pt idx="7">
                  <c:v>2408.4310787581576</c:v>
                </c:pt>
                <c:pt idx="8">
                  <c:v>2483.9946551975963</c:v>
                </c:pt>
                <c:pt idx="9">
                  <c:v>2551.0602059909429</c:v>
                </c:pt>
                <c:pt idx="10">
                  <c:v>2611.7155202506765</c:v>
                </c:pt>
                <c:pt idx="11">
                  <c:v>2667.4770150977138</c:v>
                </c:pt>
                <c:pt idx="12">
                  <c:v>2719.458455378377</c:v>
                </c:pt>
                <c:pt idx="13">
                  <c:v>2768.4865481673137</c:v>
                </c:pt>
                <c:pt idx="14">
                  <c:v>2815.1805094035476</c:v>
                </c:pt>
                <c:pt idx="15">
                  <c:v>2860.0071248425515</c:v>
                </c:pt>
                <c:pt idx="16">
                  <c:v>2903.3190805643326</c:v>
                </c:pt>
                <c:pt idx="17">
                  <c:v>2945.3818183388926</c:v>
                </c:pt>
                <c:pt idx="18">
                  <c:v>2986.3924749702878</c:v>
                </c:pt>
                <c:pt idx="19">
                  <c:v>3026.4861373402755</c:v>
                </c:pt>
              </c:numCache>
            </c:numRef>
          </c:val>
        </c:ser>
        <c:ser>
          <c:idx val="1"/>
          <c:order val="1"/>
          <c:tx>
            <c:v>Limbah Cair Domestik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_-* #,##0_-;\-* #,##0_-;_-* "-"??_-;_-@_-</c:formatCode>
                <c:ptCount val="20"/>
                <c:pt idx="0">
                  <c:v>834.14902138240006</c:v>
                </c:pt>
                <c:pt idx="1">
                  <c:v>830.7166251312002</c:v>
                </c:pt>
                <c:pt idx="2">
                  <c:v>831.9415484116571</c:v>
                </c:pt>
                <c:pt idx="3">
                  <c:v>844.95244273859055</c:v>
                </c:pt>
                <c:pt idx="4">
                  <c:v>847.43241437866675</c:v>
                </c:pt>
                <c:pt idx="5">
                  <c:v>851.31552786773318</c:v>
                </c:pt>
                <c:pt idx="6">
                  <c:v>857.74354909639931</c:v>
                </c:pt>
                <c:pt idx="7">
                  <c:v>862.78735457543348</c:v>
                </c:pt>
                <c:pt idx="8">
                  <c:v>867.83116005446709</c:v>
                </c:pt>
                <c:pt idx="9">
                  <c:v>872.87496553350104</c:v>
                </c:pt>
                <c:pt idx="10">
                  <c:v>877.91877101253488</c:v>
                </c:pt>
                <c:pt idx="11">
                  <c:v>882.96257649156894</c:v>
                </c:pt>
                <c:pt idx="12">
                  <c:v>888.00638197060277</c:v>
                </c:pt>
                <c:pt idx="13">
                  <c:v>893.0501874496365</c:v>
                </c:pt>
                <c:pt idx="14">
                  <c:v>898.09399292867056</c:v>
                </c:pt>
                <c:pt idx="15">
                  <c:v>903.13779840770451</c:v>
                </c:pt>
                <c:pt idx="16">
                  <c:v>908.18160388673857</c:v>
                </c:pt>
                <c:pt idx="17">
                  <c:v>913.22540936577207</c:v>
                </c:pt>
                <c:pt idx="18">
                  <c:v>918.26921484480636</c:v>
                </c:pt>
                <c:pt idx="19">
                  <c:v>923.31302032384019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8011392"/>
        <c:axId val="298011784"/>
        <c:axId val="0"/>
      </c:bar3DChart>
      <c:catAx>
        <c:axId val="2980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1784"/>
        <c:crosses val="autoZero"/>
        <c:auto val="1"/>
        <c:lblAlgn val="ctr"/>
        <c:lblOffset val="100"/>
        <c:noMultiLvlLbl val="0"/>
      </c:catAx>
      <c:valAx>
        <c:axId val="2980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 BAU Emisi Industri Sawitt'!$B$5:$B$24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BAU Emisi Industri Sawitt'!$D$5:$D$24</c:f>
              <c:numCache>
                <c:formatCode>_-* #,##0_-;\-* #,##0_-;_-* "-"??_-;_-@_-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11869.300485000002</c:v>
                </c:pt>
                <c:pt idx="7">
                  <c:v>24228.973440000002</c:v>
                </c:pt>
                <c:pt idx="8">
                  <c:v>37079.018865000005</c:v>
                </c:pt>
                <c:pt idx="9">
                  <c:v>50419.43675999999</c:v>
                </c:pt>
                <c:pt idx="10">
                  <c:v>75333.971019999997</c:v>
                </c:pt>
                <c:pt idx="11">
                  <c:v>101161.84612799999</c:v>
                </c:pt>
                <c:pt idx="12">
                  <c:v>127903.06208399998</c:v>
                </c:pt>
                <c:pt idx="13">
                  <c:v>155557.61888799997</c:v>
                </c:pt>
                <c:pt idx="14">
                  <c:v>184125.51653999995</c:v>
                </c:pt>
                <c:pt idx="15">
                  <c:v>213606.75503999996</c:v>
                </c:pt>
                <c:pt idx="16">
                  <c:v>244001.33438799999</c:v>
                </c:pt>
                <c:pt idx="17">
                  <c:v>275309.25458399998</c:v>
                </c:pt>
                <c:pt idx="18">
                  <c:v>307530.51562799996</c:v>
                </c:pt>
                <c:pt idx="19">
                  <c:v>312621.29438399995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012960"/>
        <c:axId val="298013352"/>
      </c:lineChart>
      <c:catAx>
        <c:axId val="29801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3352"/>
        <c:crosses val="autoZero"/>
        <c:auto val="1"/>
        <c:lblAlgn val="ctr"/>
        <c:lblOffset val="100"/>
        <c:noMultiLvlLbl val="0"/>
      </c:catAx>
      <c:valAx>
        <c:axId val="29801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 BAU_Gabung'!$A$6</c:f>
              <c:strCache>
                <c:ptCount val="1"/>
                <c:pt idx="0">
                  <c:v>Total Emisi Limbah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 BAU_Gabung'!$B$2:$U$2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BAU_Gabung'!$B$6:$U$6</c:f>
              <c:numCache>
                <c:formatCode>_-* #,##0_-;\-* #,##0_-;_-* "-"??_-;_-@_-</c:formatCode>
                <c:ptCount val="20"/>
                <c:pt idx="0">
                  <c:v>901.87579559365008</c:v>
                </c:pt>
                <c:pt idx="1">
                  <c:v>1618.7874530012818</c:v>
                </c:pt>
                <c:pt idx="2">
                  <c:v>2135.4444900736953</c:v>
                </c:pt>
                <c:pt idx="3">
                  <c:v>2522.3559220409211</c:v>
                </c:pt>
                <c:pt idx="4">
                  <c:v>2802.3848540266154</c:v>
                </c:pt>
                <c:pt idx="5">
                  <c:v>3013.3480410760867</c:v>
                </c:pt>
                <c:pt idx="6">
                  <c:v>15048.507107509071</c:v>
                </c:pt>
                <c:pt idx="7">
                  <c:v>27500.191873333592</c:v>
                </c:pt>
                <c:pt idx="8">
                  <c:v>40430.84468025207</c:v>
                </c:pt>
                <c:pt idx="9">
                  <c:v>53843.371931524431</c:v>
                </c:pt>
                <c:pt idx="10">
                  <c:v>78823.605311263207</c:v>
                </c:pt>
                <c:pt idx="11">
                  <c:v>104712.28571958927</c:v>
                </c:pt>
                <c:pt idx="12">
                  <c:v>131510.52692134897</c:v>
                </c:pt>
                <c:pt idx="13">
                  <c:v>159219.15562361691</c:v>
                </c:pt>
                <c:pt idx="14">
                  <c:v>187838.79104233216</c:v>
                </c:pt>
                <c:pt idx="15">
                  <c:v>217369.89996325021</c:v>
                </c:pt>
                <c:pt idx="16">
                  <c:v>247812.83507245107</c:v>
                </c:pt>
                <c:pt idx="17">
                  <c:v>279167.86181170464</c:v>
                </c:pt>
                <c:pt idx="18">
                  <c:v>311435.17731781508</c:v>
                </c:pt>
                <c:pt idx="19">
                  <c:v>316571.09354166407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014136"/>
        <c:axId val="298014528"/>
      </c:lineChart>
      <c:catAx>
        <c:axId val="29801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4528"/>
        <c:crosses val="autoZero"/>
        <c:auto val="1"/>
        <c:lblAlgn val="ctr"/>
        <c:lblOffset val="100"/>
        <c:noMultiLvlLbl val="0"/>
      </c:catAx>
      <c:valAx>
        <c:axId val="2980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'Rekap BAU_Gabung'!$A$3</c:f>
              <c:strCache>
                <c:ptCount val="1"/>
                <c:pt idx="0">
                  <c:v>Limbah Padat Domestik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'Rekap BAU_Gabung'!$B$2:$U$2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BAU_Gabung'!$B$3:$U$3</c:f>
              <c:numCache>
                <c:formatCode>_-* #,##0_-;\-* #,##0_-;_-* "-"??_-;_-@_-</c:formatCode>
                <c:ptCount val="20"/>
                <c:pt idx="0">
                  <c:v>67.726774211250003</c:v>
                </c:pt>
                <c:pt idx="1">
                  <c:v>788.07082787008153</c:v>
                </c:pt>
                <c:pt idx="2">
                  <c:v>1303.5029416620382</c:v>
                </c:pt>
                <c:pt idx="3">
                  <c:v>1677.4034793023307</c:v>
                </c:pt>
                <c:pt idx="4">
                  <c:v>1954.9524396479485</c:v>
                </c:pt>
                <c:pt idx="5">
                  <c:v>2162.0325132083535</c:v>
                </c:pt>
                <c:pt idx="6">
                  <c:v>2321.4630734126704</c:v>
                </c:pt>
                <c:pt idx="7">
                  <c:v>2408.4310787581576</c:v>
                </c:pt>
                <c:pt idx="8">
                  <c:v>2483.9946551975963</c:v>
                </c:pt>
                <c:pt idx="9">
                  <c:v>2551.0602059909429</c:v>
                </c:pt>
                <c:pt idx="10">
                  <c:v>2611.7155202506765</c:v>
                </c:pt>
                <c:pt idx="11">
                  <c:v>2667.4770150977138</c:v>
                </c:pt>
                <c:pt idx="12">
                  <c:v>2719.458455378377</c:v>
                </c:pt>
                <c:pt idx="13">
                  <c:v>2768.4865481673137</c:v>
                </c:pt>
                <c:pt idx="14">
                  <c:v>2815.1805094035476</c:v>
                </c:pt>
                <c:pt idx="15">
                  <c:v>2860.0071248425515</c:v>
                </c:pt>
                <c:pt idx="16">
                  <c:v>2903.3190805643326</c:v>
                </c:pt>
                <c:pt idx="17">
                  <c:v>2945.3818183388926</c:v>
                </c:pt>
                <c:pt idx="18">
                  <c:v>2986.3924749702878</c:v>
                </c:pt>
                <c:pt idx="19">
                  <c:v>3026.4861373402755</c:v>
                </c:pt>
              </c:numCache>
            </c:numRef>
          </c:val>
        </c:ser>
        <c:ser>
          <c:idx val="1"/>
          <c:order val="1"/>
          <c:tx>
            <c:strRef>
              <c:f>'Rekap BAU_Gabung'!$A$4</c:f>
              <c:strCache>
                <c:ptCount val="1"/>
                <c:pt idx="0">
                  <c:v>Limbah Cair Domestik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'Rekap BAU_Gabung'!$B$2:$U$2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BAU_Gabung'!$B$4:$U$4</c:f>
              <c:numCache>
                <c:formatCode>_-* #,##0_-;\-* #,##0_-;_-* "-"??_-;_-@_-</c:formatCode>
                <c:ptCount val="20"/>
                <c:pt idx="0">
                  <c:v>834.14902138240006</c:v>
                </c:pt>
                <c:pt idx="1">
                  <c:v>830.7166251312002</c:v>
                </c:pt>
                <c:pt idx="2">
                  <c:v>831.9415484116571</c:v>
                </c:pt>
                <c:pt idx="3">
                  <c:v>844.95244273859055</c:v>
                </c:pt>
                <c:pt idx="4">
                  <c:v>847.43241437866675</c:v>
                </c:pt>
                <c:pt idx="5">
                  <c:v>851.31552786773318</c:v>
                </c:pt>
                <c:pt idx="6">
                  <c:v>857.74354909639931</c:v>
                </c:pt>
                <c:pt idx="7">
                  <c:v>862.78735457543348</c:v>
                </c:pt>
                <c:pt idx="8">
                  <c:v>867.83116005446709</c:v>
                </c:pt>
                <c:pt idx="9">
                  <c:v>872.87496553350104</c:v>
                </c:pt>
                <c:pt idx="10">
                  <c:v>877.91877101253488</c:v>
                </c:pt>
                <c:pt idx="11">
                  <c:v>882.96257649156894</c:v>
                </c:pt>
                <c:pt idx="12">
                  <c:v>888.00638197060277</c:v>
                </c:pt>
                <c:pt idx="13">
                  <c:v>893.0501874496365</c:v>
                </c:pt>
                <c:pt idx="14">
                  <c:v>898.09399292867056</c:v>
                </c:pt>
                <c:pt idx="15">
                  <c:v>903.13779840770451</c:v>
                </c:pt>
                <c:pt idx="16">
                  <c:v>908.18160388673857</c:v>
                </c:pt>
                <c:pt idx="17">
                  <c:v>913.22540936577207</c:v>
                </c:pt>
                <c:pt idx="18">
                  <c:v>918.26921484480636</c:v>
                </c:pt>
                <c:pt idx="19">
                  <c:v>923.31302032384019</c:v>
                </c:pt>
              </c:numCache>
            </c:numRef>
          </c:val>
        </c:ser>
        <c:ser>
          <c:idx val="2"/>
          <c:order val="2"/>
          <c:tx>
            <c:strRef>
              <c:f>'Rekap BAU_Gabung'!$A$5</c:f>
              <c:strCache>
                <c:ptCount val="1"/>
                <c:pt idx="0">
                  <c:v>Limbah Cair Industri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'Rekap BAU_Gabung'!$B$2:$U$2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BAU_Gabung'!$B$5:$U$5</c:f>
              <c:numCache>
                <c:formatCode>_-* #,##0_-;\-* #,##0_-;_-* "-"??_-;_-@_-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11869.300485000002</c:v>
                </c:pt>
                <c:pt idx="7">
                  <c:v>24228.973440000002</c:v>
                </c:pt>
                <c:pt idx="8">
                  <c:v>37079.018865000005</c:v>
                </c:pt>
                <c:pt idx="9">
                  <c:v>50419.43675999999</c:v>
                </c:pt>
                <c:pt idx="10">
                  <c:v>75333.971019999997</c:v>
                </c:pt>
                <c:pt idx="11">
                  <c:v>101161.84612799999</c:v>
                </c:pt>
                <c:pt idx="12">
                  <c:v>127903.06208399998</c:v>
                </c:pt>
                <c:pt idx="13">
                  <c:v>155557.61888799997</c:v>
                </c:pt>
                <c:pt idx="14">
                  <c:v>184125.51653999995</c:v>
                </c:pt>
                <c:pt idx="15">
                  <c:v>213606.75503999996</c:v>
                </c:pt>
                <c:pt idx="16">
                  <c:v>244001.33438799999</c:v>
                </c:pt>
                <c:pt idx="17">
                  <c:v>275309.25458399998</c:v>
                </c:pt>
                <c:pt idx="18">
                  <c:v>307530.51562799996</c:v>
                </c:pt>
                <c:pt idx="19">
                  <c:v>312621.29438399995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29</xdr:row>
      <xdr:rowOff>118580</xdr:rowOff>
    </xdr:from>
    <xdr:to>
      <xdr:col>23</xdr:col>
      <xdr:colOff>204107</xdr:colOff>
      <xdr:row>53</xdr:row>
      <xdr:rowOff>27213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84</xdr:row>
      <xdr:rowOff>134472</xdr:rowOff>
    </xdr:from>
    <xdr:to>
      <xdr:col>18</xdr:col>
      <xdr:colOff>129378</xdr:colOff>
      <xdr:row>97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98</xdr:row>
      <xdr:rowOff>112779</xdr:rowOff>
    </xdr:from>
    <xdr:to>
      <xdr:col>18</xdr:col>
      <xdr:colOff>212912</xdr:colOff>
      <xdr:row>115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112055</xdr:colOff>
      <xdr:row>57</xdr:row>
      <xdr:rowOff>169209</xdr:rowOff>
    </xdr:from>
    <xdr:to>
      <xdr:col>17</xdr:col>
      <xdr:colOff>299357</xdr:colOff>
      <xdr:row>71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136070</xdr:colOff>
      <xdr:row>111</xdr:row>
      <xdr:rowOff>36737</xdr:rowOff>
    </xdr:from>
    <xdr:to>
      <xdr:col>6</xdr:col>
      <xdr:colOff>353786</xdr:colOff>
      <xdr:row>127</xdr:row>
      <xdr:rowOff>136070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1</xdr:row>
      <xdr:rowOff>138112</xdr:rowOff>
    </xdr:from>
    <xdr:to>
      <xdr:col>13</xdr:col>
      <xdr:colOff>447675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268940</xdr:colOff>
      <xdr:row>22</xdr:row>
      <xdr:rowOff>23532</xdr:rowOff>
    </xdr:from>
    <xdr:to>
      <xdr:col>17</xdr:col>
      <xdr:colOff>515470</xdr:colOff>
      <xdr:row>36</xdr:row>
      <xdr:rowOff>99732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246529</xdr:colOff>
      <xdr:row>7</xdr:row>
      <xdr:rowOff>34738</xdr:rowOff>
    </xdr:from>
    <xdr:to>
      <xdr:col>17</xdr:col>
      <xdr:colOff>672353</xdr:colOff>
      <xdr:row>21</xdr:row>
      <xdr:rowOff>110938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HULU_IPCC%204A-TPA%20-%201_Diangkut%20TPA_Mitig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AHULU_IPCC%204A-TPA%20-%203_Dibuang%20Sembarangan_Mitigas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AHULU_IPCC%204A-TPA%20-%202_Open%20Dumping_Mitigas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AHULU_IPCC%204A-TPA%20-%204_Buang%20ke%20sungai_Mitigas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AHULU_IPCC%204A-TPA%20-%205_Air%20Limbah_Mitigas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AHULU_Palm%20Oil%20Wastewater%20Industry_Mitig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4">
          <cell r="L14">
            <v>25319</v>
          </cell>
        </row>
        <row r="15">
          <cell r="L15">
            <v>25522</v>
          </cell>
        </row>
        <row r="16">
          <cell r="L16">
            <v>25678</v>
          </cell>
        </row>
        <row r="17">
          <cell r="L17">
            <v>25894</v>
          </cell>
        </row>
        <row r="18">
          <cell r="L18">
            <v>25970</v>
          </cell>
        </row>
        <row r="19">
          <cell r="L19">
            <v>26089</v>
          </cell>
        </row>
        <row r="20">
          <cell r="L20">
            <v>26285.99</v>
          </cell>
        </row>
        <row r="21">
          <cell r="L21">
            <v>26440.560000000001</v>
          </cell>
        </row>
        <row r="22">
          <cell r="L22">
            <v>26595.13</v>
          </cell>
        </row>
        <row r="23">
          <cell r="L23">
            <v>26749.7</v>
          </cell>
        </row>
        <row r="24">
          <cell r="L24">
            <v>26904.27</v>
          </cell>
        </row>
        <row r="25">
          <cell r="L25">
            <v>27058.84</v>
          </cell>
        </row>
        <row r="26">
          <cell r="L26">
            <v>27213.41</v>
          </cell>
        </row>
        <row r="27">
          <cell r="L27">
            <v>27367.98</v>
          </cell>
        </row>
        <row r="28">
          <cell r="L28">
            <v>27522.55</v>
          </cell>
        </row>
        <row r="29">
          <cell r="L29">
            <v>27677.119999999999</v>
          </cell>
        </row>
        <row r="30">
          <cell r="L30">
            <v>27831.69</v>
          </cell>
        </row>
        <row r="31">
          <cell r="L31">
            <v>27986.26</v>
          </cell>
        </row>
        <row r="32">
          <cell r="L32">
            <v>28140.83</v>
          </cell>
        </row>
        <row r="33">
          <cell r="L33">
            <v>28295.4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2.0054639396671885E-2</v>
          </cell>
        </row>
        <row r="30">
          <cell r="O30">
            <v>3.4403655272623422E-2</v>
          </cell>
        </row>
        <row r="31">
          <cell r="O31">
            <v>4.4804936626583435E-2</v>
          </cell>
        </row>
        <row r="32">
          <cell r="O32">
            <v>5.253216537770463E-2</v>
          </cell>
        </row>
        <row r="33">
          <cell r="O33">
            <v>5.8292830086223983E-2</v>
          </cell>
        </row>
        <row r="34">
          <cell r="O34">
            <v>6.2710625768290257E-2</v>
          </cell>
        </row>
        <row r="35">
          <cell r="O35">
            <v>6.5454058664019557E-2</v>
          </cell>
        </row>
        <row r="36">
          <cell r="O36">
            <v>6.8204332130884032E-2</v>
          </cell>
        </row>
        <row r="37">
          <cell r="O37">
            <v>7.0954981786105889E-2</v>
          </cell>
        </row>
        <row r="38">
          <cell r="O38">
            <v>7.3704272884666161E-2</v>
          </cell>
        </row>
        <row r="39">
          <cell r="O39">
            <v>7.645323518404544E-2</v>
          </cell>
        </row>
        <row r="40">
          <cell r="O40">
            <v>7.9204396560685078E-2</v>
          </cell>
        </row>
        <row r="41">
          <cell r="O41">
            <v>8.1960976260415291E-2</v>
          </cell>
        </row>
        <row r="42">
          <cell r="O42">
            <v>8.4726378772755587E-2</v>
          </cell>
        </row>
        <row r="43">
          <cell r="O43">
            <v>8.7503882811771586E-2</v>
          </cell>
        </row>
        <row r="44">
          <cell r="O44">
            <v>9.0296455569954484E-2</v>
          </cell>
        </row>
        <row r="45">
          <cell r="O45">
            <v>9.3106646184182448E-2</v>
          </cell>
        </row>
        <row r="46">
          <cell r="O46">
            <v>9.5936528163456949E-2</v>
          </cell>
        </row>
        <row r="47">
          <cell r="O47">
            <v>9.878767102049435E-2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1.4221600655355809E-2</v>
          </cell>
        </row>
        <row r="30">
          <cell r="O30">
            <v>2.4397100176878413E-2</v>
          </cell>
        </row>
        <row r="31">
          <cell r="O31">
            <v>3.177309267388468E-2</v>
          </cell>
        </row>
        <row r="32">
          <cell r="O32">
            <v>3.725280035136435E-2</v>
          </cell>
        </row>
        <row r="33">
          <cell r="O33">
            <v>4.133793354042381E-2</v>
          </cell>
        </row>
        <row r="34">
          <cell r="O34">
            <v>4.4470780994052335E-2</v>
          </cell>
        </row>
        <row r="35">
          <cell r="O35">
            <v>4.6622546467296848E-2</v>
          </cell>
        </row>
        <row r="36">
          <cell r="O36">
            <v>4.8055203346761277E-2</v>
          </cell>
        </row>
        <row r="37">
          <cell r="O37">
            <v>4.8972800913634568E-2</v>
          </cell>
        </row>
        <row r="38">
          <cell r="O38">
            <v>4.9516941296685664E-2</v>
          </cell>
        </row>
        <row r="39">
          <cell r="O39">
            <v>4.9786682467272261E-2</v>
          </cell>
        </row>
        <row r="40">
          <cell r="O40">
            <v>4.9851981234282416E-2</v>
          </cell>
        </row>
        <row r="41">
          <cell r="O41">
            <v>4.9762790457520009E-2</v>
          </cell>
        </row>
        <row r="42">
          <cell r="O42">
            <v>4.9555230082846284E-2</v>
          </cell>
        </row>
        <row r="43">
          <cell r="O43">
            <v>4.9255785614344384E-2</v>
          </cell>
        </row>
        <row r="44">
          <cell r="O44">
            <v>4.8884174962377201E-2</v>
          </cell>
        </row>
        <row r="45">
          <cell r="O45">
            <v>4.8455314747064597E-2</v>
          </cell>
        </row>
        <row r="46">
          <cell r="O46">
            <v>4.7980676239193817E-2</v>
          </cell>
        </row>
        <row r="47">
          <cell r="O47">
            <v>4.7469226484580331E-2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7.9040448716069522E-4</v>
          </cell>
        </row>
        <row r="36">
          <cell r="O36">
            <v>1.4122852274277432E-3</v>
          </cell>
        </row>
        <row r="37">
          <cell r="O37">
            <v>1.9248491078149323E-3</v>
          </cell>
        </row>
        <row r="38">
          <cell r="O38">
            <v>2.3685678396740367E-3</v>
          </cell>
        </row>
        <row r="39">
          <cell r="O39">
            <v>2.771342405099078E-3</v>
          </cell>
        </row>
        <row r="40">
          <cell r="O40">
            <v>3.1526454194550132E-3</v>
          </cell>
        </row>
        <row r="41">
          <cell r="O41">
            <v>3.5263071191494197E-3</v>
          </cell>
        </row>
        <row r="42">
          <cell r="O42">
            <v>3.9023914084968555E-3</v>
          </cell>
        </row>
        <row r="43">
          <cell r="O43">
            <v>4.2884613882765996E-3</v>
          </cell>
        </row>
        <row r="44">
          <cell r="O44">
            <v>4.6904352218191375E-3</v>
          </cell>
        </row>
        <row r="45">
          <cell r="O45">
            <v>5.1131671047880654E-3</v>
          </cell>
        </row>
        <row r="46">
          <cell r="O46">
            <v>5.5608437884251335E-3</v>
          </cell>
        </row>
        <row r="47">
          <cell r="O47">
            <v>6.0372573874306213E-3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REKAPITULASI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</sheetNames>
    <sheetDataSet>
      <sheetData sheetId="0"/>
      <sheetData sheetId="1"/>
      <sheetData sheetId="2"/>
      <sheetData sheetId="3">
        <row r="6">
          <cell r="B6">
            <v>2.5977293999999995E-4</v>
          </cell>
          <cell r="D6">
            <v>1.9482970499999996E-5</v>
          </cell>
        </row>
        <row r="7">
          <cell r="B7">
            <v>2.6185572000000002E-4</v>
          </cell>
          <cell r="D7">
            <v>1.9639178999999999E-5</v>
          </cell>
        </row>
        <row r="8">
          <cell r="B8">
            <v>2.6345627999999993E-4</v>
          </cell>
          <cell r="D8">
            <v>1.9759220999999993E-5</v>
          </cell>
        </row>
        <row r="9">
          <cell r="B9">
            <v>2.6567244000000003E-4</v>
          </cell>
          <cell r="D9">
            <v>1.9925433000000001E-5</v>
          </cell>
        </row>
        <row r="10">
          <cell r="B10">
            <v>2.6645220000000004E-4</v>
          </cell>
          <cell r="D10">
            <v>1.9983915000000001E-5</v>
          </cell>
        </row>
        <row r="11">
          <cell r="B11">
            <v>2.6767313999999999E-4</v>
          </cell>
          <cell r="D11">
            <v>2.0075485499999998E-5</v>
          </cell>
        </row>
        <row r="12">
          <cell r="B12">
            <v>2.7738054373589998E-4</v>
          </cell>
          <cell r="D12">
            <v>2.0803540780192501E-5</v>
          </cell>
        </row>
        <row r="13">
          <cell r="B13">
            <v>2.8696346119746357E-4</v>
          </cell>
          <cell r="D13">
            <v>2.152225958980977E-5</v>
          </cell>
        </row>
        <row r="14">
          <cell r="B14">
            <v>2.9686730260768677E-4</v>
          </cell>
          <cell r="D14">
            <v>2.226504769557651E-5</v>
          </cell>
        </row>
        <row r="15">
          <cell r="B15">
            <v>3.0710257690693516E-4</v>
          </cell>
          <cell r="D15">
            <v>2.3032693268020138E-5</v>
          </cell>
        </row>
        <row r="16">
          <cell r="B16">
            <v>3.1768013137469751E-4</v>
          </cell>
          <cell r="D16">
            <v>2.3826009853102314E-5</v>
          </cell>
        </row>
        <row r="17">
          <cell r="B17">
            <v>3.2861116237902968E-4</v>
          </cell>
          <cell r="D17">
            <v>2.4645837178427228E-5</v>
          </cell>
        </row>
        <row r="18">
          <cell r="B18">
            <v>3.3990722646389974E-4</v>
          </cell>
          <cell r="D18">
            <v>2.5493041984792482E-5</v>
          </cell>
        </row>
        <row r="19">
          <cell r="B19">
            <v>3.5158025178496494E-4</v>
          </cell>
          <cell r="D19">
            <v>2.6368518883872368E-5</v>
          </cell>
        </row>
        <row r="20">
          <cell r="B20">
            <v>3.6364254990463557E-4</v>
          </cell>
          <cell r="D20">
            <v>2.7273191242847667E-5</v>
          </cell>
        </row>
        <row r="21">
          <cell r="B21">
            <v>3.7610682795761519E-4</v>
          </cell>
          <cell r="D21">
            <v>2.8208012096821139E-5</v>
          </cell>
        </row>
        <row r="22">
          <cell r="B22">
            <v>3.8898620119845451E-4</v>
          </cell>
          <cell r="D22">
            <v>2.9173965089884087E-5</v>
          </cell>
        </row>
        <row r="23">
          <cell r="B23">
            <v>4.0229420594301306E-4</v>
          </cell>
          <cell r="D23">
            <v>3.0172065445725979E-5</v>
          </cell>
        </row>
        <row r="24">
          <cell r="B24">
            <v>4.1604481291608814E-4</v>
          </cell>
          <cell r="D24">
            <v>3.1203360968706605E-5</v>
          </cell>
        </row>
        <row r="25">
          <cell r="B25">
            <v>4.3009008000000006E-4</v>
          </cell>
          <cell r="D25">
            <v>3.2256756000000006E-5</v>
          </cell>
        </row>
        <row r="32">
          <cell r="B32">
            <v>1.9973051393750003E-3</v>
          </cell>
          <cell r="D32">
            <v>4.6091657062500007E-5</v>
          </cell>
        </row>
        <row r="33">
          <cell r="B33">
            <v>2.0133189212499995E-3</v>
          </cell>
          <cell r="D33">
            <v>4.6461205874999992E-5</v>
          </cell>
        </row>
        <row r="34">
          <cell r="B34">
            <v>2.0256250787499997E-3</v>
          </cell>
          <cell r="D34">
            <v>4.6745194124999997E-5</v>
          </cell>
        </row>
        <row r="35">
          <cell r="B35">
            <v>2.0426643737500002E-3</v>
          </cell>
          <cell r="D35">
            <v>4.7138408625000002E-5</v>
          </cell>
        </row>
        <row r="36">
          <cell r="B36">
            <v>2.04865968125E-3</v>
          </cell>
          <cell r="D36">
            <v>4.7276761875000011E-5</v>
          </cell>
        </row>
        <row r="37">
          <cell r="B37">
            <v>2.0580470706249997E-3</v>
          </cell>
          <cell r="D37">
            <v>4.7493393937499992E-5</v>
          </cell>
        </row>
        <row r="38">
          <cell r="B38">
            <v>2.0735867498937505E-3</v>
          </cell>
          <cell r="D38">
            <v>4.7852001920625004E-5</v>
          </cell>
        </row>
        <row r="39">
          <cell r="B39">
            <v>2.0857801009499998E-3</v>
          </cell>
          <cell r="D39">
            <v>4.8133386944999996E-5</v>
          </cell>
        </row>
        <row r="40">
          <cell r="B40">
            <v>2.0979734520062496E-3</v>
          </cell>
          <cell r="D40">
            <v>4.8414771969374995E-5</v>
          </cell>
        </row>
        <row r="41">
          <cell r="B41">
            <v>2.1101668030625003E-3</v>
          </cell>
          <cell r="D41">
            <v>4.8696156993749993E-5</v>
          </cell>
        </row>
        <row r="42">
          <cell r="B42">
            <v>2.1223601541187501E-3</v>
          </cell>
          <cell r="D42">
            <v>4.8977542018124999E-5</v>
          </cell>
        </row>
        <row r="43">
          <cell r="B43">
            <v>2.1345535051749999E-3</v>
          </cell>
          <cell r="D43">
            <v>4.9258927042499998E-5</v>
          </cell>
        </row>
        <row r="44">
          <cell r="B44">
            <v>2.1467468562312497E-3</v>
          </cell>
          <cell r="D44">
            <v>4.9540312066874989E-5</v>
          </cell>
        </row>
        <row r="45">
          <cell r="B45">
            <v>2.1589402072874999E-3</v>
          </cell>
          <cell r="D45">
            <v>4.9821697091249995E-5</v>
          </cell>
        </row>
        <row r="46">
          <cell r="B46">
            <v>2.1711335583437501E-3</v>
          </cell>
          <cell r="D46">
            <v>5.0103082115625007E-5</v>
          </cell>
        </row>
        <row r="47">
          <cell r="B47">
            <v>2.1833269093999999E-3</v>
          </cell>
          <cell r="D47">
            <v>5.0384467139999999E-5</v>
          </cell>
        </row>
        <row r="48">
          <cell r="B48">
            <v>2.1955202604562502E-3</v>
          </cell>
          <cell r="D48">
            <v>5.0665852164374998E-5</v>
          </cell>
        </row>
        <row r="49">
          <cell r="B49">
            <v>2.2077136115125E-3</v>
          </cell>
          <cell r="D49">
            <v>5.0947237188749997E-5</v>
          </cell>
        </row>
        <row r="50">
          <cell r="B50">
            <v>2.2199069625687498E-3</v>
          </cell>
          <cell r="D50">
            <v>5.1228622213125002E-5</v>
          </cell>
        </row>
        <row r="51">
          <cell r="B51">
            <v>2.2321003136249996E-3</v>
          </cell>
          <cell r="D51">
            <v>5.1510007237500001E-5</v>
          </cell>
        </row>
        <row r="59">
          <cell r="B59">
            <v>2.6451204914399999E-2</v>
          </cell>
          <cell r="D59">
            <v>8.9894747800000003E-4</v>
          </cell>
        </row>
        <row r="60">
          <cell r="B60">
            <v>2.6663282587200004E-2</v>
          </cell>
          <cell r="D60">
            <v>8.7350868000000016E-4</v>
          </cell>
        </row>
        <row r="61">
          <cell r="B61">
            <v>2.6826258532800001E-2</v>
          </cell>
          <cell r="D61">
            <v>8.6641973942857143E-4</v>
          </cell>
        </row>
        <row r="62">
          <cell r="B62">
            <v>2.7051917534400005E-2</v>
          </cell>
          <cell r="D62">
            <v>8.9310378876190488E-4</v>
          </cell>
        </row>
        <row r="63">
          <cell r="B63">
            <v>2.7131316072000002E-2</v>
          </cell>
          <cell r="D63">
            <v>8.9572508666666689E-4</v>
          </cell>
        </row>
        <row r="64">
          <cell r="B64">
            <v>2.7255637466399994E-2</v>
          </cell>
          <cell r="D64">
            <v>8.998294873333334E-4</v>
          </cell>
        </row>
        <row r="65">
          <cell r="B65">
            <v>2.7461436386424003E-2</v>
          </cell>
          <cell r="D65">
            <v>9.0662382252095235E-4</v>
          </cell>
        </row>
        <row r="66">
          <cell r="B66">
            <v>2.7622918385856007E-2</v>
          </cell>
          <cell r="D66">
            <v>9.1195505958857159E-4</v>
          </cell>
        </row>
        <row r="67">
          <cell r="B67">
            <v>2.7784400385288E-2</v>
          </cell>
          <cell r="D67">
            <v>9.1728629665619062E-4</v>
          </cell>
        </row>
        <row r="68">
          <cell r="B68">
            <v>2.7945882384720004E-2</v>
          </cell>
          <cell r="D68">
            <v>9.2261753372380976E-4</v>
          </cell>
        </row>
        <row r="69">
          <cell r="B69">
            <v>2.8107364384152001E-2</v>
          </cell>
          <cell r="D69">
            <v>9.2794877079142857E-4</v>
          </cell>
        </row>
        <row r="70">
          <cell r="B70">
            <v>2.8268846383584005E-2</v>
          </cell>
          <cell r="D70">
            <v>9.332800078590477E-4</v>
          </cell>
        </row>
        <row r="71">
          <cell r="B71">
            <v>2.8430328383016002E-2</v>
          </cell>
          <cell r="D71">
            <v>9.3861124492666684E-4</v>
          </cell>
        </row>
        <row r="72">
          <cell r="B72">
            <v>2.8591810382447999E-2</v>
          </cell>
          <cell r="D72">
            <v>9.4394248199428554E-4</v>
          </cell>
        </row>
        <row r="73">
          <cell r="B73">
            <v>2.875329238188E-2</v>
          </cell>
          <cell r="D73">
            <v>9.4927371906190501E-4</v>
          </cell>
        </row>
        <row r="74">
          <cell r="B74">
            <v>2.8914774381312E-2</v>
          </cell>
          <cell r="D74">
            <v>9.5460495612952393E-4</v>
          </cell>
        </row>
        <row r="75">
          <cell r="B75">
            <v>2.9076256380744004E-2</v>
          </cell>
          <cell r="D75">
            <v>9.5993619319714295E-4</v>
          </cell>
        </row>
        <row r="76">
          <cell r="B76">
            <v>2.9237738380175998E-2</v>
          </cell>
          <cell r="D76">
            <v>9.6526743026476187E-4</v>
          </cell>
        </row>
        <row r="77">
          <cell r="B77">
            <v>2.9399220379608005E-2</v>
          </cell>
          <cell r="D77">
            <v>9.7059866733238123E-4</v>
          </cell>
        </row>
        <row r="78">
          <cell r="B78">
            <v>2.9560702379040009E-2</v>
          </cell>
          <cell r="D78">
            <v>9.7592990440000015E-4</v>
          </cell>
        </row>
      </sheetData>
      <sheetData sheetId="4"/>
      <sheetData sheetId="5">
        <row r="14">
          <cell r="M14">
            <v>5.3688694149036063E-2</v>
          </cell>
        </row>
        <row r="15">
          <cell r="M15">
            <v>5.4016859507834344E-2</v>
          </cell>
        </row>
        <row r="16">
          <cell r="M16">
            <v>5.4471242312324267E-2</v>
          </cell>
        </row>
        <row r="17">
          <cell r="M17">
            <v>5.4631117743533686E-2</v>
          </cell>
        </row>
        <row r="18">
          <cell r="M18">
            <v>5.4881449010822106E-2</v>
          </cell>
        </row>
        <row r="19">
          <cell r="M19">
            <v>5.5295841921268733E-2</v>
          </cell>
        </row>
        <row r="20">
          <cell r="M20">
            <v>5.5620999097611354E-2</v>
          </cell>
        </row>
        <row r="21">
          <cell r="M21">
            <v>5.5946156273953981E-2</v>
          </cell>
        </row>
        <row r="22">
          <cell r="M22">
            <v>5.6271313450296602E-2</v>
          </cell>
        </row>
        <row r="23">
          <cell r="M23">
            <v>5.659647062663923E-2</v>
          </cell>
        </row>
        <row r="24">
          <cell r="M24">
            <v>5.6921627802981857E-2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565204.78500000003</v>
          </cell>
        </row>
        <row r="19">
          <cell r="G19">
            <v>1153760.6400000001</v>
          </cell>
        </row>
        <row r="20">
          <cell r="G20">
            <v>1765667.5649999999</v>
          </cell>
        </row>
        <row r="21">
          <cell r="G21">
            <v>2400925.5599999996</v>
          </cell>
        </row>
        <row r="22">
          <cell r="G22">
            <v>3587331.9533333331</v>
          </cell>
        </row>
        <row r="23">
          <cell r="G23">
            <v>4817230.7679999992</v>
          </cell>
        </row>
        <row r="24">
          <cell r="G24">
            <v>6090622.0039999988</v>
          </cell>
        </row>
        <row r="25">
          <cell r="G25">
            <v>7407505.6613333318</v>
          </cell>
        </row>
        <row r="26">
          <cell r="G26">
            <v>8767881.7399999984</v>
          </cell>
        </row>
        <row r="27">
          <cell r="G27">
            <v>10171750.239999998</v>
          </cell>
        </row>
        <row r="28">
          <cell r="G28">
            <v>11619111.161333332</v>
          </cell>
        </row>
        <row r="29">
          <cell r="G29">
            <v>13109964.503999999</v>
          </cell>
        </row>
        <row r="30">
          <cell r="G30">
            <v>14644310.267999999</v>
          </cell>
        </row>
        <row r="31">
          <cell r="G31">
            <v>14886728.303999998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85" zoomScaleNormal="85" workbookViewId="0">
      <selection activeCell="G18" sqref="G18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132</v>
      </c>
    </row>
    <row r="2" spans="1:14" ht="21" x14ac:dyDescent="0.25">
      <c r="G2" s="80" t="s">
        <v>17</v>
      </c>
    </row>
    <row r="3" spans="1:14" ht="15.75" customHeight="1" x14ac:dyDescent="0.25">
      <c r="A3" s="189" t="s">
        <v>10</v>
      </c>
      <c r="B3" s="189" t="s">
        <v>123</v>
      </c>
      <c r="C3" s="78" t="s">
        <v>11</v>
      </c>
      <c r="D3" s="188" t="s">
        <v>11</v>
      </c>
      <c r="E3" s="188"/>
      <c r="G3" s="81" t="s">
        <v>15</v>
      </c>
      <c r="H3" s="81"/>
      <c r="I3" s="81"/>
    </row>
    <row r="4" spans="1:14" x14ac:dyDescent="0.25">
      <c r="A4" s="190"/>
      <c r="B4" s="190"/>
      <c r="C4" s="78" t="s">
        <v>118</v>
      </c>
      <c r="D4" s="78" t="s">
        <v>13</v>
      </c>
      <c r="E4" s="78" t="s">
        <v>14</v>
      </c>
      <c r="G4" s="81" t="s">
        <v>16</v>
      </c>
      <c r="H4" s="81"/>
      <c r="I4" s="81"/>
    </row>
    <row r="5" spans="1:14" x14ac:dyDescent="0.25">
      <c r="A5" s="89">
        <v>2011</v>
      </c>
      <c r="B5" s="90">
        <f>[1]Sheet3!L14</f>
        <v>25319</v>
      </c>
      <c r="C5" s="82">
        <v>0.19</v>
      </c>
      <c r="D5" s="115">
        <f t="shared" ref="D5:D24" si="0">C5*B5</f>
        <v>4810.6099999999997</v>
      </c>
      <c r="E5" s="100">
        <f>D5/1000</f>
        <v>4.8106099999999996</v>
      </c>
    </row>
    <row r="6" spans="1:14" x14ac:dyDescent="0.25">
      <c r="A6" s="89">
        <v>2012</v>
      </c>
      <c r="B6" s="90">
        <f>[1]Sheet3!L15</f>
        <v>25522</v>
      </c>
      <c r="C6" s="82">
        <v>0.19</v>
      </c>
      <c r="D6" s="115">
        <f t="shared" si="0"/>
        <v>4849.18</v>
      </c>
      <c r="E6" s="100">
        <f t="shared" ref="E6:E24" si="1">D6/1000</f>
        <v>4.8491800000000005</v>
      </c>
      <c r="G6" s="83" t="s">
        <v>36</v>
      </c>
      <c r="H6" s="83"/>
      <c r="I6" s="83"/>
      <c r="J6" s="84">
        <v>2</v>
      </c>
      <c r="K6" s="85" t="s">
        <v>32</v>
      </c>
      <c r="L6" s="84">
        <v>3</v>
      </c>
      <c r="M6" s="83" t="s">
        <v>37</v>
      </c>
      <c r="N6" s="83"/>
    </row>
    <row r="7" spans="1:14" x14ac:dyDescent="0.25">
      <c r="A7" s="89">
        <v>2013</v>
      </c>
      <c r="B7" s="90">
        <f>[1]Sheet3!L16</f>
        <v>25678</v>
      </c>
      <c r="C7" s="82">
        <v>0.19</v>
      </c>
      <c r="D7" s="115">
        <f t="shared" si="0"/>
        <v>4878.82</v>
      </c>
      <c r="E7" s="100">
        <f t="shared" si="1"/>
        <v>4.8788199999999993</v>
      </c>
      <c r="G7" s="83"/>
      <c r="H7" s="83"/>
      <c r="I7" s="83"/>
      <c r="J7" s="84">
        <f>(2*250)/1000</f>
        <v>0.5</v>
      </c>
      <c r="K7" s="85" t="s">
        <v>32</v>
      </c>
      <c r="L7" s="84">
        <f>(3*250)/1000</f>
        <v>0.75</v>
      </c>
      <c r="M7" s="83" t="s">
        <v>12</v>
      </c>
      <c r="N7" s="83"/>
    </row>
    <row r="8" spans="1:14" x14ac:dyDescent="0.25">
      <c r="A8" s="89">
        <v>2014</v>
      </c>
      <c r="B8" s="90">
        <f>[1]Sheet3!L17</f>
        <v>25894</v>
      </c>
      <c r="C8" s="82">
        <v>0.19</v>
      </c>
      <c r="D8" s="115">
        <f t="shared" si="0"/>
        <v>4919.8599999999997</v>
      </c>
      <c r="E8" s="100">
        <f t="shared" si="1"/>
        <v>4.9198599999999999</v>
      </c>
      <c r="G8" s="83"/>
      <c r="H8" s="83"/>
      <c r="I8" s="83"/>
      <c r="J8" s="86">
        <f>J7*(365/1000)</f>
        <v>0.1825</v>
      </c>
      <c r="K8" s="87" t="s">
        <v>32</v>
      </c>
      <c r="L8" s="86">
        <f>L7*(365/1000)</f>
        <v>0.27374999999999999</v>
      </c>
      <c r="M8" s="83" t="s">
        <v>38</v>
      </c>
      <c r="N8" s="83"/>
    </row>
    <row r="9" spans="1:14" x14ac:dyDescent="0.25">
      <c r="A9" s="89">
        <v>2015</v>
      </c>
      <c r="B9" s="90">
        <f>[1]Sheet3!L18</f>
        <v>25970</v>
      </c>
      <c r="C9" s="82">
        <v>0.19</v>
      </c>
      <c r="D9" s="115">
        <f t="shared" si="0"/>
        <v>4934.3</v>
      </c>
      <c r="E9" s="100">
        <f t="shared" si="1"/>
        <v>4.9343000000000004</v>
      </c>
    </row>
    <row r="10" spans="1:14" x14ac:dyDescent="0.25">
      <c r="A10" s="89">
        <v>2016</v>
      </c>
      <c r="B10" s="90">
        <f>[1]Sheet3!L19</f>
        <v>26089</v>
      </c>
      <c r="C10" s="82">
        <v>0.19</v>
      </c>
      <c r="D10" s="115">
        <f t="shared" si="0"/>
        <v>4956.91</v>
      </c>
      <c r="E10" s="100">
        <f t="shared" si="1"/>
        <v>4.9569099999999997</v>
      </c>
      <c r="G10" s="88" t="s">
        <v>33</v>
      </c>
      <c r="H10" s="88"/>
      <c r="I10" s="88" t="s">
        <v>34</v>
      </c>
      <c r="J10" s="88"/>
      <c r="K10" s="88"/>
    </row>
    <row r="11" spans="1:14" x14ac:dyDescent="0.25">
      <c r="A11" s="89">
        <v>2017</v>
      </c>
      <c r="B11" s="90">
        <f>[1]Sheet3!L20</f>
        <v>26285.99</v>
      </c>
      <c r="C11" s="82">
        <v>0.19</v>
      </c>
      <c r="D11" s="115">
        <f t="shared" si="0"/>
        <v>4994.3380999999999</v>
      </c>
      <c r="E11" s="100">
        <f t="shared" si="1"/>
        <v>4.9943381000000002</v>
      </c>
      <c r="G11" s="88"/>
      <c r="H11" s="88"/>
      <c r="I11" s="88" t="s">
        <v>35</v>
      </c>
      <c r="J11" s="88"/>
      <c r="K11" s="88"/>
    </row>
    <row r="12" spans="1:14" x14ac:dyDescent="0.25">
      <c r="A12" s="89">
        <v>2018</v>
      </c>
      <c r="B12" s="90">
        <f>[1]Sheet3!L21</f>
        <v>26440.560000000001</v>
      </c>
      <c r="C12" s="82">
        <v>0.19</v>
      </c>
      <c r="D12" s="115">
        <f t="shared" si="0"/>
        <v>5023.7064</v>
      </c>
      <c r="E12" s="100">
        <f t="shared" si="1"/>
        <v>5.0237064</v>
      </c>
    </row>
    <row r="13" spans="1:14" x14ac:dyDescent="0.25">
      <c r="A13" s="89">
        <v>2019</v>
      </c>
      <c r="B13" s="90">
        <f>[1]Sheet3!L22</f>
        <v>26595.13</v>
      </c>
      <c r="C13" s="82">
        <v>0.19</v>
      </c>
      <c r="D13" s="115">
        <f t="shared" si="0"/>
        <v>5053.0747000000001</v>
      </c>
      <c r="E13" s="100">
        <f t="shared" si="1"/>
        <v>5.0530746999999998</v>
      </c>
    </row>
    <row r="14" spans="1:14" x14ac:dyDescent="0.25">
      <c r="A14" s="89">
        <v>2020</v>
      </c>
      <c r="B14" s="90">
        <f>[1]Sheet3!L23</f>
        <v>26749.7</v>
      </c>
      <c r="C14" s="82">
        <v>0.19</v>
      </c>
      <c r="D14" s="115">
        <f t="shared" si="0"/>
        <v>5082.4430000000002</v>
      </c>
      <c r="E14" s="100">
        <f t="shared" si="1"/>
        <v>5.0824430000000005</v>
      </c>
    </row>
    <row r="15" spans="1:14" x14ac:dyDescent="0.25">
      <c r="A15" s="89">
        <v>2021</v>
      </c>
      <c r="B15" s="90">
        <f>[1]Sheet3!L24</f>
        <v>26904.27</v>
      </c>
      <c r="C15" s="82">
        <v>0.19</v>
      </c>
      <c r="D15" s="115">
        <f t="shared" si="0"/>
        <v>5111.8113000000003</v>
      </c>
      <c r="E15" s="100">
        <f t="shared" si="1"/>
        <v>5.1118113000000003</v>
      </c>
    </row>
    <row r="16" spans="1:14" x14ac:dyDescent="0.25">
      <c r="A16" s="89">
        <v>2022</v>
      </c>
      <c r="B16" s="90">
        <f>[1]Sheet3!L25</f>
        <v>27058.84</v>
      </c>
      <c r="C16" s="82">
        <v>0.19</v>
      </c>
      <c r="D16" s="115">
        <f t="shared" si="0"/>
        <v>5141.1796000000004</v>
      </c>
      <c r="E16" s="100">
        <f t="shared" si="1"/>
        <v>5.1411796000000001</v>
      </c>
    </row>
    <row r="17" spans="1:10" x14ac:dyDescent="0.25">
      <c r="A17" s="89">
        <v>2023</v>
      </c>
      <c r="B17" s="90">
        <f>[1]Sheet3!L26</f>
        <v>27213.41</v>
      </c>
      <c r="C17" s="82">
        <v>0.19</v>
      </c>
      <c r="D17" s="115">
        <f t="shared" si="0"/>
        <v>5170.5479000000005</v>
      </c>
      <c r="E17" s="100">
        <f t="shared" si="1"/>
        <v>5.1705479000000008</v>
      </c>
      <c r="G17" s="91"/>
      <c r="H17" s="91"/>
      <c r="I17" s="91"/>
      <c r="J17" s="91"/>
    </row>
    <row r="18" spans="1:10" x14ac:dyDescent="0.25">
      <c r="A18" s="89">
        <v>2024</v>
      </c>
      <c r="B18" s="90">
        <f>[1]Sheet3!L27</f>
        <v>27367.98</v>
      </c>
      <c r="C18" s="82">
        <v>0.19</v>
      </c>
      <c r="D18" s="115">
        <f t="shared" si="0"/>
        <v>5199.9161999999997</v>
      </c>
      <c r="E18" s="100">
        <f t="shared" si="1"/>
        <v>5.1999161999999997</v>
      </c>
      <c r="G18" s="91"/>
      <c r="H18" s="91"/>
      <c r="I18" s="91"/>
      <c r="J18" s="91"/>
    </row>
    <row r="19" spans="1:10" x14ac:dyDescent="0.25">
      <c r="A19" s="89">
        <v>2025</v>
      </c>
      <c r="B19" s="90">
        <f>[1]Sheet3!L28</f>
        <v>27522.55</v>
      </c>
      <c r="C19" s="82">
        <v>0.19</v>
      </c>
      <c r="D19" s="115">
        <f t="shared" si="0"/>
        <v>5229.2844999999998</v>
      </c>
      <c r="E19" s="100">
        <f t="shared" si="1"/>
        <v>5.2292844999999994</v>
      </c>
      <c r="G19" s="91"/>
      <c r="H19" s="91"/>
      <c r="I19" s="91"/>
      <c r="J19" s="91"/>
    </row>
    <row r="20" spans="1:10" x14ac:dyDescent="0.25">
      <c r="A20" s="89">
        <v>2026</v>
      </c>
      <c r="B20" s="90">
        <f>[1]Sheet3!L29</f>
        <v>27677.119999999999</v>
      </c>
      <c r="C20" s="82">
        <v>0.19</v>
      </c>
      <c r="D20" s="115">
        <f t="shared" si="0"/>
        <v>5258.6527999999998</v>
      </c>
      <c r="E20" s="100">
        <f t="shared" si="1"/>
        <v>5.2586528000000001</v>
      </c>
      <c r="G20" s="91"/>
      <c r="H20" s="91"/>
      <c r="I20" s="91"/>
      <c r="J20" s="91"/>
    </row>
    <row r="21" spans="1:10" x14ac:dyDescent="0.25">
      <c r="A21" s="89">
        <v>2027</v>
      </c>
      <c r="B21" s="90">
        <f>[1]Sheet3!L30</f>
        <v>27831.69</v>
      </c>
      <c r="C21" s="82">
        <v>0.19</v>
      </c>
      <c r="D21" s="115">
        <f t="shared" si="0"/>
        <v>5288.0210999999999</v>
      </c>
      <c r="E21" s="100">
        <f t="shared" si="1"/>
        <v>5.2880210999999999</v>
      </c>
      <c r="G21" s="91"/>
      <c r="H21" s="91"/>
      <c r="I21" s="91"/>
      <c r="J21" s="91"/>
    </row>
    <row r="22" spans="1:10" x14ac:dyDescent="0.25">
      <c r="A22" s="89">
        <v>2028</v>
      </c>
      <c r="B22" s="90">
        <f>[1]Sheet3!L31</f>
        <v>27986.26</v>
      </c>
      <c r="C22" s="82">
        <v>0.19</v>
      </c>
      <c r="D22" s="115">
        <f t="shared" si="0"/>
        <v>5317.3894</v>
      </c>
      <c r="E22" s="100">
        <f t="shared" si="1"/>
        <v>5.3173893999999997</v>
      </c>
      <c r="G22" s="91"/>
      <c r="H22" s="91"/>
      <c r="I22" s="91"/>
      <c r="J22" s="91"/>
    </row>
    <row r="23" spans="1:10" x14ac:dyDescent="0.25">
      <c r="A23" s="89">
        <v>2029</v>
      </c>
      <c r="B23" s="90">
        <f>[1]Sheet3!L32</f>
        <v>28140.83</v>
      </c>
      <c r="C23" s="82">
        <v>0.19</v>
      </c>
      <c r="D23" s="115">
        <f t="shared" si="0"/>
        <v>5346.7577000000001</v>
      </c>
      <c r="E23" s="100">
        <f t="shared" si="1"/>
        <v>5.3467577000000004</v>
      </c>
      <c r="G23" s="91"/>
      <c r="H23" s="91"/>
      <c r="I23" s="91"/>
      <c r="J23" s="91"/>
    </row>
    <row r="24" spans="1:10" x14ac:dyDescent="0.25">
      <c r="A24" s="89">
        <v>2030</v>
      </c>
      <c r="B24" s="90">
        <f>[1]Sheet3!L33</f>
        <v>28295.4</v>
      </c>
      <c r="C24" s="82">
        <v>0.19</v>
      </c>
      <c r="D24" s="115">
        <f t="shared" si="0"/>
        <v>5376.1260000000002</v>
      </c>
      <c r="E24" s="100">
        <f t="shared" si="1"/>
        <v>5.3761260000000002</v>
      </c>
      <c r="G24" s="91"/>
      <c r="H24" s="91"/>
      <c r="I24" s="91"/>
      <c r="J24" s="91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72"/>
  <sheetViews>
    <sheetView topLeftCell="A51" zoomScaleNormal="100" workbookViewId="0">
      <selection activeCell="B72" sqref="B72"/>
    </sheetView>
  </sheetViews>
  <sheetFormatPr defaultRowHeight="12.75" x14ac:dyDescent="0.25"/>
  <cols>
    <col min="1" max="1" width="9.140625" style="96"/>
    <col min="2" max="2" width="15.5703125" style="96" customWidth="1"/>
    <col min="3" max="3" width="11" style="96" customWidth="1"/>
    <col min="4" max="6" width="9.140625" style="96"/>
    <col min="7" max="7" width="12.28515625" style="96" customWidth="1"/>
    <col min="8" max="8" width="9.140625" style="96"/>
    <col min="9" max="9" width="16.85546875" style="96" customWidth="1"/>
    <col min="10" max="10" width="20.28515625" style="96" customWidth="1"/>
    <col min="11" max="11" width="9.140625" style="96"/>
    <col min="12" max="12" width="9" style="101" bestFit="1" customWidth="1"/>
    <col min="13" max="13" width="12" style="101" bestFit="1" customWidth="1"/>
    <col min="14" max="14" width="2.42578125" style="101" customWidth="1"/>
    <col min="15" max="15" width="7.140625" style="101" customWidth="1"/>
    <col min="16" max="19" width="9.140625" style="101"/>
    <col min="20" max="20" width="1.42578125" style="101" customWidth="1"/>
    <col min="21" max="21" width="7.140625" style="101" customWidth="1"/>
    <col min="22" max="22" width="50.28515625" style="101" customWidth="1"/>
    <col min="23" max="25" width="9.140625" style="101"/>
    <col min="26" max="16384" width="9.140625" style="96"/>
  </cols>
  <sheetData>
    <row r="2" spans="1:21" ht="63.75" x14ac:dyDescent="0.25">
      <c r="A2" s="191" t="s">
        <v>138</v>
      </c>
      <c r="B2" s="191"/>
      <c r="C2" s="191"/>
      <c r="D2" s="191"/>
      <c r="E2" s="191"/>
      <c r="F2" s="191"/>
      <c r="G2" s="191"/>
      <c r="H2" s="191"/>
      <c r="I2" s="191"/>
      <c r="J2" s="123" t="s">
        <v>139</v>
      </c>
    </row>
    <row r="3" spans="1:21" x14ac:dyDescent="0.25">
      <c r="A3" s="102" t="s">
        <v>140</v>
      </c>
    </row>
    <row r="4" spans="1:21" x14ac:dyDescent="0.25">
      <c r="A4" s="192" t="s">
        <v>8</v>
      </c>
      <c r="B4" s="192" t="s">
        <v>0</v>
      </c>
      <c r="C4" s="192"/>
      <c r="D4" s="192"/>
      <c r="E4" s="192"/>
      <c r="F4" s="192"/>
      <c r="G4" s="192"/>
      <c r="H4" s="192"/>
      <c r="I4" s="196" t="s">
        <v>9</v>
      </c>
    </row>
    <row r="5" spans="1:21" ht="25.5" x14ac:dyDescent="0.25">
      <c r="A5" s="192"/>
      <c r="B5" s="99" t="s">
        <v>1</v>
      </c>
      <c r="C5" s="99" t="s">
        <v>2</v>
      </c>
      <c r="D5" s="99" t="s">
        <v>128</v>
      </c>
      <c r="E5" s="99" t="s">
        <v>4</v>
      </c>
      <c r="F5" s="183" t="s">
        <v>160</v>
      </c>
      <c r="G5" s="99" t="s">
        <v>125</v>
      </c>
      <c r="H5" s="99" t="s">
        <v>7</v>
      </c>
      <c r="I5" s="197"/>
      <c r="P5" s="103"/>
    </row>
    <row r="6" spans="1:21" ht="17.25" customHeight="1" x14ac:dyDescent="0.25">
      <c r="A6" s="104">
        <v>2011</v>
      </c>
      <c r="B6" s="181">
        <v>0.31609999999999999</v>
      </c>
      <c r="C6" s="181">
        <f>4%+9.35%+8.46%+6.21%</f>
        <v>0.2802</v>
      </c>
      <c r="D6" s="181">
        <v>1.35E-2</v>
      </c>
      <c r="E6" s="181">
        <v>0.39019999999999999</v>
      </c>
      <c r="F6" s="121">
        <v>0</v>
      </c>
      <c r="G6" s="121"/>
      <c r="H6" s="121"/>
      <c r="I6" s="105">
        <f>SUM(B6:H6)</f>
        <v>1</v>
      </c>
      <c r="L6" s="92"/>
    </row>
    <row r="7" spans="1:21" x14ac:dyDescent="0.25">
      <c r="A7" s="104">
        <v>2012</v>
      </c>
      <c r="B7" s="181">
        <v>0.31609999999999999</v>
      </c>
      <c r="C7" s="181">
        <f t="shared" ref="C7:C11" si="0">4%+9.35%+8.46%+6.21%</f>
        <v>0.2802</v>
      </c>
      <c r="D7" s="181">
        <v>1.35E-2</v>
      </c>
      <c r="E7" s="181">
        <v>0.39019999999999999</v>
      </c>
      <c r="F7" s="121">
        <v>0</v>
      </c>
      <c r="G7" s="121"/>
      <c r="H7" s="121"/>
      <c r="I7" s="105">
        <f t="shared" ref="I7:I25" si="1">SUM(B7:H7)</f>
        <v>1</v>
      </c>
      <c r="L7" s="101">
        <v>2000</v>
      </c>
      <c r="M7" s="101">
        <f>M8-(M8*0.024)</f>
        <v>0</v>
      </c>
      <c r="N7" s="93"/>
      <c r="O7" s="94"/>
      <c r="P7" s="103"/>
      <c r="S7" s="106"/>
      <c r="T7" s="107"/>
      <c r="U7" s="106"/>
    </row>
    <row r="8" spans="1:21" x14ac:dyDescent="0.25">
      <c r="A8" s="104">
        <v>2013</v>
      </c>
      <c r="B8" s="181">
        <v>0.31609999999999999</v>
      </c>
      <c r="C8" s="181">
        <f t="shared" si="0"/>
        <v>0.2802</v>
      </c>
      <c r="D8" s="181">
        <v>1.35E-2</v>
      </c>
      <c r="E8" s="181">
        <v>0.39019999999999999</v>
      </c>
      <c r="F8" s="121">
        <v>0</v>
      </c>
      <c r="G8" s="121"/>
      <c r="H8" s="121"/>
      <c r="I8" s="105">
        <f t="shared" si="1"/>
        <v>1</v>
      </c>
      <c r="L8" s="101">
        <v>2001</v>
      </c>
      <c r="M8" s="101">
        <f t="shared" ref="M8:M10" si="2">M9-(M9*0.024)</f>
        <v>0</v>
      </c>
      <c r="N8" s="94"/>
      <c r="O8" s="94"/>
      <c r="P8" s="103"/>
      <c r="S8" s="108"/>
      <c r="T8" s="108"/>
      <c r="U8" s="108"/>
    </row>
    <row r="9" spans="1:21" x14ac:dyDescent="0.25">
      <c r="A9" s="104">
        <v>2014</v>
      </c>
      <c r="B9" s="181">
        <v>0.31609999999999999</v>
      </c>
      <c r="C9" s="181">
        <f t="shared" si="0"/>
        <v>0.2802</v>
      </c>
      <c r="D9" s="181">
        <v>1.35E-2</v>
      </c>
      <c r="E9" s="181">
        <v>0.39019999999999999</v>
      </c>
      <c r="F9" s="121">
        <v>0</v>
      </c>
      <c r="G9" s="121"/>
      <c r="H9" s="121"/>
      <c r="I9" s="105">
        <f t="shared" si="1"/>
        <v>1</v>
      </c>
      <c r="L9" s="101">
        <v>2002</v>
      </c>
      <c r="M9" s="101">
        <f t="shared" si="2"/>
        <v>0</v>
      </c>
      <c r="N9" s="94"/>
      <c r="O9" s="94"/>
      <c r="P9" s="103"/>
    </row>
    <row r="10" spans="1:21" x14ac:dyDescent="0.25">
      <c r="A10" s="104">
        <v>2015</v>
      </c>
      <c r="B10" s="181">
        <v>0.31609999999999999</v>
      </c>
      <c r="C10" s="181">
        <f t="shared" si="0"/>
        <v>0.2802</v>
      </c>
      <c r="D10" s="181">
        <v>1.35E-2</v>
      </c>
      <c r="E10" s="181">
        <v>0.39019999999999999</v>
      </c>
      <c r="F10" s="121">
        <v>0</v>
      </c>
      <c r="G10" s="121"/>
      <c r="H10" s="121"/>
      <c r="I10" s="105">
        <f t="shared" si="1"/>
        <v>1</v>
      </c>
      <c r="L10" s="101">
        <v>2003</v>
      </c>
      <c r="M10" s="101">
        <f t="shared" si="2"/>
        <v>0</v>
      </c>
      <c r="N10" s="93"/>
      <c r="O10" s="94"/>
      <c r="P10" s="103"/>
    </row>
    <row r="11" spans="1:21" x14ac:dyDescent="0.25">
      <c r="A11" s="104">
        <v>2016</v>
      </c>
      <c r="B11" s="181">
        <v>0.31609999999999999</v>
      </c>
      <c r="C11" s="181">
        <f t="shared" si="0"/>
        <v>0.2802</v>
      </c>
      <c r="D11" s="181">
        <v>1.35E-2</v>
      </c>
      <c r="E11" s="181">
        <v>0.39019999999999999</v>
      </c>
      <c r="F11" s="121">
        <v>0</v>
      </c>
      <c r="G11" s="121"/>
      <c r="H11" s="121"/>
      <c r="I11" s="105">
        <f t="shared" si="1"/>
        <v>1</v>
      </c>
      <c r="L11" s="101">
        <v>2004</v>
      </c>
      <c r="M11" s="101">
        <f>M12-(M12*0.024)</f>
        <v>0</v>
      </c>
    </row>
    <row r="12" spans="1:21" x14ac:dyDescent="0.25">
      <c r="A12" s="104">
        <v>2017</v>
      </c>
      <c r="B12" s="181">
        <f>B11*1.0255</f>
        <v>0.32416054999999999</v>
      </c>
      <c r="C12" s="181">
        <f>C11*(1-0.0238)</f>
        <v>0.27353124000000001</v>
      </c>
      <c r="D12" s="181">
        <f t="shared" ref="D12:D24" si="3">D11*1.0285</f>
        <v>1.388475E-2</v>
      </c>
      <c r="E12" s="181">
        <f>E11*(1-0.0119)</f>
        <v>0.38555661999999996</v>
      </c>
      <c r="F12" s="121">
        <v>0.02</v>
      </c>
      <c r="G12" s="121"/>
      <c r="H12" s="121"/>
      <c r="I12" s="105">
        <f t="shared" si="1"/>
        <v>1.01713316</v>
      </c>
      <c r="L12" s="101">
        <v>2005</v>
      </c>
      <c r="M12" s="101">
        <f>M13-(M13*O29)</f>
        <v>0</v>
      </c>
    </row>
    <row r="13" spans="1:21" x14ac:dyDescent="0.25">
      <c r="A13" s="104">
        <v>2018</v>
      </c>
      <c r="B13" s="181">
        <f t="shared" ref="B13:B24" si="4">B12*1.0255</f>
        <v>0.332426644025</v>
      </c>
      <c r="C13" s="181">
        <f t="shared" ref="C13:C24" si="5">C12*(1-0.0238)</f>
        <v>0.26702119648799999</v>
      </c>
      <c r="D13" s="181">
        <f t="shared" si="3"/>
        <v>1.4280465374999999E-2</v>
      </c>
      <c r="E13" s="181">
        <f t="shared" ref="E13:E24" si="6">E12*(1-0.0119)</f>
        <v>0.38096849622199996</v>
      </c>
      <c r="F13" s="121">
        <f>F12*1.073</f>
        <v>2.146E-2</v>
      </c>
      <c r="G13" s="121"/>
      <c r="H13" s="121"/>
      <c r="I13" s="105">
        <f t="shared" si="1"/>
        <v>1.01615680211</v>
      </c>
      <c r="L13" s="101">
        <v>2006</v>
      </c>
      <c r="M13" s="101">
        <f>M14-(M14*O29)</f>
        <v>0</v>
      </c>
    </row>
    <row r="14" spans="1:21" x14ac:dyDescent="0.25">
      <c r="A14" s="104">
        <v>2019</v>
      </c>
      <c r="B14" s="181">
        <f t="shared" si="4"/>
        <v>0.34090352344763752</v>
      </c>
      <c r="C14" s="181">
        <f t="shared" si="5"/>
        <v>0.26066609201158558</v>
      </c>
      <c r="D14" s="181">
        <f t="shared" si="3"/>
        <v>1.4687458638187498E-2</v>
      </c>
      <c r="E14" s="181">
        <f t="shared" si="6"/>
        <v>0.37643497111695817</v>
      </c>
      <c r="F14" s="121">
        <f t="shared" ref="F14:F24" si="7">F13*1.073</f>
        <v>2.3026579999999998E-2</v>
      </c>
      <c r="G14" s="121"/>
      <c r="H14" s="121"/>
      <c r="I14" s="105">
        <f t="shared" si="1"/>
        <v>1.0157186252143688</v>
      </c>
      <c r="L14" s="101">
        <v>2007</v>
      </c>
      <c r="M14" s="101">
        <f>M15-(M15*O29)</f>
        <v>0</v>
      </c>
      <c r="P14" s="103"/>
    </row>
    <row r="15" spans="1:21" x14ac:dyDescent="0.25">
      <c r="A15" s="104">
        <v>2020</v>
      </c>
      <c r="B15" s="181">
        <f t="shared" si="4"/>
        <v>0.34959656329555233</v>
      </c>
      <c r="C15" s="181">
        <f t="shared" si="5"/>
        <v>0.25446223902170984</v>
      </c>
      <c r="D15" s="181">
        <f t="shared" si="3"/>
        <v>1.5106051209375842E-2</v>
      </c>
      <c r="E15" s="181">
        <f t="shared" si="6"/>
        <v>0.37195539496066637</v>
      </c>
      <c r="F15" s="121">
        <f t="shared" si="7"/>
        <v>2.4707520339999997E-2</v>
      </c>
      <c r="G15" s="121"/>
      <c r="H15" s="121"/>
      <c r="I15" s="105">
        <f t="shared" si="1"/>
        <v>1.0158277688273043</v>
      </c>
      <c r="L15" s="101">
        <v>2008</v>
      </c>
      <c r="M15" s="101">
        <f>M27-(M27*O29)</f>
        <v>0</v>
      </c>
      <c r="S15" s="106"/>
    </row>
    <row r="16" spans="1:21" x14ac:dyDescent="0.25">
      <c r="A16" s="104">
        <v>2021</v>
      </c>
      <c r="B16" s="181">
        <f t="shared" si="4"/>
        <v>0.35851127565958896</v>
      </c>
      <c r="C16" s="181">
        <f t="shared" si="5"/>
        <v>0.24840603773299313</v>
      </c>
      <c r="D16" s="181">
        <f t="shared" si="3"/>
        <v>1.5536573668843054E-2</v>
      </c>
      <c r="E16" s="181">
        <f t="shared" si="6"/>
        <v>0.36752912576063446</v>
      </c>
      <c r="F16" s="121">
        <f t="shared" si="7"/>
        <v>2.6511169324819995E-2</v>
      </c>
      <c r="G16" s="121"/>
      <c r="H16" s="121"/>
      <c r="I16" s="105">
        <f t="shared" si="1"/>
        <v>1.0164941821468796</v>
      </c>
      <c r="S16" s="106"/>
    </row>
    <row r="17" spans="1:19" x14ac:dyDescent="0.25">
      <c r="A17" s="104">
        <v>2022</v>
      </c>
      <c r="B17" s="181">
        <f t="shared" si="4"/>
        <v>0.36765331318890848</v>
      </c>
      <c r="C17" s="181">
        <f t="shared" si="5"/>
        <v>0.24249397403494788</v>
      </c>
      <c r="D17" s="181">
        <f t="shared" si="3"/>
        <v>1.5979366018405081E-2</v>
      </c>
      <c r="E17" s="181">
        <f t="shared" si="6"/>
        <v>0.36315552916408289</v>
      </c>
      <c r="F17" s="121">
        <f t="shared" si="7"/>
        <v>2.8446484685531855E-2</v>
      </c>
      <c r="G17" s="121"/>
      <c r="H17" s="121"/>
      <c r="I17" s="105">
        <f t="shared" si="1"/>
        <v>1.0177286670918761</v>
      </c>
      <c r="S17" s="106"/>
    </row>
    <row r="18" spans="1:19" x14ac:dyDescent="0.25">
      <c r="A18" s="104">
        <v>2023</v>
      </c>
      <c r="B18" s="181">
        <f t="shared" si="4"/>
        <v>0.37702847267522566</v>
      </c>
      <c r="C18" s="181">
        <f t="shared" si="5"/>
        <v>0.23672261745291612</v>
      </c>
      <c r="D18" s="181">
        <f t="shared" si="3"/>
        <v>1.6434777949929626E-2</v>
      </c>
      <c r="E18" s="181">
        <f t="shared" si="6"/>
        <v>0.35883397836703029</v>
      </c>
      <c r="F18" s="121">
        <f t="shared" si="7"/>
        <v>3.052307806757568E-2</v>
      </c>
      <c r="G18" s="121"/>
      <c r="H18" s="121"/>
      <c r="I18" s="105">
        <f t="shared" si="1"/>
        <v>1.0195429245126773</v>
      </c>
      <c r="S18" s="106"/>
    </row>
    <row r="19" spans="1:19" x14ac:dyDescent="0.25">
      <c r="A19" s="104">
        <v>2024</v>
      </c>
      <c r="B19" s="181">
        <f t="shared" si="4"/>
        <v>0.38664269872844392</v>
      </c>
      <c r="C19" s="181">
        <f t="shared" si="5"/>
        <v>0.2310886191575367</v>
      </c>
      <c r="D19" s="181">
        <f t="shared" si="3"/>
        <v>1.690316912150262E-2</v>
      </c>
      <c r="E19" s="181">
        <f t="shared" si="6"/>
        <v>0.35456385402446261</v>
      </c>
      <c r="F19" s="121">
        <f t="shared" si="7"/>
        <v>3.27512627665087E-2</v>
      </c>
      <c r="G19" s="121"/>
      <c r="H19" s="121"/>
      <c r="I19" s="105">
        <f t="shared" si="1"/>
        <v>1.0219496037984546</v>
      </c>
      <c r="S19" s="106"/>
    </row>
    <row r="20" spans="1:19" x14ac:dyDescent="0.25">
      <c r="A20" s="104">
        <v>2025</v>
      </c>
      <c r="B20" s="181">
        <f t="shared" si="4"/>
        <v>0.39650208754601929</v>
      </c>
      <c r="C20" s="181">
        <f t="shared" si="5"/>
        <v>0.22558871002158731</v>
      </c>
      <c r="D20" s="181">
        <f t="shared" si="3"/>
        <v>1.7384909441465445E-2</v>
      </c>
      <c r="E20" s="181">
        <f t="shared" si="6"/>
        <v>0.35034454416157151</v>
      </c>
      <c r="F20" s="121">
        <f t="shared" si="7"/>
        <v>3.5142104948463836E-2</v>
      </c>
      <c r="G20" s="121"/>
      <c r="H20" s="121"/>
      <c r="I20" s="105">
        <f t="shared" si="1"/>
        <v>1.0249623561191075</v>
      </c>
      <c r="S20" s="106"/>
    </row>
    <row r="21" spans="1:19" x14ac:dyDescent="0.25">
      <c r="A21" s="104">
        <v>2026</v>
      </c>
      <c r="B21" s="181">
        <f t="shared" si="4"/>
        <v>0.40661289077844281</v>
      </c>
      <c r="C21" s="181">
        <f t="shared" si="5"/>
        <v>0.22021969872307354</v>
      </c>
      <c r="D21" s="181">
        <f t="shared" si="3"/>
        <v>1.7880379360547208E-2</v>
      </c>
      <c r="E21" s="181">
        <f t="shared" si="6"/>
        <v>0.34617544408604878</v>
      </c>
      <c r="F21" s="121">
        <f t="shared" si="7"/>
        <v>3.7707478609701695E-2</v>
      </c>
      <c r="G21" s="121"/>
      <c r="H21" s="121"/>
      <c r="I21" s="105">
        <f t="shared" si="1"/>
        <v>1.0285958915578139</v>
      </c>
      <c r="S21" s="106"/>
    </row>
    <row r="22" spans="1:19" x14ac:dyDescent="0.25">
      <c r="A22" s="104">
        <v>2027</v>
      </c>
      <c r="B22" s="181">
        <f t="shared" si="4"/>
        <v>0.41698151949329315</v>
      </c>
      <c r="C22" s="181">
        <f t="shared" si="5"/>
        <v>0.21497846989346436</v>
      </c>
      <c r="D22" s="181">
        <f t="shared" si="3"/>
        <v>1.8389970172322804E-2</v>
      </c>
      <c r="E22" s="181">
        <f t="shared" si="6"/>
        <v>0.34205595630142477</v>
      </c>
      <c r="F22" s="121">
        <f t="shared" si="7"/>
        <v>4.0460124548209915E-2</v>
      </c>
      <c r="G22" s="121"/>
      <c r="H22" s="121"/>
      <c r="I22" s="105">
        <f t="shared" si="1"/>
        <v>1.0328660404087151</v>
      </c>
      <c r="S22" s="106"/>
    </row>
    <row r="23" spans="1:19" x14ac:dyDescent="0.25">
      <c r="A23" s="104">
        <v>2028</v>
      </c>
      <c r="B23" s="181">
        <f t="shared" si="4"/>
        <v>0.42761454824037215</v>
      </c>
      <c r="C23" s="181">
        <f t="shared" si="5"/>
        <v>0.20986198230999989</v>
      </c>
      <c r="D23" s="181">
        <f t="shared" si="3"/>
        <v>1.8914084322234005E-2</v>
      </c>
      <c r="E23" s="181">
        <f t="shared" si="6"/>
        <v>0.33798549042143783</v>
      </c>
      <c r="F23" s="121">
        <f t="shared" si="7"/>
        <v>4.3413713640229237E-2</v>
      </c>
      <c r="G23" s="121"/>
      <c r="H23" s="121"/>
      <c r="I23" s="105">
        <f t="shared" si="1"/>
        <v>1.0377898189342731</v>
      </c>
      <c r="S23" s="106"/>
    </row>
    <row r="24" spans="1:19" x14ac:dyDescent="0.25">
      <c r="A24" s="104">
        <v>2029</v>
      </c>
      <c r="B24" s="181">
        <f t="shared" si="4"/>
        <v>0.43851871922050167</v>
      </c>
      <c r="C24" s="181">
        <f t="shared" si="5"/>
        <v>0.20486726713102188</v>
      </c>
      <c r="D24" s="181">
        <f t="shared" si="3"/>
        <v>1.9453135725417674E-2</v>
      </c>
      <c r="E24" s="181">
        <f t="shared" si="6"/>
        <v>0.33396346308542268</v>
      </c>
      <c r="F24" s="121">
        <f t="shared" si="7"/>
        <v>4.6582914735965972E-2</v>
      </c>
      <c r="G24" s="121"/>
      <c r="H24" s="121"/>
      <c r="I24" s="105">
        <f t="shared" si="1"/>
        <v>1.0433854998983298</v>
      </c>
      <c r="S24" s="106"/>
    </row>
    <row r="25" spans="1:19" x14ac:dyDescent="0.25">
      <c r="A25" s="104">
        <v>2030</v>
      </c>
      <c r="B25" s="181">
        <v>0.45</v>
      </c>
      <c r="C25" s="181">
        <v>0.2</v>
      </c>
      <c r="D25" s="181">
        <v>0.02</v>
      </c>
      <c r="E25" s="181">
        <v>0.33</v>
      </c>
      <c r="F25" s="121">
        <v>0.05</v>
      </c>
      <c r="G25" s="121"/>
      <c r="H25" s="121"/>
      <c r="I25" s="105">
        <f t="shared" si="1"/>
        <v>1.05</v>
      </c>
      <c r="S25" s="106"/>
    </row>
    <row r="26" spans="1:19" ht="14.25" customHeight="1" x14ac:dyDescent="0.25">
      <c r="B26" s="122">
        <f>((B25/B11)^(1/14)-1)</f>
        <v>2.5548696592848197E-2</v>
      </c>
      <c r="C26" s="122">
        <f t="shared" ref="C26:H26" si="8">((C25/C11)^(1/14)-1)</f>
        <v>-2.379701072791307E-2</v>
      </c>
      <c r="D26" s="122">
        <f t="shared" si="8"/>
        <v>2.8472272495493778E-2</v>
      </c>
      <c r="E26" s="122">
        <f>((E25/E11)^(1/14)-1)</f>
        <v>-1.1897711048976523E-2</v>
      </c>
      <c r="F26" s="122" t="e">
        <f t="shared" si="8"/>
        <v>#DIV/0!</v>
      </c>
      <c r="G26" s="122" t="e">
        <f t="shared" si="8"/>
        <v>#DIV/0!</v>
      </c>
      <c r="H26" s="122" t="e">
        <f t="shared" si="8"/>
        <v>#DIV/0!</v>
      </c>
    </row>
    <row r="27" spans="1:19" x14ac:dyDescent="0.25">
      <c r="A27" s="192" t="s">
        <v>10</v>
      </c>
      <c r="B27" s="193" t="s">
        <v>129</v>
      </c>
      <c r="C27" s="194"/>
      <c r="D27" s="194"/>
      <c r="E27" s="194"/>
      <c r="F27" s="194"/>
      <c r="G27" s="194"/>
      <c r="H27" s="195"/>
      <c r="I27" s="196" t="s">
        <v>39</v>
      </c>
    </row>
    <row r="28" spans="1:19" ht="25.5" x14ac:dyDescent="0.25">
      <c r="A28" s="192"/>
      <c r="B28" s="99" t="s">
        <v>1</v>
      </c>
      <c r="C28" s="99" t="s">
        <v>2</v>
      </c>
      <c r="D28" s="99" t="s">
        <v>128</v>
      </c>
      <c r="E28" s="95" t="s">
        <v>4</v>
      </c>
      <c r="F28" s="99" t="s">
        <v>5</v>
      </c>
      <c r="G28" s="99" t="s">
        <v>125</v>
      </c>
      <c r="H28" s="95" t="s">
        <v>7</v>
      </c>
      <c r="I28" s="197"/>
    </row>
    <row r="29" spans="1:19" x14ac:dyDescent="0.25">
      <c r="A29" s="104">
        <v>2011</v>
      </c>
      <c r="B29" s="109">
        <f t="shared" ref="B29:H29" si="9">$I$29*B6</f>
        <v>1.5206338209999999</v>
      </c>
      <c r="C29" s="109">
        <f t="shared" si="9"/>
        <v>1.3479329219999998</v>
      </c>
      <c r="D29" s="109">
        <f t="shared" si="9"/>
        <v>6.4943234999999988E-2</v>
      </c>
      <c r="E29" s="110">
        <f t="shared" si="9"/>
        <v>1.8771000219999998</v>
      </c>
      <c r="F29" s="109">
        <f t="shared" si="9"/>
        <v>0</v>
      </c>
      <c r="G29" s="109">
        <f t="shared" si="9"/>
        <v>0</v>
      </c>
      <c r="H29" s="111">
        <f t="shared" si="9"/>
        <v>0</v>
      </c>
      <c r="I29" s="112">
        <f>'timbulan sampah'!E5</f>
        <v>4.8106099999999996</v>
      </c>
      <c r="J29" s="113">
        <f>SUM(B29:H29)</f>
        <v>4.8106099999999996</v>
      </c>
    </row>
    <row r="30" spans="1:19" x14ac:dyDescent="0.25">
      <c r="A30" s="104">
        <v>2012</v>
      </c>
      <c r="B30" s="109">
        <f t="shared" ref="B30:H30" si="10">$I$30*B7</f>
        <v>1.5328257980000002</v>
      </c>
      <c r="C30" s="109">
        <f t="shared" si="10"/>
        <v>1.3587402360000003</v>
      </c>
      <c r="D30" s="109">
        <f t="shared" si="10"/>
        <v>6.5463930000000004E-2</v>
      </c>
      <c r="E30" s="110">
        <f t="shared" si="10"/>
        <v>1.8921500360000001</v>
      </c>
      <c r="F30" s="109">
        <f t="shared" si="10"/>
        <v>0</v>
      </c>
      <c r="G30" s="109">
        <f t="shared" si="10"/>
        <v>0</v>
      </c>
      <c r="H30" s="111">
        <f t="shared" si="10"/>
        <v>0</v>
      </c>
      <c r="I30" s="112">
        <f>'timbulan sampah'!E6</f>
        <v>4.8491800000000005</v>
      </c>
      <c r="J30" s="113">
        <f t="shared" ref="J30:J48" si="11">SUM(B30:H30)</f>
        <v>4.8491800000000005</v>
      </c>
    </row>
    <row r="31" spans="1:19" x14ac:dyDescent="0.25">
      <c r="A31" s="104">
        <v>2013</v>
      </c>
      <c r="B31" s="109">
        <f t="shared" ref="B31:H31" si="12">$I$31*B8</f>
        <v>1.5421950019999997</v>
      </c>
      <c r="C31" s="109">
        <f t="shared" si="12"/>
        <v>1.3670453639999998</v>
      </c>
      <c r="D31" s="109">
        <f t="shared" si="12"/>
        <v>6.5864069999999983E-2</v>
      </c>
      <c r="E31" s="110">
        <f t="shared" si="12"/>
        <v>1.9037155639999996</v>
      </c>
      <c r="F31" s="109">
        <f t="shared" si="12"/>
        <v>0</v>
      </c>
      <c r="G31" s="109">
        <f t="shared" si="12"/>
        <v>0</v>
      </c>
      <c r="H31" s="111">
        <f t="shared" si="12"/>
        <v>0</v>
      </c>
      <c r="I31" s="112">
        <f>'timbulan sampah'!E7</f>
        <v>4.8788199999999993</v>
      </c>
      <c r="J31" s="113">
        <f t="shared" si="11"/>
        <v>4.8788199999999993</v>
      </c>
    </row>
    <row r="32" spans="1:19" x14ac:dyDescent="0.25">
      <c r="A32" s="104">
        <v>2014</v>
      </c>
      <c r="B32" s="109">
        <f t="shared" ref="B32:H32" si="13">$I$32*B9</f>
        <v>1.555167746</v>
      </c>
      <c r="C32" s="109">
        <f t="shared" si="13"/>
        <v>1.3785447719999999</v>
      </c>
      <c r="D32" s="109">
        <f t="shared" si="13"/>
        <v>6.6418110000000002E-2</v>
      </c>
      <c r="E32" s="110">
        <f t="shared" si="13"/>
        <v>1.9197293719999999</v>
      </c>
      <c r="F32" s="109">
        <f t="shared" si="13"/>
        <v>0</v>
      </c>
      <c r="G32" s="109">
        <f t="shared" si="13"/>
        <v>0</v>
      </c>
      <c r="H32" s="111">
        <f t="shared" si="13"/>
        <v>0</v>
      </c>
      <c r="I32" s="112">
        <f>'timbulan sampah'!E8</f>
        <v>4.9198599999999999</v>
      </c>
      <c r="J32" s="113">
        <f t="shared" si="11"/>
        <v>4.9198599999999999</v>
      </c>
      <c r="P32" s="103"/>
    </row>
    <row r="33" spans="1:16" x14ac:dyDescent="0.25">
      <c r="A33" s="104">
        <v>2015</v>
      </c>
      <c r="B33" s="109">
        <f t="shared" ref="B33:H33" si="14">$I$33*B10</f>
        <v>1.5597322300000001</v>
      </c>
      <c r="C33" s="109">
        <f t="shared" si="14"/>
        <v>1.3825908600000001</v>
      </c>
      <c r="D33" s="109">
        <f t="shared" si="14"/>
        <v>6.6613050000000007E-2</v>
      </c>
      <c r="E33" s="110">
        <f t="shared" si="14"/>
        <v>1.92536386</v>
      </c>
      <c r="F33" s="109">
        <f t="shared" si="14"/>
        <v>0</v>
      </c>
      <c r="G33" s="109">
        <f t="shared" si="14"/>
        <v>0</v>
      </c>
      <c r="H33" s="111">
        <f t="shared" si="14"/>
        <v>0</v>
      </c>
      <c r="I33" s="112">
        <f>'timbulan sampah'!E9</f>
        <v>4.9343000000000004</v>
      </c>
      <c r="J33" s="113">
        <f t="shared" si="11"/>
        <v>4.9343000000000004</v>
      </c>
      <c r="P33" s="103"/>
    </row>
    <row r="34" spans="1:16" x14ac:dyDescent="0.25">
      <c r="A34" s="104">
        <v>2016</v>
      </c>
      <c r="B34" s="109">
        <f t="shared" ref="B34:H34" si="15">$I$34*B11</f>
        <v>1.5668792509999998</v>
      </c>
      <c r="C34" s="109">
        <f t="shared" si="15"/>
        <v>1.3889261819999998</v>
      </c>
      <c r="D34" s="109">
        <f t="shared" si="15"/>
        <v>6.6918284999999994E-2</v>
      </c>
      <c r="E34" s="110">
        <f t="shared" si="15"/>
        <v>1.9341862819999998</v>
      </c>
      <c r="F34" s="109">
        <f t="shared" si="15"/>
        <v>0</v>
      </c>
      <c r="G34" s="109">
        <f t="shared" si="15"/>
        <v>0</v>
      </c>
      <c r="H34" s="111">
        <f t="shared" si="15"/>
        <v>0</v>
      </c>
      <c r="I34" s="112">
        <f>'timbulan sampah'!E10</f>
        <v>4.9569099999999997</v>
      </c>
      <c r="J34" s="113">
        <f t="shared" si="11"/>
        <v>4.9569099999999988</v>
      </c>
    </row>
    <row r="35" spans="1:16" x14ac:dyDescent="0.25">
      <c r="A35" s="104">
        <v>2017</v>
      </c>
      <c r="B35" s="182">
        <f>(I35*B12)-F35</f>
        <v>1.5190806233819552</v>
      </c>
      <c r="C35" s="109">
        <f t="shared" ref="C35:H35" si="16">$I$35*C12</f>
        <v>1.3661074934722441</v>
      </c>
      <c r="D35" s="109">
        <f t="shared" si="16"/>
        <v>6.9345135933974997E-2</v>
      </c>
      <c r="E35" s="110">
        <f t="shared" si="16"/>
        <v>1.925600116973222</v>
      </c>
      <c r="F35" s="109">
        <f t="shared" si="16"/>
        <v>9.9886762000000004E-2</v>
      </c>
      <c r="G35" s="109">
        <f t="shared" si="16"/>
        <v>0</v>
      </c>
      <c r="H35" s="111">
        <f t="shared" si="16"/>
        <v>0</v>
      </c>
      <c r="I35" s="112">
        <f>'timbulan sampah'!E11</f>
        <v>4.9943381000000002</v>
      </c>
      <c r="J35" s="113">
        <f t="shared" si="11"/>
        <v>4.9800201317613961</v>
      </c>
    </row>
    <row r="36" spans="1:16" x14ac:dyDescent="0.25">
      <c r="A36" s="104">
        <v>2018</v>
      </c>
      <c r="B36" s="182">
        <f t="shared" ref="B36:B48" si="17">(I36*B13)-F36</f>
        <v>1.5622051197749143</v>
      </c>
      <c r="C36" s="109">
        <f t="shared" ref="C36:H36" si="18">$I$36*C13</f>
        <v>1.341436093732423</v>
      </c>
      <c r="D36" s="109">
        <f t="shared" si="18"/>
        <v>7.1740865299365894E-2</v>
      </c>
      <c r="E36" s="110">
        <f t="shared" si="18"/>
        <v>1.9138738726688371</v>
      </c>
      <c r="F36" s="109">
        <f t="shared" si="18"/>
        <v>0.107808739344</v>
      </c>
      <c r="G36" s="109">
        <f t="shared" si="18"/>
        <v>0</v>
      </c>
      <c r="H36" s="111">
        <f t="shared" si="18"/>
        <v>0</v>
      </c>
      <c r="I36" s="112">
        <f>'timbulan sampah'!E12</f>
        <v>5.0237064</v>
      </c>
      <c r="J36" s="113">
        <f t="shared" si="11"/>
        <v>4.9970646908195402</v>
      </c>
    </row>
    <row r="37" spans="1:16" x14ac:dyDescent="0.25">
      <c r="A37" s="104">
        <v>2019</v>
      </c>
      <c r="B37" s="182">
        <f t="shared" si="17"/>
        <v>1.6062559406485879</v>
      </c>
      <c r="C37" s="109">
        <f t="shared" ref="C37:H37" si="19">$I$37*C14</f>
        <v>1.3171652346916152</v>
      </c>
      <c r="D37" s="109">
        <f t="shared" si="19"/>
        <v>7.4216825651921697E-2</v>
      </c>
      <c r="E37" s="110">
        <f t="shared" si="19"/>
        <v>1.9021540287463321</v>
      </c>
      <c r="F37" s="109">
        <f t="shared" si="19"/>
        <v>0.11635502882552598</v>
      </c>
      <c r="G37" s="109">
        <f t="shared" si="19"/>
        <v>0</v>
      </c>
      <c r="H37" s="111">
        <f t="shared" si="19"/>
        <v>0</v>
      </c>
      <c r="I37" s="112">
        <f>'timbulan sampah'!E13</f>
        <v>5.0530746999999998</v>
      </c>
      <c r="J37" s="113">
        <f t="shared" si="11"/>
        <v>5.0161470585639831</v>
      </c>
    </row>
    <row r="38" spans="1:16" x14ac:dyDescent="0.25">
      <c r="A38" s="104">
        <v>2020</v>
      </c>
      <c r="B38" s="182">
        <f t="shared" si="17"/>
        <v>1.6512300421461465</v>
      </c>
      <c r="C38" s="109">
        <f t="shared" ref="C38:H38" si="20">$I$38*C15</f>
        <v>1.2932898254802161</v>
      </c>
      <c r="D38" s="109">
        <f t="shared" si="20"/>
        <v>7.6775644226733789E-2</v>
      </c>
      <c r="E38" s="110">
        <f t="shared" si="20"/>
        <v>1.8904420934300743</v>
      </c>
      <c r="F38" s="109">
        <f t="shared" si="20"/>
        <v>0.12557456379939061</v>
      </c>
      <c r="G38" s="109">
        <f t="shared" si="20"/>
        <v>0</v>
      </c>
      <c r="H38" s="111">
        <f t="shared" si="20"/>
        <v>0</v>
      </c>
      <c r="I38" s="112">
        <f>'timbulan sampah'!E14</f>
        <v>5.0824430000000005</v>
      </c>
      <c r="J38" s="113">
        <f t="shared" si="11"/>
        <v>5.0373121690825613</v>
      </c>
    </row>
    <row r="39" spans="1:16" x14ac:dyDescent="0.25">
      <c r="A39" s="104">
        <v>2021</v>
      </c>
      <c r="B39" s="182">
        <f t="shared" si="17"/>
        <v>1.6971218951632736</v>
      </c>
      <c r="C39" s="109">
        <f t="shared" ref="C39:H39" si="21">$I$39*C16</f>
        <v>1.2698047906717407</v>
      </c>
      <c r="D39" s="109">
        <f t="shared" si="21"/>
        <v>7.9420032843674382E-2</v>
      </c>
      <c r="E39" s="110">
        <f t="shared" si="21"/>
        <v>1.8787395381423324</v>
      </c>
      <c r="F39" s="109">
        <f t="shared" si="21"/>
        <v>0.13552009493082823</v>
      </c>
      <c r="G39" s="109">
        <f t="shared" si="21"/>
        <v>0</v>
      </c>
      <c r="H39" s="111">
        <f t="shared" si="21"/>
        <v>0</v>
      </c>
      <c r="I39" s="112">
        <f>'timbulan sampah'!E15</f>
        <v>5.1118113000000003</v>
      </c>
      <c r="J39" s="113">
        <f t="shared" si="11"/>
        <v>5.0606063517518498</v>
      </c>
    </row>
    <row r="40" spans="1:16" x14ac:dyDescent="0.25">
      <c r="A40" s="104">
        <v>2022</v>
      </c>
      <c r="B40" s="182">
        <f t="shared" si="17"/>
        <v>1.7439232268822584</v>
      </c>
      <c r="C40" s="109">
        <f t="shared" ref="C40:H40" si="22">$I$40*C17</f>
        <v>1.2467050724314037</v>
      </c>
      <c r="D40" s="109">
        <f t="shared" si="22"/>
        <v>8.2152790594757427E-2</v>
      </c>
      <c r="E40" s="110">
        <f t="shared" si="22"/>
        <v>1.867047798165588</v>
      </c>
      <c r="F40" s="109">
        <f>$I$40*F17</f>
        <v>0.14624848675696878</v>
      </c>
      <c r="G40" s="109">
        <f t="shared" si="22"/>
        <v>0</v>
      </c>
      <c r="H40" s="111">
        <f t="shared" si="22"/>
        <v>0</v>
      </c>
      <c r="I40" s="112">
        <f>'timbulan sampah'!E16</f>
        <v>5.1411796000000001</v>
      </c>
      <c r="J40" s="113">
        <f t="shared" si="11"/>
        <v>5.0860773748309764</v>
      </c>
    </row>
    <row r="41" spans="1:16" x14ac:dyDescent="0.25">
      <c r="A41" s="104">
        <v>2023</v>
      </c>
      <c r="B41" s="182">
        <f t="shared" si="17"/>
        <v>1.7916227404272562</v>
      </c>
      <c r="C41" s="109">
        <f t="shared" ref="C41:H41" si="23">$I$41*C18</f>
        <v>1.2239856325536789</v>
      </c>
      <c r="D41" s="109">
        <f t="shared" si="23"/>
        <v>8.497680661597494E-2</v>
      </c>
      <c r="E41" s="110">
        <f t="shared" si="23"/>
        <v>1.8553682732942942</v>
      </c>
      <c r="F41" s="109">
        <f t="shared" si="23"/>
        <v>0.15782103720383953</v>
      </c>
      <c r="G41" s="109">
        <f t="shared" si="23"/>
        <v>0</v>
      </c>
      <c r="H41" s="111">
        <f t="shared" si="23"/>
        <v>0</v>
      </c>
      <c r="I41" s="112">
        <f>'timbulan sampah'!E17</f>
        <v>5.1705479000000008</v>
      </c>
      <c r="J41" s="113">
        <f t="shared" si="11"/>
        <v>5.1137744900950439</v>
      </c>
    </row>
    <row r="42" spans="1:16" x14ac:dyDescent="0.25">
      <c r="A42" s="104">
        <v>2024</v>
      </c>
      <c r="B42" s="182">
        <f t="shared" si="17"/>
        <v>1.8402058108997292</v>
      </c>
      <c r="C42" s="109">
        <f t="shared" ref="C42:H42" si="24">$I$42*C19</f>
        <v>1.2016414543929053</v>
      </c>
      <c r="D42" s="109">
        <f t="shared" si="24"/>
        <v>8.7895062946241234E-2</v>
      </c>
      <c r="E42" s="110">
        <f t="shared" si="24"/>
        <v>1.8437023284762382</v>
      </c>
      <c r="F42" s="109">
        <f t="shared" si="24"/>
        <v>0.1703038218300254</v>
      </c>
      <c r="G42" s="109">
        <f t="shared" si="24"/>
        <v>0</v>
      </c>
      <c r="H42" s="111">
        <f t="shared" si="24"/>
        <v>0</v>
      </c>
      <c r="I42" s="112">
        <f>'timbulan sampah'!E18</f>
        <v>5.1999161999999997</v>
      </c>
      <c r="J42" s="113">
        <f t="shared" si="11"/>
        <v>5.1437484785451391</v>
      </c>
    </row>
    <row r="43" spans="1:16" x14ac:dyDescent="0.25">
      <c r="A43" s="104">
        <v>2025</v>
      </c>
      <c r="B43" s="182">
        <f t="shared" si="17"/>
        <v>1.8896541559176663</v>
      </c>
      <c r="C43" s="109">
        <f t="shared" ref="C43:H43" si="25">$I$43*C20</f>
        <v>1.1796675446908811</v>
      </c>
      <c r="D43" s="109">
        <f t="shared" si="25"/>
        <v>9.0910637476158893E-2</v>
      </c>
      <c r="E43" s="110">
        <f t="shared" si="25"/>
        <v>1.8320512944436713</v>
      </c>
      <c r="F43" s="109">
        <f t="shared" si="25"/>
        <v>0.18376806470437521</v>
      </c>
      <c r="G43" s="109">
        <f t="shared" si="25"/>
        <v>0</v>
      </c>
      <c r="H43" s="111">
        <f t="shared" si="25"/>
        <v>0</v>
      </c>
      <c r="I43" s="112">
        <f>'timbulan sampah'!E19</f>
        <v>5.2292844999999994</v>
      </c>
      <c r="J43" s="113">
        <f t="shared" si="11"/>
        <v>5.1760516972327526</v>
      </c>
    </row>
    <row r="44" spans="1:16" x14ac:dyDescent="0.25">
      <c r="A44" s="104">
        <v>2026</v>
      </c>
      <c r="B44" s="182">
        <f t="shared" si="17"/>
        <v>1.9399454786363046</v>
      </c>
      <c r="C44" s="109">
        <f t="shared" ref="C44:H44" si="26">$I$44*C21</f>
        <v>1.1580589353052471</v>
      </c>
      <c r="D44" s="109">
        <f t="shared" si="26"/>
        <v>9.4026706989403797E-2</v>
      </c>
      <c r="E44" s="110">
        <f t="shared" si="26"/>
        <v>1.8204164683343438</v>
      </c>
      <c r="F44" s="109">
        <f t="shared" si="26"/>
        <v>0.19829053797184792</v>
      </c>
      <c r="G44" s="109">
        <f t="shared" si="26"/>
        <v>0</v>
      </c>
      <c r="H44" s="111">
        <f t="shared" si="26"/>
        <v>0</v>
      </c>
      <c r="I44" s="112">
        <f>'timbulan sampah'!E20</f>
        <v>5.2586528000000001</v>
      </c>
      <c r="J44" s="113">
        <f t="shared" si="11"/>
        <v>5.2107381272371471</v>
      </c>
    </row>
    <row r="45" spans="1:16" x14ac:dyDescent="0.25">
      <c r="A45" s="104">
        <v>2027</v>
      </c>
      <c r="B45" s="182">
        <f t="shared" si="17"/>
        <v>1.9910530810710336</v>
      </c>
      <c r="C45" s="109">
        <f t="shared" ref="C45:H45" si="27">$I$45*C22</f>
        <v>1.1368106848423543</v>
      </c>
      <c r="D45" s="109">
        <f t="shared" si="27"/>
        <v>9.7246550299613627E-2</v>
      </c>
      <c r="E45" s="110">
        <f t="shared" si="27"/>
        <v>1.8087991143026121</v>
      </c>
      <c r="F45" s="109">
        <f t="shared" si="27"/>
        <v>0.213953992319562</v>
      </c>
      <c r="G45" s="109">
        <f t="shared" si="27"/>
        <v>0</v>
      </c>
      <c r="H45" s="111">
        <f t="shared" si="27"/>
        <v>0</v>
      </c>
      <c r="I45" s="112">
        <f>'timbulan sampah'!E21</f>
        <v>5.2880210999999999</v>
      </c>
      <c r="J45" s="113">
        <f t="shared" si="11"/>
        <v>5.2478634228351755</v>
      </c>
    </row>
    <row r="46" spans="1:16" x14ac:dyDescent="0.25">
      <c r="A46" s="104">
        <v>2028</v>
      </c>
      <c r="B46" s="182">
        <f t="shared" si="17"/>
        <v>2.0429454453739533</v>
      </c>
      <c r="C46" s="109">
        <f t="shared" ref="C46:H46" si="28">$I$46*C23</f>
        <v>1.1159178801981808</v>
      </c>
      <c r="D46" s="109">
        <f t="shared" si="28"/>
        <v>0.10057355148575327</v>
      </c>
      <c r="E46" s="110">
        <f t="shared" si="28"/>
        <v>1.7972004641207548</v>
      </c>
      <c r="F46" s="109">
        <f t="shared" si="28"/>
        <v>0.23084762072519036</v>
      </c>
      <c r="G46" s="109">
        <f t="shared" si="28"/>
        <v>0</v>
      </c>
      <c r="H46" s="110">
        <f t="shared" si="28"/>
        <v>0</v>
      </c>
      <c r="I46" s="112">
        <f>'timbulan sampah'!E22</f>
        <v>5.3173893999999997</v>
      </c>
      <c r="J46" s="113">
        <f t="shared" si="11"/>
        <v>5.2874849619038322</v>
      </c>
    </row>
    <row r="47" spans="1:16" x14ac:dyDescent="0.25">
      <c r="A47" s="104">
        <v>2029</v>
      </c>
      <c r="B47" s="182">
        <f t="shared" si="17"/>
        <v>2.0955857805333862</v>
      </c>
      <c r="C47" s="109">
        <f t="shared" ref="C47:H47" si="29">$I$47*C24</f>
        <v>1.0953756380107482</v>
      </c>
      <c r="D47" s="109">
        <f t="shared" si="29"/>
        <v>0.10401120322902203</v>
      </c>
      <c r="E47" s="110">
        <f t="shared" si="29"/>
        <v>1.7856217177706497</v>
      </c>
      <c r="F47" s="109">
        <f t="shared" si="29"/>
        <v>0.24906755805296954</v>
      </c>
      <c r="G47" s="109">
        <f t="shared" si="29"/>
        <v>0</v>
      </c>
      <c r="H47" s="110">
        <f t="shared" si="29"/>
        <v>0</v>
      </c>
      <c r="I47" s="112">
        <f>'timbulan sampah'!E23</f>
        <v>5.3467577000000004</v>
      </c>
      <c r="J47" s="113">
        <f t="shared" si="11"/>
        <v>5.3296618975967753</v>
      </c>
    </row>
    <row r="48" spans="1:16" x14ac:dyDescent="0.25">
      <c r="A48" s="104">
        <v>2030</v>
      </c>
      <c r="B48" s="182">
        <f t="shared" si="17"/>
        <v>2.1504504</v>
      </c>
      <c r="C48" s="109">
        <f t="shared" ref="C48:H48" si="30">$I$48*C25</f>
        <v>1.0752252</v>
      </c>
      <c r="D48" s="109">
        <f t="shared" si="30"/>
        <v>0.10752252000000001</v>
      </c>
      <c r="E48" s="110">
        <f t="shared" si="30"/>
        <v>1.7741215800000001</v>
      </c>
      <c r="F48" s="109">
        <f t="shared" si="30"/>
        <v>0.2688063</v>
      </c>
      <c r="G48" s="109">
        <f t="shared" si="30"/>
        <v>0</v>
      </c>
      <c r="H48" s="110">
        <f t="shared" si="30"/>
        <v>0</v>
      </c>
      <c r="I48" s="112">
        <f>'timbulan sampah'!E24</f>
        <v>5.3761260000000002</v>
      </c>
      <c r="J48" s="113">
        <f t="shared" si="11"/>
        <v>5.3761259999999993</v>
      </c>
    </row>
    <row r="50" spans="2:6" x14ac:dyDescent="0.25">
      <c r="B50" s="187">
        <f>B29*1000</f>
        <v>1520.6338209999999</v>
      </c>
      <c r="E50" s="104">
        <v>2017</v>
      </c>
      <c r="F50" s="184">
        <f>F35*1000</f>
        <v>99.886762000000004</v>
      </c>
    </row>
    <row r="51" spans="2:6" x14ac:dyDescent="0.25">
      <c r="B51" s="187">
        <f t="shared" ref="B51:B69" si="31">B30*1000</f>
        <v>1532.8257980000001</v>
      </c>
      <c r="E51" s="104">
        <v>2018</v>
      </c>
      <c r="F51" s="184">
        <f t="shared" ref="F51:F63" si="32">F36*1000</f>
        <v>107.808739344</v>
      </c>
    </row>
    <row r="52" spans="2:6" x14ac:dyDescent="0.25">
      <c r="B52" s="187">
        <f t="shared" si="31"/>
        <v>1542.1950019999997</v>
      </c>
      <c r="E52" s="104">
        <v>2019</v>
      </c>
      <c r="F52" s="184">
        <f t="shared" si="32"/>
        <v>116.35502882552598</v>
      </c>
    </row>
    <row r="53" spans="2:6" x14ac:dyDescent="0.25">
      <c r="B53" s="187">
        <f t="shared" si="31"/>
        <v>1555.1677459999999</v>
      </c>
      <c r="E53" s="104">
        <v>2020</v>
      </c>
      <c r="F53" s="184">
        <f t="shared" si="32"/>
        <v>125.5745637993906</v>
      </c>
    </row>
    <row r="54" spans="2:6" x14ac:dyDescent="0.25">
      <c r="B54" s="187">
        <f t="shared" si="31"/>
        <v>1559.7322300000001</v>
      </c>
      <c r="E54" s="104">
        <v>2021</v>
      </c>
      <c r="F54" s="184">
        <f t="shared" si="32"/>
        <v>135.52009493082824</v>
      </c>
    </row>
    <row r="55" spans="2:6" x14ac:dyDescent="0.25">
      <c r="B55" s="187">
        <f t="shared" si="31"/>
        <v>1566.8792509999998</v>
      </c>
      <c r="E55" s="104">
        <v>2022</v>
      </c>
      <c r="F55" s="184">
        <f t="shared" si="32"/>
        <v>146.24848675696879</v>
      </c>
    </row>
    <row r="56" spans="2:6" x14ac:dyDescent="0.25">
      <c r="B56" s="187">
        <f t="shared" si="31"/>
        <v>1519.0806233819551</v>
      </c>
      <c r="E56" s="104">
        <v>2023</v>
      </c>
      <c r="F56" s="184">
        <f t="shared" si="32"/>
        <v>157.82103720383952</v>
      </c>
    </row>
    <row r="57" spans="2:6" x14ac:dyDescent="0.25">
      <c r="B57" s="187">
        <f t="shared" si="31"/>
        <v>1562.2051197749142</v>
      </c>
      <c r="E57" s="104">
        <v>2024</v>
      </c>
      <c r="F57" s="184">
        <f t="shared" si="32"/>
        <v>170.30382183002541</v>
      </c>
    </row>
    <row r="58" spans="2:6" x14ac:dyDescent="0.25">
      <c r="B58" s="187">
        <f t="shared" si="31"/>
        <v>1606.255940648588</v>
      </c>
      <c r="E58" s="104">
        <v>2025</v>
      </c>
      <c r="F58" s="184">
        <f t="shared" si="32"/>
        <v>183.76806470437521</v>
      </c>
    </row>
    <row r="59" spans="2:6" x14ac:dyDescent="0.25">
      <c r="B59" s="187">
        <f t="shared" si="31"/>
        <v>1651.2300421461466</v>
      </c>
      <c r="E59" s="104">
        <v>2026</v>
      </c>
      <c r="F59" s="184">
        <f t="shared" si="32"/>
        <v>198.29053797184793</v>
      </c>
    </row>
    <row r="60" spans="2:6" x14ac:dyDescent="0.25">
      <c r="B60" s="187">
        <f t="shared" si="31"/>
        <v>1697.1218951632736</v>
      </c>
      <c r="E60" s="104">
        <v>2027</v>
      </c>
      <c r="F60" s="184">
        <f t="shared" si="32"/>
        <v>213.95399231956199</v>
      </c>
    </row>
    <row r="61" spans="2:6" x14ac:dyDescent="0.25">
      <c r="B61" s="187">
        <f t="shared" si="31"/>
        <v>1743.9232268822584</v>
      </c>
      <c r="E61" s="104">
        <v>2028</v>
      </c>
      <c r="F61" s="184">
        <f t="shared" si="32"/>
        <v>230.84762072519035</v>
      </c>
    </row>
    <row r="62" spans="2:6" x14ac:dyDescent="0.25">
      <c r="B62" s="187">
        <f t="shared" si="31"/>
        <v>1791.6227404272563</v>
      </c>
      <c r="E62" s="104">
        <v>2029</v>
      </c>
      <c r="F62" s="184">
        <f t="shared" si="32"/>
        <v>249.06755805296953</v>
      </c>
    </row>
    <row r="63" spans="2:6" x14ac:dyDescent="0.25">
      <c r="B63" s="187">
        <f t="shared" si="31"/>
        <v>1840.2058108997292</v>
      </c>
      <c r="E63" s="104">
        <v>2030</v>
      </c>
      <c r="F63" s="184">
        <f t="shared" si="32"/>
        <v>268.80630000000002</v>
      </c>
    </row>
    <row r="64" spans="2:6" x14ac:dyDescent="0.25">
      <c r="B64" s="187">
        <f t="shared" si="31"/>
        <v>1889.6541559176662</v>
      </c>
      <c r="F64" s="185">
        <f>SUM(F50:F63)</f>
        <v>2404.2526084645242</v>
      </c>
    </row>
    <row r="65" spans="2:6" x14ac:dyDescent="0.25">
      <c r="B65" s="187">
        <f t="shared" si="31"/>
        <v>1939.9454786363046</v>
      </c>
      <c r="F65" s="186">
        <f>F64/14</f>
        <v>171.73232917603744</v>
      </c>
    </row>
    <row r="66" spans="2:6" x14ac:dyDescent="0.25">
      <c r="B66" s="187">
        <f t="shared" si="31"/>
        <v>1991.0530810710336</v>
      </c>
    </row>
    <row r="67" spans="2:6" x14ac:dyDescent="0.25">
      <c r="B67" s="187">
        <f t="shared" si="31"/>
        <v>2042.9454453739534</v>
      </c>
    </row>
    <row r="68" spans="2:6" x14ac:dyDescent="0.25">
      <c r="B68" s="187">
        <f t="shared" si="31"/>
        <v>2095.5857805333862</v>
      </c>
    </row>
    <row r="69" spans="2:6" x14ac:dyDescent="0.25">
      <c r="B69" s="187">
        <f t="shared" si="31"/>
        <v>2150.4504000000002</v>
      </c>
    </row>
    <row r="70" spans="2:6" x14ac:dyDescent="0.25">
      <c r="B70" s="186">
        <f>SUM(B50:B69)</f>
        <v>34798.713588856474</v>
      </c>
    </row>
    <row r="71" spans="2:6" x14ac:dyDescent="0.25">
      <c r="B71" s="186">
        <f>B70/20</f>
        <v>1739.9356794428236</v>
      </c>
    </row>
    <row r="72" spans="2:6" x14ac:dyDescent="0.25">
      <c r="B72" s="96" t="s">
        <v>161</v>
      </c>
    </row>
  </sheetData>
  <mergeCells count="7">
    <mergeCell ref="A2:I2"/>
    <mergeCell ref="A27:A28"/>
    <mergeCell ref="B27:H27"/>
    <mergeCell ref="I4:I5"/>
    <mergeCell ref="I27:I28"/>
    <mergeCell ref="A4:A5"/>
    <mergeCell ref="B4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topLeftCell="A4" zoomScale="85" zoomScaleNormal="85" workbookViewId="0">
      <selection activeCell="I69" sqref="I69"/>
    </sheetView>
  </sheetViews>
  <sheetFormatPr defaultRowHeight="12.75" x14ac:dyDescent="0.25"/>
  <cols>
    <col min="1" max="1" width="9.42578125" style="126" bestFit="1" customWidth="1"/>
    <col min="2" max="2" width="11.5703125" style="126" bestFit="1" customWidth="1"/>
    <col min="3" max="3" width="21.42578125" style="126" bestFit="1" customWidth="1"/>
    <col min="4" max="4" width="12.7109375" style="126" bestFit="1" customWidth="1"/>
    <col min="5" max="5" width="21.5703125" style="126" bestFit="1" customWidth="1"/>
    <col min="6" max="6" width="16.42578125" style="126" bestFit="1" customWidth="1"/>
    <col min="7" max="7" width="16.7109375" style="126" bestFit="1" customWidth="1"/>
    <col min="8" max="8" width="11" style="126" bestFit="1" customWidth="1"/>
    <col min="9" max="9" width="18.7109375" style="126" customWidth="1"/>
    <col min="10" max="10" width="18.85546875" style="126" customWidth="1"/>
    <col min="11" max="12" width="9.42578125" style="126" bestFit="1" customWidth="1"/>
    <col min="13" max="13" width="11" style="126" bestFit="1" customWidth="1"/>
    <col min="14" max="14" width="16.28515625" style="126" bestFit="1" customWidth="1"/>
    <col min="15" max="15" width="9.140625" style="126"/>
    <col min="16" max="16" width="9.42578125" style="126" bestFit="1" customWidth="1"/>
    <col min="17" max="17" width="8.28515625" style="126" bestFit="1" customWidth="1"/>
    <col min="18" max="18" width="11" style="126" bestFit="1" customWidth="1"/>
    <col min="19" max="19" width="16.28515625" style="126" bestFit="1" customWidth="1"/>
    <col min="20" max="23" width="9.140625" style="126"/>
    <col min="24" max="24" width="9.5703125" style="126" bestFit="1" customWidth="1"/>
    <col min="25" max="16384" width="9.140625" style="126"/>
  </cols>
  <sheetData>
    <row r="2" spans="1:24" x14ac:dyDescent="0.25">
      <c r="A2" s="124" t="s">
        <v>116</v>
      </c>
      <c r="B2" s="124"/>
      <c r="C2" s="124"/>
      <c r="D2" s="125"/>
      <c r="E2" s="125"/>
      <c r="F2" s="125"/>
      <c r="G2" s="125"/>
      <c r="H2" s="125"/>
      <c r="I2" s="125"/>
    </row>
    <row r="3" spans="1:24" x14ac:dyDescent="0.25">
      <c r="A3" s="127"/>
    </row>
    <row r="4" spans="1:24" x14ac:dyDescent="0.25">
      <c r="A4" s="128" t="s">
        <v>137</v>
      </c>
    </row>
    <row r="6" spans="1:24" ht="35.25" customHeight="1" x14ac:dyDescent="0.25">
      <c r="A6" s="198" t="s">
        <v>10</v>
      </c>
      <c r="B6" s="200" t="s">
        <v>117</v>
      </c>
      <c r="C6" s="200"/>
      <c r="D6" s="200"/>
      <c r="E6" s="129" t="s">
        <v>113</v>
      </c>
      <c r="F6" s="198" t="s">
        <v>10</v>
      </c>
      <c r="G6" s="200" t="s">
        <v>110</v>
      </c>
      <c r="H6" s="200"/>
      <c r="I6" s="200"/>
      <c r="J6" s="130" t="s">
        <v>114</v>
      </c>
      <c r="K6" s="198" t="s">
        <v>10</v>
      </c>
      <c r="L6" s="200" t="s">
        <v>111</v>
      </c>
      <c r="M6" s="200"/>
      <c r="N6" s="200"/>
      <c r="O6" s="130" t="s">
        <v>114</v>
      </c>
      <c r="P6" s="198" t="s">
        <v>10</v>
      </c>
      <c r="Q6" s="199" t="s">
        <v>159</v>
      </c>
      <c r="R6" s="199"/>
      <c r="S6" s="199"/>
      <c r="X6" s="131"/>
    </row>
    <row r="7" spans="1:24" ht="14.25" x14ac:dyDescent="0.25">
      <c r="A7" s="198"/>
      <c r="B7" s="198" t="s">
        <v>141</v>
      </c>
      <c r="C7" s="198"/>
      <c r="D7" s="200" t="s">
        <v>142</v>
      </c>
      <c r="E7" s="132"/>
      <c r="F7" s="198"/>
      <c r="G7" s="198" t="s">
        <v>141</v>
      </c>
      <c r="H7" s="198"/>
      <c r="I7" s="200" t="s">
        <v>142</v>
      </c>
      <c r="K7" s="198"/>
      <c r="L7" s="198" t="s">
        <v>141</v>
      </c>
      <c r="M7" s="198"/>
      <c r="N7" s="200" t="s">
        <v>142</v>
      </c>
      <c r="P7" s="198"/>
      <c r="Q7" s="198" t="s">
        <v>141</v>
      </c>
      <c r="R7" s="198"/>
      <c r="S7" s="200" t="s">
        <v>142</v>
      </c>
      <c r="X7" s="131"/>
    </row>
    <row r="8" spans="1:24" ht="14.25" x14ac:dyDescent="0.25">
      <c r="A8" s="198"/>
      <c r="B8" s="133" t="s">
        <v>143</v>
      </c>
      <c r="C8" s="133" t="s">
        <v>144</v>
      </c>
      <c r="D8" s="200"/>
      <c r="E8" s="134"/>
      <c r="F8" s="198"/>
      <c r="G8" s="133" t="s">
        <v>143</v>
      </c>
      <c r="H8" s="133" t="s">
        <v>144</v>
      </c>
      <c r="I8" s="200"/>
      <c r="K8" s="198"/>
      <c r="L8" s="133" t="s">
        <v>143</v>
      </c>
      <c r="M8" s="133" t="s">
        <v>144</v>
      </c>
      <c r="N8" s="200"/>
      <c r="P8" s="198"/>
      <c r="Q8" s="133" t="s">
        <v>143</v>
      </c>
      <c r="R8" s="133" t="s">
        <v>144</v>
      </c>
      <c r="S8" s="200"/>
    </row>
    <row r="9" spans="1:24" x14ac:dyDescent="0.25">
      <c r="A9" s="135">
        <v>2011</v>
      </c>
      <c r="B9" s="136">
        <f>[2]Results!O28</f>
        <v>0</v>
      </c>
      <c r="C9" s="137">
        <f>B9*21</f>
        <v>0</v>
      </c>
      <c r="D9" s="138">
        <f t="shared" ref="D9:D14" si="0">E9+C9</f>
        <v>0</v>
      </c>
      <c r="E9" s="139"/>
      <c r="F9" s="135">
        <v>2011</v>
      </c>
      <c r="G9" s="136">
        <f>[3]Results!O28</f>
        <v>0</v>
      </c>
      <c r="H9" s="137">
        <f>G9*21</f>
        <v>0</v>
      </c>
      <c r="I9" s="138">
        <f t="shared" ref="I9:I14" si="1">J9+H9</f>
        <v>0</v>
      </c>
      <c r="K9" s="135">
        <v>2011</v>
      </c>
      <c r="L9" s="140">
        <f>[4]Results!O28</f>
        <v>0</v>
      </c>
      <c r="M9" s="137">
        <f>L9*21</f>
        <v>0</v>
      </c>
      <c r="N9" s="138">
        <f>O9+M9</f>
        <v>0</v>
      </c>
      <c r="P9" s="135">
        <v>2011</v>
      </c>
      <c r="Q9" s="140">
        <f>[5]Results!O28</f>
        <v>0</v>
      </c>
      <c r="R9" s="137">
        <f>Q9*21</f>
        <v>0</v>
      </c>
      <c r="S9" s="138">
        <f>T9+R9</f>
        <v>0</v>
      </c>
    </row>
    <row r="10" spans="1:24" x14ac:dyDescent="0.25">
      <c r="A10" s="135">
        <v>2012</v>
      </c>
      <c r="B10" s="136">
        <f>[2]Results!O29</f>
        <v>2.0054639396671885E-2</v>
      </c>
      <c r="C10" s="137">
        <f t="shared" ref="C10:C14" si="2">B10*21</f>
        <v>0.42114742733010957</v>
      </c>
      <c r="D10" s="138">
        <f t="shared" si="0"/>
        <v>0.42114742733010957</v>
      </c>
      <c r="E10" s="139"/>
      <c r="F10" s="135">
        <v>2012</v>
      </c>
      <c r="G10" s="136">
        <f>[3]Results!O29</f>
        <v>0</v>
      </c>
      <c r="H10" s="137">
        <f t="shared" ref="H10:H14" si="3">G10*21</f>
        <v>0</v>
      </c>
      <c r="I10" s="138">
        <f t="shared" si="1"/>
        <v>0</v>
      </c>
      <c r="K10" s="135">
        <v>2012</v>
      </c>
      <c r="L10" s="140">
        <f>[4]Results!O29</f>
        <v>1.4221600655355809E-2</v>
      </c>
      <c r="M10" s="137">
        <f t="shared" ref="M10:M14" si="4">L10*21</f>
        <v>0.29865361376247196</v>
      </c>
      <c r="N10" s="138">
        <f t="shared" ref="N10:N14" si="5">O10+M10</f>
        <v>0.29865361376247196</v>
      </c>
      <c r="P10" s="135">
        <v>2012</v>
      </c>
      <c r="Q10" s="140">
        <f>[5]Results!O29</f>
        <v>0</v>
      </c>
      <c r="R10" s="137">
        <f t="shared" ref="R10:R14" si="6">Q10*21</f>
        <v>0</v>
      </c>
      <c r="S10" s="138">
        <f t="shared" ref="S10:S14" si="7">T10+R10</f>
        <v>0</v>
      </c>
    </row>
    <row r="11" spans="1:24" x14ac:dyDescent="0.25">
      <c r="A11" s="135">
        <v>2013</v>
      </c>
      <c r="B11" s="136">
        <f>[2]Results!O30</f>
        <v>3.4403655272623422E-2</v>
      </c>
      <c r="C11" s="137">
        <f t="shared" si="2"/>
        <v>0.72247676072509182</v>
      </c>
      <c r="D11" s="138">
        <f t="shared" si="0"/>
        <v>0.72247676072509182</v>
      </c>
      <c r="E11" s="139"/>
      <c r="F11" s="135">
        <v>2013</v>
      </c>
      <c r="G11" s="136">
        <f>[3]Results!O30</f>
        <v>0</v>
      </c>
      <c r="H11" s="137">
        <f t="shared" si="3"/>
        <v>0</v>
      </c>
      <c r="I11" s="138">
        <f t="shared" si="1"/>
        <v>0</v>
      </c>
      <c r="K11" s="135">
        <v>2013</v>
      </c>
      <c r="L11" s="140">
        <f>[4]Results!O30</f>
        <v>2.4397100176878413E-2</v>
      </c>
      <c r="M11" s="137">
        <f t="shared" si="4"/>
        <v>0.51233910371444669</v>
      </c>
      <c r="N11" s="138">
        <f t="shared" si="5"/>
        <v>0.51233910371444669</v>
      </c>
      <c r="P11" s="135">
        <v>2013</v>
      </c>
      <c r="Q11" s="140">
        <f>[5]Results!O30</f>
        <v>0</v>
      </c>
      <c r="R11" s="137">
        <f t="shared" si="6"/>
        <v>0</v>
      </c>
      <c r="S11" s="138">
        <f t="shared" si="7"/>
        <v>0</v>
      </c>
    </row>
    <row r="12" spans="1:24" x14ac:dyDescent="0.25">
      <c r="A12" s="135">
        <v>2014</v>
      </c>
      <c r="B12" s="136">
        <f>[2]Results!O31</f>
        <v>4.4804936626583435E-2</v>
      </c>
      <c r="C12" s="137">
        <f t="shared" si="2"/>
        <v>0.94090366915825208</v>
      </c>
      <c r="D12" s="138">
        <f t="shared" si="0"/>
        <v>0.94090366915825208</v>
      </c>
      <c r="E12" s="139"/>
      <c r="F12" s="135">
        <v>2014</v>
      </c>
      <c r="G12" s="136">
        <f>[3]Results!O31</f>
        <v>0</v>
      </c>
      <c r="H12" s="137">
        <f t="shared" si="3"/>
        <v>0</v>
      </c>
      <c r="I12" s="138">
        <f t="shared" si="1"/>
        <v>0</v>
      </c>
      <c r="K12" s="135">
        <v>2014</v>
      </c>
      <c r="L12" s="140">
        <f>[4]Results!O31</f>
        <v>3.177309267388468E-2</v>
      </c>
      <c r="M12" s="137">
        <f t="shared" si="4"/>
        <v>0.6672349461515783</v>
      </c>
      <c r="N12" s="138">
        <f t="shared" si="5"/>
        <v>0.6672349461515783</v>
      </c>
      <c r="P12" s="135">
        <v>2014</v>
      </c>
      <c r="Q12" s="140">
        <f>[5]Results!O31</f>
        <v>0</v>
      </c>
      <c r="R12" s="137">
        <f t="shared" si="6"/>
        <v>0</v>
      </c>
      <c r="S12" s="138">
        <f t="shared" si="7"/>
        <v>0</v>
      </c>
    </row>
    <row r="13" spans="1:24" x14ac:dyDescent="0.25">
      <c r="A13" s="135">
        <v>2015</v>
      </c>
      <c r="B13" s="136">
        <f>[2]Results!O32</f>
        <v>5.253216537770463E-2</v>
      </c>
      <c r="C13" s="137">
        <f t="shared" si="2"/>
        <v>1.1031754729317973</v>
      </c>
      <c r="D13" s="138">
        <f t="shared" si="0"/>
        <v>1.1031754729317973</v>
      </c>
      <c r="E13" s="139"/>
      <c r="F13" s="135">
        <v>2015</v>
      </c>
      <c r="G13" s="136">
        <f>[3]Results!O32</f>
        <v>0</v>
      </c>
      <c r="H13" s="137">
        <f t="shared" si="3"/>
        <v>0</v>
      </c>
      <c r="I13" s="138">
        <f t="shared" si="1"/>
        <v>0</v>
      </c>
      <c r="K13" s="135">
        <v>2015</v>
      </c>
      <c r="L13" s="140">
        <f>[4]Results!O32</f>
        <v>3.725280035136435E-2</v>
      </c>
      <c r="M13" s="137">
        <f t="shared" si="4"/>
        <v>0.78230880737865138</v>
      </c>
      <c r="N13" s="138">
        <f t="shared" si="5"/>
        <v>0.78230880737865138</v>
      </c>
      <c r="P13" s="135">
        <v>2015</v>
      </c>
      <c r="Q13" s="140">
        <f>[5]Results!O32</f>
        <v>0</v>
      </c>
      <c r="R13" s="137">
        <f t="shared" si="6"/>
        <v>0</v>
      </c>
      <c r="S13" s="138">
        <f t="shared" si="7"/>
        <v>0</v>
      </c>
    </row>
    <row r="14" spans="1:24" x14ac:dyDescent="0.25">
      <c r="A14" s="135">
        <v>2016</v>
      </c>
      <c r="B14" s="136">
        <f>[2]Results!O33</f>
        <v>5.8292830086223983E-2</v>
      </c>
      <c r="C14" s="137">
        <f t="shared" si="2"/>
        <v>1.2241494318107036</v>
      </c>
      <c r="D14" s="138">
        <f t="shared" si="0"/>
        <v>1.2241494318107036</v>
      </c>
      <c r="E14" s="139"/>
      <c r="F14" s="135">
        <v>2016</v>
      </c>
      <c r="G14" s="136">
        <f>[3]Results!O33</f>
        <v>0</v>
      </c>
      <c r="H14" s="137">
        <f t="shared" si="3"/>
        <v>0</v>
      </c>
      <c r="I14" s="138">
        <f t="shared" si="1"/>
        <v>0</v>
      </c>
      <c r="K14" s="135">
        <v>2016</v>
      </c>
      <c r="L14" s="140">
        <f>[4]Results!O33</f>
        <v>4.133793354042381E-2</v>
      </c>
      <c r="M14" s="137">
        <f t="shared" si="4"/>
        <v>0.86809660434890001</v>
      </c>
      <c r="N14" s="138">
        <f t="shared" si="5"/>
        <v>0.86809660434890001</v>
      </c>
      <c r="P14" s="135">
        <v>2016</v>
      </c>
      <c r="Q14" s="140">
        <f>[5]Results!O33</f>
        <v>0</v>
      </c>
      <c r="R14" s="137">
        <f t="shared" si="6"/>
        <v>0</v>
      </c>
      <c r="S14" s="138">
        <f t="shared" si="7"/>
        <v>0</v>
      </c>
    </row>
    <row r="15" spans="1:24" x14ac:dyDescent="0.25">
      <c r="A15" s="135">
        <v>2017</v>
      </c>
      <c r="B15" s="136">
        <f>[2]Results!O34</f>
        <v>6.2710625768290257E-2</v>
      </c>
      <c r="C15" s="137">
        <f t="shared" ref="C15:C29" si="8">B15*21</f>
        <v>1.3169231411340954</v>
      </c>
      <c r="D15" s="138">
        <f t="shared" ref="D15:D29" si="9">E15+C15</f>
        <v>1.3169231411340954</v>
      </c>
      <c r="E15" s="139"/>
      <c r="F15" s="135">
        <v>2017</v>
      </c>
      <c r="G15" s="136">
        <f>[3]Results!O34</f>
        <v>0</v>
      </c>
      <c r="H15" s="137">
        <f t="shared" ref="H15:H29" si="10">G15*21</f>
        <v>0</v>
      </c>
      <c r="I15" s="138">
        <f t="shared" ref="I15:I29" si="11">J15+H15</f>
        <v>0</v>
      </c>
      <c r="K15" s="135">
        <v>2017</v>
      </c>
      <c r="L15" s="140">
        <f>[4]Results!O34</f>
        <v>4.4470780994052335E-2</v>
      </c>
      <c r="M15" s="137">
        <f t="shared" ref="M15:M29" si="12">L15*21</f>
        <v>0.933886400875099</v>
      </c>
      <c r="N15" s="138">
        <f t="shared" ref="N15:N29" si="13">O15+M15</f>
        <v>0.933886400875099</v>
      </c>
      <c r="P15" s="135">
        <v>2017</v>
      </c>
      <c r="Q15" s="140">
        <f>[5]Results!O34</f>
        <v>0</v>
      </c>
      <c r="R15" s="137">
        <f t="shared" ref="R15:R29" si="14">Q15*21</f>
        <v>0</v>
      </c>
      <c r="S15" s="138">
        <f t="shared" ref="S15:S29" si="15">T15+R15</f>
        <v>0</v>
      </c>
    </row>
    <row r="16" spans="1:24" x14ac:dyDescent="0.25">
      <c r="A16" s="135">
        <v>2018</v>
      </c>
      <c r="B16" s="136">
        <f>[2]Results!O35</f>
        <v>6.5454058664019557E-2</v>
      </c>
      <c r="C16" s="137">
        <f t="shared" si="8"/>
        <v>1.3745352319444106</v>
      </c>
      <c r="D16" s="138">
        <f t="shared" si="9"/>
        <v>1.3745352319444106</v>
      </c>
      <c r="E16" s="139"/>
      <c r="F16" s="135">
        <v>2018</v>
      </c>
      <c r="G16" s="136">
        <f>[3]Results!O35</f>
        <v>0</v>
      </c>
      <c r="H16" s="137">
        <f t="shared" si="10"/>
        <v>0</v>
      </c>
      <c r="I16" s="138">
        <f t="shared" si="11"/>
        <v>0</v>
      </c>
      <c r="K16" s="135">
        <v>2018</v>
      </c>
      <c r="L16" s="140">
        <f>[4]Results!O35</f>
        <v>4.6622546467296848E-2</v>
      </c>
      <c r="M16" s="137">
        <f t="shared" si="12"/>
        <v>0.97907347581323378</v>
      </c>
      <c r="N16" s="138">
        <f t="shared" si="13"/>
        <v>0.97907347581323378</v>
      </c>
      <c r="P16" s="135">
        <v>2018</v>
      </c>
      <c r="Q16" s="140">
        <f>[5]Results!O35</f>
        <v>7.9040448716069522E-4</v>
      </c>
      <c r="R16" s="137">
        <f t="shared" si="14"/>
        <v>1.65984942303746E-2</v>
      </c>
      <c r="S16" s="138">
        <f t="shared" si="15"/>
        <v>1.65984942303746E-2</v>
      </c>
    </row>
    <row r="17" spans="1:19" x14ac:dyDescent="0.25">
      <c r="A17" s="135">
        <v>2019</v>
      </c>
      <c r="B17" s="136">
        <f>[2]Results!O36</f>
        <v>6.8204332130884032E-2</v>
      </c>
      <c r="C17" s="137">
        <f t="shared" si="8"/>
        <v>1.4322909747485646</v>
      </c>
      <c r="D17" s="138">
        <f t="shared" si="9"/>
        <v>1.4322909747485646</v>
      </c>
      <c r="E17" s="139"/>
      <c r="F17" s="135">
        <v>2019</v>
      </c>
      <c r="G17" s="136">
        <f>[3]Results!O36</f>
        <v>0</v>
      </c>
      <c r="H17" s="137">
        <f t="shared" si="10"/>
        <v>0</v>
      </c>
      <c r="I17" s="138">
        <f t="shared" si="11"/>
        <v>0</v>
      </c>
      <c r="K17" s="135">
        <v>2019</v>
      </c>
      <c r="L17" s="140">
        <f>[4]Results!O36</f>
        <v>4.8055203346761277E-2</v>
      </c>
      <c r="M17" s="137">
        <f t="shared" si="12"/>
        <v>1.0091592702819869</v>
      </c>
      <c r="N17" s="138">
        <f t="shared" si="13"/>
        <v>1.0091592702819869</v>
      </c>
      <c r="P17" s="135">
        <v>2019</v>
      </c>
      <c r="Q17" s="140">
        <f>[5]Results!O36</f>
        <v>1.4122852274277432E-3</v>
      </c>
      <c r="R17" s="137">
        <f t="shared" si="14"/>
        <v>2.9657989775982607E-2</v>
      </c>
      <c r="S17" s="138">
        <f t="shared" si="15"/>
        <v>2.9657989775982607E-2</v>
      </c>
    </row>
    <row r="18" spans="1:19" x14ac:dyDescent="0.25">
      <c r="A18" s="135">
        <v>2020</v>
      </c>
      <c r="B18" s="136">
        <f>[2]Results!O37</f>
        <v>7.0954981786105889E-2</v>
      </c>
      <c r="C18" s="137">
        <f t="shared" si="8"/>
        <v>1.4900546175082237</v>
      </c>
      <c r="D18" s="138">
        <f t="shared" si="9"/>
        <v>1.4900546175082237</v>
      </c>
      <c r="E18" s="139"/>
      <c r="F18" s="135">
        <v>2020</v>
      </c>
      <c r="G18" s="136">
        <f>[3]Results!O37</f>
        <v>0</v>
      </c>
      <c r="H18" s="137">
        <f t="shared" si="10"/>
        <v>0</v>
      </c>
      <c r="I18" s="138">
        <f t="shared" si="11"/>
        <v>0</v>
      </c>
      <c r="K18" s="135">
        <v>2020</v>
      </c>
      <c r="L18" s="140">
        <f>[4]Results!O37</f>
        <v>4.8972800913634568E-2</v>
      </c>
      <c r="M18" s="137">
        <f t="shared" si="12"/>
        <v>1.028428819186326</v>
      </c>
      <c r="N18" s="138">
        <f t="shared" si="13"/>
        <v>1.028428819186326</v>
      </c>
      <c r="P18" s="135">
        <v>2020</v>
      </c>
      <c r="Q18" s="140">
        <f>[5]Results!O37</f>
        <v>1.9248491078149323E-3</v>
      </c>
      <c r="R18" s="137">
        <f t="shared" si="14"/>
        <v>4.0421831264113577E-2</v>
      </c>
      <c r="S18" s="138">
        <f t="shared" si="15"/>
        <v>4.0421831264113577E-2</v>
      </c>
    </row>
    <row r="19" spans="1:19" x14ac:dyDescent="0.25">
      <c r="A19" s="135">
        <v>2021</v>
      </c>
      <c r="B19" s="136">
        <f>[2]Results!O38</f>
        <v>7.3704272884666161E-2</v>
      </c>
      <c r="C19" s="137">
        <f t="shared" si="8"/>
        <v>1.5477897305779893</v>
      </c>
      <c r="D19" s="138">
        <f t="shared" si="9"/>
        <v>1.5477897305779893</v>
      </c>
      <c r="E19" s="139"/>
      <c r="F19" s="135">
        <v>2021</v>
      </c>
      <c r="G19" s="136">
        <f>[3]Results!O38</f>
        <v>0</v>
      </c>
      <c r="H19" s="137">
        <f t="shared" si="10"/>
        <v>0</v>
      </c>
      <c r="I19" s="138">
        <f t="shared" si="11"/>
        <v>0</v>
      </c>
      <c r="K19" s="135">
        <v>2021</v>
      </c>
      <c r="L19" s="140">
        <f>[4]Results!O38</f>
        <v>4.9516941296685664E-2</v>
      </c>
      <c r="M19" s="137">
        <f t="shared" si="12"/>
        <v>1.039855767230399</v>
      </c>
      <c r="N19" s="138">
        <f t="shared" si="13"/>
        <v>1.039855767230399</v>
      </c>
      <c r="P19" s="135">
        <v>2021</v>
      </c>
      <c r="Q19" s="140">
        <f>[5]Results!O38</f>
        <v>2.3685678396740367E-3</v>
      </c>
      <c r="R19" s="137">
        <f t="shared" si="14"/>
        <v>4.973992463315477E-2</v>
      </c>
      <c r="S19" s="138">
        <f t="shared" si="15"/>
        <v>4.973992463315477E-2</v>
      </c>
    </row>
    <row r="20" spans="1:19" x14ac:dyDescent="0.25">
      <c r="A20" s="135">
        <v>2022</v>
      </c>
      <c r="B20" s="136">
        <f>[2]Results!O39</f>
        <v>7.645323518404544E-2</v>
      </c>
      <c r="C20" s="137">
        <f t="shared" si="8"/>
        <v>1.6055179388649543</v>
      </c>
      <c r="D20" s="138">
        <f t="shared" si="9"/>
        <v>1.6055179388649543</v>
      </c>
      <c r="E20" s="139"/>
      <c r="F20" s="135">
        <v>2022</v>
      </c>
      <c r="G20" s="136">
        <f>[3]Results!O39</f>
        <v>0</v>
      </c>
      <c r="H20" s="137">
        <f t="shared" si="10"/>
        <v>0</v>
      </c>
      <c r="I20" s="138">
        <f t="shared" si="11"/>
        <v>0</v>
      </c>
      <c r="K20" s="135">
        <v>2022</v>
      </c>
      <c r="L20" s="140">
        <f>[4]Results!O39</f>
        <v>4.9786682467272261E-2</v>
      </c>
      <c r="M20" s="137">
        <f t="shared" si="12"/>
        <v>1.0455203318127175</v>
      </c>
      <c r="N20" s="138">
        <f t="shared" si="13"/>
        <v>1.0455203318127175</v>
      </c>
      <c r="P20" s="135">
        <v>2022</v>
      </c>
      <c r="Q20" s="140">
        <f>[5]Results!O39</f>
        <v>2.771342405099078E-3</v>
      </c>
      <c r="R20" s="137">
        <f t="shared" si="14"/>
        <v>5.8198190507080638E-2</v>
      </c>
      <c r="S20" s="138">
        <f t="shared" si="15"/>
        <v>5.8198190507080638E-2</v>
      </c>
    </row>
    <row r="21" spans="1:19" x14ac:dyDescent="0.25">
      <c r="A21" s="135">
        <v>2023</v>
      </c>
      <c r="B21" s="136">
        <f>[2]Results!O40</f>
        <v>7.9204396560685078E-2</v>
      </c>
      <c r="C21" s="137">
        <f t="shared" si="8"/>
        <v>1.6632923277743867</v>
      </c>
      <c r="D21" s="138">
        <f t="shared" si="9"/>
        <v>1.6632923277743867</v>
      </c>
      <c r="E21" s="139"/>
      <c r="F21" s="135">
        <v>2023</v>
      </c>
      <c r="G21" s="136">
        <f>[3]Results!O40</f>
        <v>0</v>
      </c>
      <c r="H21" s="137">
        <f t="shared" si="10"/>
        <v>0</v>
      </c>
      <c r="I21" s="138">
        <f t="shared" si="11"/>
        <v>0</v>
      </c>
      <c r="K21" s="135">
        <v>2023</v>
      </c>
      <c r="L21" s="140">
        <f>[4]Results!O40</f>
        <v>4.9851981234282416E-2</v>
      </c>
      <c r="M21" s="137">
        <f t="shared" si="12"/>
        <v>1.0468916059199307</v>
      </c>
      <c r="N21" s="138">
        <f t="shared" si="13"/>
        <v>1.0468916059199307</v>
      </c>
      <c r="P21" s="135">
        <v>2023</v>
      </c>
      <c r="Q21" s="140">
        <f>[5]Results!O40</f>
        <v>3.1526454194550132E-3</v>
      </c>
      <c r="R21" s="137">
        <f t="shared" si="14"/>
        <v>6.6205553808555279E-2</v>
      </c>
      <c r="S21" s="138">
        <f t="shared" si="15"/>
        <v>6.6205553808555279E-2</v>
      </c>
    </row>
    <row r="22" spans="1:19" x14ac:dyDescent="0.25">
      <c r="A22" s="135">
        <v>2024</v>
      </c>
      <c r="B22" s="136">
        <f>[2]Results!O41</f>
        <v>8.1960976260415291E-2</v>
      </c>
      <c r="C22" s="137">
        <f t="shared" si="8"/>
        <v>1.7211805014687211</v>
      </c>
      <c r="D22" s="138">
        <f t="shared" si="9"/>
        <v>1.7211805014687211</v>
      </c>
      <c r="E22" s="139"/>
      <c r="F22" s="135">
        <v>2024</v>
      </c>
      <c r="G22" s="136">
        <f>[3]Results!O41</f>
        <v>0</v>
      </c>
      <c r="H22" s="137">
        <f t="shared" si="10"/>
        <v>0</v>
      </c>
      <c r="I22" s="138">
        <f t="shared" si="11"/>
        <v>0</v>
      </c>
      <c r="K22" s="135">
        <v>2024</v>
      </c>
      <c r="L22" s="140">
        <f>[4]Results!O41</f>
        <v>4.9762790457520009E-2</v>
      </c>
      <c r="M22" s="137">
        <f t="shared" si="12"/>
        <v>1.0450185996079202</v>
      </c>
      <c r="N22" s="138">
        <f t="shared" si="13"/>
        <v>1.0450185996079202</v>
      </c>
      <c r="P22" s="135">
        <v>2024</v>
      </c>
      <c r="Q22" s="140">
        <f>[5]Results!O41</f>
        <v>3.5263071191494197E-3</v>
      </c>
      <c r="R22" s="137">
        <f t="shared" si="14"/>
        <v>7.405244950213781E-2</v>
      </c>
      <c r="S22" s="138">
        <f t="shared" si="15"/>
        <v>7.405244950213781E-2</v>
      </c>
    </row>
    <row r="23" spans="1:19" x14ac:dyDescent="0.25">
      <c r="A23" s="135">
        <v>2025</v>
      </c>
      <c r="B23" s="136">
        <f>[2]Results!O42</f>
        <v>8.4726378772755587E-2</v>
      </c>
      <c r="C23" s="137">
        <f t="shared" si="8"/>
        <v>1.7792539542278674</v>
      </c>
      <c r="D23" s="138">
        <f t="shared" si="9"/>
        <v>1.7792539542278674</v>
      </c>
      <c r="E23" s="139"/>
      <c r="F23" s="135">
        <v>2025</v>
      </c>
      <c r="G23" s="136">
        <f>[3]Results!O42</f>
        <v>0</v>
      </c>
      <c r="H23" s="137">
        <f t="shared" si="10"/>
        <v>0</v>
      </c>
      <c r="I23" s="138">
        <f t="shared" si="11"/>
        <v>0</v>
      </c>
      <c r="K23" s="135">
        <v>2025</v>
      </c>
      <c r="L23" s="140">
        <f>[4]Results!O42</f>
        <v>4.9555230082846284E-2</v>
      </c>
      <c r="M23" s="137">
        <f t="shared" si="12"/>
        <v>1.0406598317397719</v>
      </c>
      <c r="N23" s="138">
        <f t="shared" si="13"/>
        <v>1.0406598317397719</v>
      </c>
      <c r="P23" s="135">
        <v>2025</v>
      </c>
      <c r="Q23" s="140">
        <f>[5]Results!O42</f>
        <v>3.9023914084968555E-3</v>
      </c>
      <c r="R23" s="137">
        <f t="shared" si="14"/>
        <v>8.1950219578433972E-2</v>
      </c>
      <c r="S23" s="138">
        <f t="shared" si="15"/>
        <v>8.1950219578433972E-2</v>
      </c>
    </row>
    <row r="24" spans="1:19" x14ac:dyDescent="0.25">
      <c r="A24" s="135">
        <v>2026</v>
      </c>
      <c r="B24" s="136">
        <f>[2]Results!O43</f>
        <v>8.7503882811771586E-2</v>
      </c>
      <c r="C24" s="137">
        <f t="shared" si="8"/>
        <v>1.8375815390472032</v>
      </c>
      <c r="D24" s="138">
        <f t="shared" si="9"/>
        <v>1.8375815390472032</v>
      </c>
      <c r="E24" s="139"/>
      <c r="F24" s="135">
        <v>2026</v>
      </c>
      <c r="G24" s="136">
        <f>[3]Results!O43</f>
        <v>0</v>
      </c>
      <c r="H24" s="137">
        <f t="shared" si="10"/>
        <v>0</v>
      </c>
      <c r="I24" s="138">
        <f t="shared" si="11"/>
        <v>0</v>
      </c>
      <c r="K24" s="135">
        <v>2026</v>
      </c>
      <c r="L24" s="140">
        <f>[4]Results!O43</f>
        <v>4.9255785614344384E-2</v>
      </c>
      <c r="M24" s="137">
        <f t="shared" si="12"/>
        <v>1.0343714979012322</v>
      </c>
      <c r="N24" s="138">
        <f t="shared" si="13"/>
        <v>1.0343714979012322</v>
      </c>
      <c r="P24" s="135">
        <v>2026</v>
      </c>
      <c r="Q24" s="140">
        <f>[5]Results!O43</f>
        <v>4.2884613882765996E-3</v>
      </c>
      <c r="R24" s="137">
        <f t="shared" si="14"/>
        <v>9.0057689153808587E-2</v>
      </c>
      <c r="S24" s="138">
        <f t="shared" si="15"/>
        <v>9.0057689153808587E-2</v>
      </c>
    </row>
    <row r="25" spans="1:19" x14ac:dyDescent="0.25">
      <c r="A25" s="135">
        <v>2027</v>
      </c>
      <c r="B25" s="136">
        <f>[2]Results!O44</f>
        <v>9.0296455569954484E-2</v>
      </c>
      <c r="C25" s="137">
        <f t="shared" si="8"/>
        <v>1.8962255669690442</v>
      </c>
      <c r="D25" s="138">
        <f t="shared" si="9"/>
        <v>1.8962255669690442</v>
      </c>
      <c r="E25" s="139"/>
      <c r="F25" s="135">
        <v>2027</v>
      </c>
      <c r="G25" s="136">
        <f>[3]Results!O44</f>
        <v>0</v>
      </c>
      <c r="H25" s="137">
        <f t="shared" si="10"/>
        <v>0</v>
      </c>
      <c r="I25" s="138">
        <f t="shared" si="11"/>
        <v>0</v>
      </c>
      <c r="K25" s="135">
        <v>2027</v>
      </c>
      <c r="L25" s="140">
        <f>[4]Results!O44</f>
        <v>4.8884174962377201E-2</v>
      </c>
      <c r="M25" s="137">
        <f t="shared" si="12"/>
        <v>1.0265676742099212</v>
      </c>
      <c r="N25" s="138">
        <f t="shared" si="13"/>
        <v>1.0265676742099212</v>
      </c>
      <c r="P25" s="135">
        <v>2027</v>
      </c>
      <c r="Q25" s="140">
        <f>[5]Results!O44</f>
        <v>4.6904352218191375E-3</v>
      </c>
      <c r="R25" s="137">
        <f t="shared" si="14"/>
        <v>9.8499139658201881E-2</v>
      </c>
      <c r="S25" s="138">
        <f t="shared" si="15"/>
        <v>9.8499139658201881E-2</v>
      </c>
    </row>
    <row r="26" spans="1:19" x14ac:dyDescent="0.25">
      <c r="A26" s="135">
        <v>2028</v>
      </c>
      <c r="B26" s="136">
        <f>[2]Results!O45</f>
        <v>9.3106646184182448E-2</v>
      </c>
      <c r="C26" s="137">
        <f t="shared" si="8"/>
        <v>1.9552395698678313</v>
      </c>
      <c r="D26" s="138">
        <f t="shared" si="9"/>
        <v>1.9552395698678313</v>
      </c>
      <c r="E26" s="139"/>
      <c r="F26" s="135">
        <v>2028</v>
      </c>
      <c r="G26" s="136">
        <f>[3]Results!O45</f>
        <v>0</v>
      </c>
      <c r="H26" s="137">
        <f t="shared" si="10"/>
        <v>0</v>
      </c>
      <c r="I26" s="138">
        <f t="shared" si="11"/>
        <v>0</v>
      </c>
      <c r="K26" s="135">
        <v>2028</v>
      </c>
      <c r="L26" s="140">
        <f>[4]Results!O45</f>
        <v>4.8455314747064597E-2</v>
      </c>
      <c r="M26" s="137">
        <f t="shared" si="12"/>
        <v>1.0175616096883566</v>
      </c>
      <c r="N26" s="138">
        <f t="shared" si="13"/>
        <v>1.0175616096883566</v>
      </c>
      <c r="P26" s="135">
        <v>2028</v>
      </c>
      <c r="Q26" s="140">
        <f>[5]Results!O45</f>
        <v>5.1131671047880654E-3</v>
      </c>
      <c r="R26" s="137">
        <f t="shared" si="14"/>
        <v>0.10737650920054938</v>
      </c>
      <c r="S26" s="138">
        <f t="shared" si="15"/>
        <v>0.10737650920054938</v>
      </c>
    </row>
    <row r="27" spans="1:19" x14ac:dyDescent="0.25">
      <c r="A27" s="135">
        <v>2029</v>
      </c>
      <c r="B27" s="136">
        <f>[2]Results!O46</f>
        <v>9.5936528163456949E-2</v>
      </c>
      <c r="C27" s="137">
        <f t="shared" si="8"/>
        <v>2.0146670914325959</v>
      </c>
      <c r="D27" s="138">
        <f t="shared" si="9"/>
        <v>2.0146670914325959</v>
      </c>
      <c r="E27" s="139"/>
      <c r="F27" s="135">
        <v>2029</v>
      </c>
      <c r="G27" s="136">
        <f>[3]Results!O46</f>
        <v>0</v>
      </c>
      <c r="H27" s="137">
        <f t="shared" si="10"/>
        <v>0</v>
      </c>
      <c r="I27" s="138">
        <f t="shared" si="11"/>
        <v>0</v>
      </c>
      <c r="K27" s="135">
        <v>2029</v>
      </c>
      <c r="L27" s="140">
        <f>[4]Results!O46</f>
        <v>4.7980676239193817E-2</v>
      </c>
      <c r="M27" s="137">
        <f t="shared" si="12"/>
        <v>1.0075942010230701</v>
      </c>
      <c r="N27" s="138">
        <f t="shared" si="13"/>
        <v>1.0075942010230701</v>
      </c>
      <c r="P27" s="135">
        <v>2029</v>
      </c>
      <c r="Q27" s="140">
        <f>[5]Results!O46</f>
        <v>5.5608437884251335E-3</v>
      </c>
      <c r="R27" s="137">
        <f t="shared" si="14"/>
        <v>0.11677771955692781</v>
      </c>
      <c r="S27" s="138">
        <f t="shared" si="15"/>
        <v>0.11677771955692781</v>
      </c>
    </row>
    <row r="28" spans="1:19" x14ac:dyDescent="0.25">
      <c r="A28" s="135">
        <v>2030</v>
      </c>
      <c r="B28" s="136">
        <f>[2]Results!O47</f>
        <v>9.878767102049435E-2</v>
      </c>
      <c r="C28" s="137">
        <f t="shared" si="8"/>
        <v>2.0745410914303815</v>
      </c>
      <c r="D28" s="138">
        <f t="shared" si="9"/>
        <v>2.0745410914303815</v>
      </c>
      <c r="E28" s="139"/>
      <c r="F28" s="135">
        <v>2030</v>
      </c>
      <c r="G28" s="136">
        <f>[3]Results!O47</f>
        <v>0</v>
      </c>
      <c r="H28" s="137">
        <f t="shared" si="10"/>
        <v>0</v>
      </c>
      <c r="I28" s="138">
        <f t="shared" si="11"/>
        <v>0</v>
      </c>
      <c r="K28" s="135">
        <v>2030</v>
      </c>
      <c r="L28" s="140">
        <f>[4]Results!O47</f>
        <v>4.7469226484580331E-2</v>
      </c>
      <c r="M28" s="137">
        <f t="shared" si="12"/>
        <v>0.99685375617618699</v>
      </c>
      <c r="N28" s="138">
        <f t="shared" si="13"/>
        <v>0.99685375617618699</v>
      </c>
      <c r="P28" s="135">
        <v>2030</v>
      </c>
      <c r="Q28" s="140">
        <f>[5]Results!O47</f>
        <v>6.0372573874306213E-3</v>
      </c>
      <c r="R28" s="137">
        <f t="shared" si="14"/>
        <v>0.12678240513604305</v>
      </c>
      <c r="S28" s="138">
        <f t="shared" si="15"/>
        <v>0.12678240513604305</v>
      </c>
    </row>
    <row r="29" spans="1:19" x14ac:dyDescent="0.25">
      <c r="A29" s="135">
        <v>2031</v>
      </c>
      <c r="B29" s="136"/>
      <c r="C29" s="137">
        <f t="shared" si="8"/>
        <v>0</v>
      </c>
      <c r="D29" s="138">
        <f t="shared" si="9"/>
        <v>0</v>
      </c>
      <c r="E29" s="139"/>
      <c r="F29" s="135">
        <v>2031</v>
      </c>
      <c r="G29" s="141"/>
      <c r="H29" s="142">
        <f t="shared" si="10"/>
        <v>0</v>
      </c>
      <c r="I29" s="143">
        <f t="shared" si="11"/>
        <v>0</v>
      </c>
      <c r="K29" s="135">
        <v>2031</v>
      </c>
      <c r="L29" s="144"/>
      <c r="M29" s="142">
        <f t="shared" si="12"/>
        <v>0</v>
      </c>
      <c r="N29" s="138">
        <f t="shared" si="13"/>
        <v>0</v>
      </c>
      <c r="P29" s="135">
        <v>2031</v>
      </c>
      <c r="Q29" s="144"/>
      <c r="R29" s="145">
        <f t="shared" si="14"/>
        <v>0</v>
      </c>
      <c r="S29" s="146">
        <f t="shared" si="15"/>
        <v>0</v>
      </c>
    </row>
    <row r="31" spans="1:19" ht="13.5" thickBot="1" x14ac:dyDescent="0.3">
      <c r="A31" s="147" t="s">
        <v>124</v>
      </c>
    </row>
    <row r="32" spans="1:19" ht="13.5" thickBot="1" x14ac:dyDescent="0.3">
      <c r="A32" s="206" t="s">
        <v>10</v>
      </c>
      <c r="B32" s="208" t="s">
        <v>80</v>
      </c>
      <c r="C32" s="209"/>
      <c r="D32" s="209"/>
      <c r="E32" s="209"/>
      <c r="F32" s="210"/>
    </row>
    <row r="33" spans="1:6" ht="15" thickBot="1" x14ac:dyDescent="0.3">
      <c r="A33" s="207"/>
      <c r="B33" s="208" t="s">
        <v>141</v>
      </c>
      <c r="C33" s="210"/>
      <c r="D33" s="208" t="s">
        <v>145</v>
      </c>
      <c r="E33" s="210"/>
      <c r="F33" s="211" t="s">
        <v>142</v>
      </c>
    </row>
    <row r="34" spans="1:6" ht="14.25" x14ac:dyDescent="0.25">
      <c r="A34" s="207"/>
      <c r="B34" s="148" t="s">
        <v>143</v>
      </c>
      <c r="C34" s="148" t="s">
        <v>144</v>
      </c>
      <c r="D34" s="148" t="s">
        <v>146</v>
      </c>
      <c r="E34" s="148" t="s">
        <v>144</v>
      </c>
      <c r="F34" s="212"/>
    </row>
    <row r="35" spans="1:6" x14ac:dyDescent="0.25">
      <c r="A35" s="135">
        <v>2011</v>
      </c>
      <c r="B35" s="149">
        <f>[6]REKAPITULASI!B6</f>
        <v>2.5977293999999995E-4</v>
      </c>
      <c r="C35" s="149">
        <f>B35*21</f>
        <v>5.4552317399999993E-3</v>
      </c>
      <c r="D35" s="149">
        <f>[6]REKAPITULASI!D6</f>
        <v>1.9482970499999996E-5</v>
      </c>
      <c r="E35" s="149">
        <f>D35*310</f>
        <v>6.0397208549999989E-3</v>
      </c>
      <c r="F35" s="138">
        <f>E35+C35</f>
        <v>1.1494952594999998E-2</v>
      </c>
    </row>
    <row r="36" spans="1:6" x14ac:dyDescent="0.25">
      <c r="A36" s="135">
        <v>2012</v>
      </c>
      <c r="B36" s="149">
        <f>[6]REKAPITULASI!B7</f>
        <v>2.6185572000000002E-4</v>
      </c>
      <c r="C36" s="149">
        <f t="shared" ref="C36:C45" si="16">B36*21</f>
        <v>5.4989701200000001E-3</v>
      </c>
      <c r="D36" s="149">
        <f>[6]REKAPITULASI!D7</f>
        <v>1.9639178999999999E-5</v>
      </c>
      <c r="E36" s="149">
        <f t="shared" ref="E36:E45" si="17">D36*310</f>
        <v>6.0881454899999994E-3</v>
      </c>
      <c r="F36" s="138">
        <f t="shared" ref="F36:F45" si="18">E36+C36</f>
        <v>1.158711561E-2</v>
      </c>
    </row>
    <row r="37" spans="1:6" x14ac:dyDescent="0.25">
      <c r="A37" s="135">
        <v>2013</v>
      </c>
      <c r="B37" s="149">
        <f>[6]REKAPITULASI!B8</f>
        <v>2.6345627999999993E-4</v>
      </c>
      <c r="C37" s="149">
        <f t="shared" si="16"/>
        <v>5.5325818799999982E-3</v>
      </c>
      <c r="D37" s="149">
        <f>[6]REKAPITULASI!D8</f>
        <v>1.9759220999999993E-5</v>
      </c>
      <c r="E37" s="149">
        <f t="shared" si="17"/>
        <v>6.125358509999998E-3</v>
      </c>
      <c r="F37" s="138">
        <f t="shared" si="18"/>
        <v>1.1657940389999996E-2</v>
      </c>
    </row>
    <row r="38" spans="1:6" x14ac:dyDescent="0.25">
      <c r="A38" s="135">
        <v>2014</v>
      </c>
      <c r="B38" s="149">
        <f>[6]REKAPITULASI!B9</f>
        <v>2.6567244000000003E-4</v>
      </c>
      <c r="C38" s="149">
        <f t="shared" si="16"/>
        <v>5.579121240000001E-3</v>
      </c>
      <c r="D38" s="149">
        <f>[6]REKAPITULASI!D9</f>
        <v>1.9925433000000001E-5</v>
      </c>
      <c r="E38" s="149">
        <f t="shared" si="17"/>
        <v>6.1768842300000005E-3</v>
      </c>
      <c r="F38" s="138">
        <f t="shared" si="18"/>
        <v>1.1756005470000001E-2</v>
      </c>
    </row>
    <row r="39" spans="1:6" x14ac:dyDescent="0.25">
      <c r="A39" s="135">
        <v>2015</v>
      </c>
      <c r="B39" s="149">
        <f>[6]REKAPITULASI!B10</f>
        <v>2.6645220000000004E-4</v>
      </c>
      <c r="C39" s="149">
        <f t="shared" si="16"/>
        <v>5.5954962000000011E-3</v>
      </c>
      <c r="D39" s="149">
        <f>[6]REKAPITULASI!D10</f>
        <v>1.9983915000000001E-5</v>
      </c>
      <c r="E39" s="149">
        <f t="shared" si="17"/>
        <v>6.1950136500000001E-3</v>
      </c>
      <c r="F39" s="138">
        <f t="shared" si="18"/>
        <v>1.1790509850000002E-2</v>
      </c>
    </row>
    <row r="40" spans="1:6" x14ac:dyDescent="0.25">
      <c r="A40" s="135">
        <v>2016</v>
      </c>
      <c r="B40" s="149">
        <f>[6]REKAPITULASI!B11</f>
        <v>2.6767313999999999E-4</v>
      </c>
      <c r="C40" s="149">
        <f t="shared" si="16"/>
        <v>5.6211359399999999E-3</v>
      </c>
      <c r="D40" s="149">
        <f>[6]REKAPITULASI!D11</f>
        <v>2.0075485499999998E-5</v>
      </c>
      <c r="E40" s="149">
        <f t="shared" si="17"/>
        <v>6.2234005049999997E-3</v>
      </c>
      <c r="F40" s="138">
        <f t="shared" si="18"/>
        <v>1.1844536445E-2</v>
      </c>
    </row>
    <row r="41" spans="1:6" x14ac:dyDescent="0.25">
      <c r="A41" s="135">
        <v>2017</v>
      </c>
      <c r="B41" s="149">
        <f>[6]REKAPITULASI!B12</f>
        <v>2.7738054373589998E-4</v>
      </c>
      <c r="C41" s="149">
        <f t="shared" si="16"/>
        <v>5.8249914184538999E-3</v>
      </c>
      <c r="D41" s="149">
        <f>[6]REKAPITULASI!D12</f>
        <v>2.0803540780192501E-5</v>
      </c>
      <c r="E41" s="149">
        <f t="shared" si="17"/>
        <v>6.4490976418596756E-3</v>
      </c>
      <c r="F41" s="138">
        <f t="shared" si="18"/>
        <v>1.2274089060313575E-2</v>
      </c>
    </row>
    <row r="42" spans="1:6" x14ac:dyDescent="0.25">
      <c r="A42" s="135">
        <v>2018</v>
      </c>
      <c r="B42" s="149">
        <f>[6]REKAPITULASI!B13</f>
        <v>2.8696346119746357E-4</v>
      </c>
      <c r="C42" s="149">
        <f t="shared" si="16"/>
        <v>6.0262326851467348E-3</v>
      </c>
      <c r="D42" s="149">
        <f>[6]REKAPITULASI!D13</f>
        <v>2.152225958980977E-5</v>
      </c>
      <c r="E42" s="149">
        <f t="shared" si="17"/>
        <v>6.6719004728410291E-3</v>
      </c>
      <c r="F42" s="138">
        <f t="shared" si="18"/>
        <v>1.2698133157987764E-2</v>
      </c>
    </row>
    <row r="43" spans="1:6" x14ac:dyDescent="0.25">
      <c r="A43" s="135">
        <v>2019</v>
      </c>
      <c r="B43" s="149">
        <f>[6]REKAPITULASI!B14</f>
        <v>2.9686730260768677E-4</v>
      </c>
      <c r="C43" s="149">
        <f t="shared" si="16"/>
        <v>6.2342133547614222E-3</v>
      </c>
      <c r="D43" s="149">
        <f>[6]REKAPITULASI!D14</f>
        <v>2.226504769557651E-5</v>
      </c>
      <c r="E43" s="149">
        <f t="shared" si="17"/>
        <v>6.902164785628718E-3</v>
      </c>
      <c r="F43" s="138">
        <f t="shared" si="18"/>
        <v>1.3136378140390141E-2</v>
      </c>
    </row>
    <row r="44" spans="1:6" x14ac:dyDescent="0.25">
      <c r="A44" s="135">
        <v>2020</v>
      </c>
      <c r="B44" s="149">
        <f>[6]REKAPITULASI!B15</f>
        <v>3.0710257690693516E-4</v>
      </c>
      <c r="C44" s="149">
        <f t="shared" si="16"/>
        <v>6.4491541150456383E-3</v>
      </c>
      <c r="D44" s="149">
        <f>[6]REKAPITULASI!D15</f>
        <v>2.3032693268020138E-5</v>
      </c>
      <c r="E44" s="149">
        <f t="shared" si="17"/>
        <v>7.1401349130862431E-3</v>
      </c>
      <c r="F44" s="138">
        <f t="shared" si="18"/>
        <v>1.3589289028131881E-2</v>
      </c>
    </row>
    <row r="45" spans="1:6" x14ac:dyDescent="0.25">
      <c r="A45" s="135">
        <v>2021</v>
      </c>
      <c r="B45" s="149">
        <f>[6]REKAPITULASI!B16</f>
        <v>3.1768013137469751E-4</v>
      </c>
      <c r="C45" s="149">
        <f t="shared" si="16"/>
        <v>6.6712827588686473E-3</v>
      </c>
      <c r="D45" s="149">
        <f>[6]REKAPITULASI!D16</f>
        <v>2.3826009853102314E-5</v>
      </c>
      <c r="E45" s="149">
        <f t="shared" si="17"/>
        <v>7.3860630544617173E-3</v>
      </c>
      <c r="F45" s="138">
        <f t="shared" si="18"/>
        <v>1.4057345813330364E-2</v>
      </c>
    </row>
    <row r="46" spans="1:6" x14ac:dyDescent="0.25">
      <c r="A46" s="135">
        <v>2022</v>
      </c>
      <c r="B46" s="149">
        <f>[6]REKAPITULASI!B17</f>
        <v>3.2861116237902968E-4</v>
      </c>
      <c r="C46" s="149">
        <f t="shared" ref="C46:C55" si="19">B46*21</f>
        <v>6.9008344099596233E-3</v>
      </c>
      <c r="D46" s="149">
        <f>[6]REKAPITULASI!D17</f>
        <v>2.4645837178427228E-5</v>
      </c>
      <c r="E46" s="149">
        <f t="shared" ref="E46:E55" si="20">D46*310</f>
        <v>7.6402095253124405E-3</v>
      </c>
      <c r="F46" s="138">
        <f t="shared" ref="F46:F55" si="21">E46+C46</f>
        <v>1.4541043935272065E-2</v>
      </c>
    </row>
    <row r="47" spans="1:6" x14ac:dyDescent="0.25">
      <c r="A47" s="135">
        <v>2023</v>
      </c>
      <c r="B47" s="149">
        <f>[6]REKAPITULASI!B18</f>
        <v>3.3990722646389974E-4</v>
      </c>
      <c r="C47" s="149">
        <f t="shared" si="19"/>
        <v>7.1380517557418947E-3</v>
      </c>
      <c r="D47" s="149">
        <f>[6]REKAPITULASI!D18</f>
        <v>2.5493041984792482E-5</v>
      </c>
      <c r="E47" s="149">
        <f t="shared" si="20"/>
        <v>7.90284301528567E-3</v>
      </c>
      <c r="F47" s="138">
        <f t="shared" si="21"/>
        <v>1.5040894771027564E-2</v>
      </c>
    </row>
    <row r="48" spans="1:6" x14ac:dyDescent="0.25">
      <c r="A48" s="135">
        <v>2024</v>
      </c>
      <c r="B48" s="149">
        <f>[6]REKAPITULASI!B19</f>
        <v>3.5158025178496494E-4</v>
      </c>
      <c r="C48" s="149">
        <f t="shared" si="19"/>
        <v>7.3831852874842634E-3</v>
      </c>
      <c r="D48" s="149">
        <f>[6]REKAPITULASI!D19</f>
        <v>2.6368518883872368E-5</v>
      </c>
      <c r="E48" s="149">
        <f t="shared" si="20"/>
        <v>8.1742408540004339E-3</v>
      </c>
      <c r="F48" s="138">
        <f t="shared" si="21"/>
        <v>1.5557426141484698E-2</v>
      </c>
    </row>
    <row r="49" spans="1:10" x14ac:dyDescent="0.25">
      <c r="A49" s="135">
        <v>2025</v>
      </c>
      <c r="B49" s="149">
        <f>[6]REKAPITULASI!B20</f>
        <v>3.6364254990463557E-4</v>
      </c>
      <c r="C49" s="149">
        <f t="shared" si="19"/>
        <v>7.6364935479973466E-3</v>
      </c>
      <c r="D49" s="149">
        <f>[6]REKAPITULASI!D20</f>
        <v>2.7273191242847667E-5</v>
      </c>
      <c r="E49" s="149">
        <f t="shared" si="20"/>
        <v>8.4546892852827762E-3</v>
      </c>
      <c r="F49" s="138">
        <f t="shared" si="21"/>
        <v>1.6091182833280121E-2</v>
      </c>
    </row>
    <row r="50" spans="1:10" x14ac:dyDescent="0.25">
      <c r="A50" s="135">
        <v>2026</v>
      </c>
      <c r="B50" s="149">
        <f>[6]REKAPITULASI!B21</f>
        <v>3.7610682795761519E-4</v>
      </c>
      <c r="C50" s="149">
        <f t="shared" si="19"/>
        <v>7.8982433871099197E-3</v>
      </c>
      <c r="D50" s="149">
        <f>[6]REKAPITULASI!D21</f>
        <v>2.8208012096821139E-5</v>
      </c>
      <c r="E50" s="149">
        <f t="shared" si="20"/>
        <v>8.744483750014553E-3</v>
      </c>
      <c r="F50" s="138">
        <f t="shared" si="21"/>
        <v>1.6642727137124474E-2</v>
      </c>
    </row>
    <row r="51" spans="1:10" x14ac:dyDescent="0.25">
      <c r="A51" s="135">
        <v>2027</v>
      </c>
      <c r="B51" s="149">
        <f>[6]REKAPITULASI!B22</f>
        <v>3.8898620119845451E-4</v>
      </c>
      <c r="C51" s="149">
        <f t="shared" si="19"/>
        <v>8.1687102251675452E-3</v>
      </c>
      <c r="D51" s="149">
        <f>[6]REKAPITULASI!D22</f>
        <v>2.9173965089884087E-5</v>
      </c>
      <c r="E51" s="149">
        <f t="shared" si="20"/>
        <v>9.0439291778640664E-3</v>
      </c>
      <c r="F51" s="138">
        <f t="shared" si="21"/>
        <v>1.721263940303161E-2</v>
      </c>
    </row>
    <row r="52" spans="1:10" x14ac:dyDescent="0.25">
      <c r="A52" s="135">
        <v>2028</v>
      </c>
      <c r="B52" s="149">
        <f>[6]REKAPITULASI!B23</f>
        <v>4.0229420594301306E-4</v>
      </c>
      <c r="C52" s="149">
        <f t="shared" si="19"/>
        <v>8.4481783248032735E-3</v>
      </c>
      <c r="D52" s="149">
        <f>[6]REKAPITULASI!D23</f>
        <v>3.0172065445725979E-5</v>
      </c>
      <c r="E52" s="149">
        <f t="shared" si="20"/>
        <v>9.3533402881750532E-3</v>
      </c>
      <c r="F52" s="138">
        <f t="shared" si="21"/>
        <v>1.7801518612978327E-2</v>
      </c>
    </row>
    <row r="53" spans="1:10" x14ac:dyDescent="0.25">
      <c r="A53" s="135">
        <v>2029</v>
      </c>
      <c r="B53" s="149">
        <f>[6]REKAPITULASI!B24</f>
        <v>4.1604481291608814E-4</v>
      </c>
      <c r="C53" s="149">
        <f t="shared" si="19"/>
        <v>8.7369410712378505E-3</v>
      </c>
      <c r="D53" s="149">
        <f>[6]REKAPITULASI!D24</f>
        <v>3.1203360968706605E-5</v>
      </c>
      <c r="E53" s="149">
        <f t="shared" si="20"/>
        <v>9.6730419002990474E-3</v>
      </c>
      <c r="F53" s="138">
        <f t="shared" si="21"/>
        <v>1.8409982971536898E-2</v>
      </c>
    </row>
    <row r="54" spans="1:10" x14ac:dyDescent="0.25">
      <c r="A54" s="135">
        <v>2030</v>
      </c>
      <c r="B54" s="149">
        <f>[6]REKAPITULASI!B25</f>
        <v>4.3009008000000006E-4</v>
      </c>
      <c r="C54" s="149">
        <f t="shared" si="19"/>
        <v>9.031891680000001E-3</v>
      </c>
      <c r="D54" s="149">
        <f>[6]REKAPITULASI!D25</f>
        <v>3.2256756000000006E-5</v>
      </c>
      <c r="E54" s="149">
        <f t="shared" si="20"/>
        <v>9.9995943600000026E-3</v>
      </c>
      <c r="F54" s="138">
        <f t="shared" si="21"/>
        <v>1.9031486040000004E-2</v>
      </c>
    </row>
    <row r="55" spans="1:10" x14ac:dyDescent="0.25">
      <c r="A55" s="135">
        <v>2031</v>
      </c>
      <c r="B55" s="150"/>
      <c r="C55" s="149">
        <f t="shared" si="19"/>
        <v>0</v>
      </c>
      <c r="D55" s="149"/>
      <c r="E55" s="149">
        <f t="shared" si="20"/>
        <v>0</v>
      </c>
      <c r="F55" s="143">
        <f t="shared" si="21"/>
        <v>0</v>
      </c>
    </row>
    <row r="57" spans="1:10" ht="13.5" thickBot="1" x14ac:dyDescent="0.3">
      <c r="A57" s="127" t="s">
        <v>87</v>
      </c>
      <c r="J57" s="126">
        <v>1000</v>
      </c>
    </row>
    <row r="58" spans="1:10" ht="13.5" thickBot="1" x14ac:dyDescent="0.3">
      <c r="A58" s="201" t="s">
        <v>10</v>
      </c>
      <c r="B58" s="203" t="s">
        <v>88</v>
      </c>
      <c r="C58" s="204"/>
      <c r="D58" s="204"/>
      <c r="E58" s="204"/>
      <c r="F58" s="204"/>
    </row>
    <row r="59" spans="1:10" ht="15" thickBot="1" x14ac:dyDescent="0.3">
      <c r="A59" s="202"/>
      <c r="B59" s="203" t="s">
        <v>141</v>
      </c>
      <c r="C59" s="205"/>
      <c r="D59" s="203" t="s">
        <v>145</v>
      </c>
      <c r="E59" s="205"/>
      <c r="F59" s="151" t="s">
        <v>147</v>
      </c>
      <c r="H59" s="215" t="s">
        <v>10</v>
      </c>
      <c r="I59" s="215" t="s">
        <v>148</v>
      </c>
      <c r="J59" s="215"/>
    </row>
    <row r="60" spans="1:10" ht="14.25" x14ac:dyDescent="0.25">
      <c r="A60" s="202"/>
      <c r="B60" s="152" t="s">
        <v>143</v>
      </c>
      <c r="C60" s="152" t="s">
        <v>144</v>
      </c>
      <c r="D60" s="152" t="s">
        <v>146</v>
      </c>
      <c r="E60" s="152" t="s">
        <v>144</v>
      </c>
      <c r="F60" s="152" t="s">
        <v>149</v>
      </c>
      <c r="H60" s="215"/>
      <c r="I60" s="153" t="s">
        <v>150</v>
      </c>
      <c r="J60" s="153" t="s">
        <v>127</v>
      </c>
    </row>
    <row r="61" spans="1:10" x14ac:dyDescent="0.25">
      <c r="A61" s="135">
        <v>2011</v>
      </c>
      <c r="B61" s="149">
        <f>[6]REKAPITULASI!B32</f>
        <v>1.9973051393750003E-3</v>
      </c>
      <c r="C61" s="154">
        <f>B61*21</f>
        <v>4.1943407926875002E-2</v>
      </c>
      <c r="D61" s="149">
        <f>[6]REKAPITULASI!D32</f>
        <v>4.6091657062500007E-5</v>
      </c>
      <c r="E61" s="154">
        <f>D61*310</f>
        <v>1.4288413689375001E-2</v>
      </c>
      <c r="F61" s="138">
        <f>SUM(C61+E61)</f>
        <v>5.6231821616250004E-2</v>
      </c>
      <c r="H61" s="135">
        <v>2011</v>
      </c>
      <c r="I61" s="155">
        <f>D9+I9+N9+F35+F61-S9</f>
        <v>6.7726774211250007E-2</v>
      </c>
      <c r="J61" s="156">
        <f>I61*$J$57</f>
        <v>67.726774211250003</v>
      </c>
    </row>
    <row r="62" spans="1:10" x14ac:dyDescent="0.25">
      <c r="A62" s="135">
        <v>2012</v>
      </c>
      <c r="B62" s="149">
        <f>[6]REKAPITULASI!B33</f>
        <v>2.0133189212499995E-3</v>
      </c>
      <c r="C62" s="154">
        <f t="shared" ref="C62:C81" si="22">B62*21</f>
        <v>4.2279697346249992E-2</v>
      </c>
      <c r="D62" s="149">
        <f>[6]REKAPITULASI!D33</f>
        <v>4.6461205874999992E-5</v>
      </c>
      <c r="E62" s="154">
        <f t="shared" ref="E62:E81" si="23">D62*310</f>
        <v>1.4402973821249998E-2</v>
      </c>
      <c r="F62" s="138">
        <f t="shared" ref="F62:F81" si="24">SUM(C62+E62)</f>
        <v>5.668267116749999E-2</v>
      </c>
      <c r="H62" s="135">
        <v>2012</v>
      </c>
      <c r="I62" s="155">
        <f t="shared" ref="I62:I81" si="25">D10+I10+N10+F36+F62-S10</f>
        <v>0.78807082787008154</v>
      </c>
      <c r="J62" s="156">
        <f t="shared" ref="J62:J70" si="26">I62*$J$57</f>
        <v>788.07082787008153</v>
      </c>
    </row>
    <row r="63" spans="1:10" x14ac:dyDescent="0.25">
      <c r="A63" s="135">
        <v>2013</v>
      </c>
      <c r="B63" s="149">
        <f>[6]REKAPITULASI!B34</f>
        <v>2.0256250787499997E-3</v>
      </c>
      <c r="C63" s="154">
        <f t="shared" si="22"/>
        <v>4.2538126653749994E-2</v>
      </c>
      <c r="D63" s="149">
        <f>[6]REKAPITULASI!D34</f>
        <v>4.6745194124999997E-5</v>
      </c>
      <c r="E63" s="154">
        <f t="shared" si="23"/>
        <v>1.449101017875E-2</v>
      </c>
      <c r="F63" s="138">
        <f t="shared" si="24"/>
        <v>5.7029136832499994E-2</v>
      </c>
      <c r="H63" s="135">
        <v>2013</v>
      </c>
      <c r="I63" s="155">
        <f t="shared" si="25"/>
        <v>1.3035029416620383</v>
      </c>
      <c r="J63" s="156">
        <f t="shared" si="26"/>
        <v>1303.5029416620382</v>
      </c>
    </row>
    <row r="64" spans="1:10" x14ac:dyDescent="0.25">
      <c r="A64" s="135">
        <v>2014</v>
      </c>
      <c r="B64" s="149">
        <f>[6]REKAPITULASI!B35</f>
        <v>2.0426643737500002E-3</v>
      </c>
      <c r="C64" s="154">
        <f t="shared" si="22"/>
        <v>4.2895951848750002E-2</v>
      </c>
      <c r="D64" s="149">
        <f>[6]REKAPITULASI!D35</f>
        <v>4.7138408625000002E-5</v>
      </c>
      <c r="E64" s="154">
        <f t="shared" si="23"/>
        <v>1.461290667375E-2</v>
      </c>
      <c r="F64" s="138">
        <f t="shared" si="24"/>
        <v>5.7508858522500005E-2</v>
      </c>
      <c r="H64" s="135">
        <v>2014</v>
      </c>
      <c r="I64" s="155">
        <f t="shared" si="25"/>
        <v>1.6774034793023307</v>
      </c>
      <c r="J64" s="156">
        <f t="shared" si="26"/>
        <v>1677.4034793023307</v>
      </c>
    </row>
    <row r="65" spans="1:10" x14ac:dyDescent="0.25">
      <c r="A65" s="135">
        <v>2015</v>
      </c>
      <c r="B65" s="149">
        <f>[6]REKAPITULASI!B36</f>
        <v>2.04865968125E-3</v>
      </c>
      <c r="C65" s="154">
        <f t="shared" si="22"/>
        <v>4.3021853306249996E-2</v>
      </c>
      <c r="D65" s="149">
        <f>[6]REKAPITULASI!D36</f>
        <v>4.7276761875000011E-5</v>
      </c>
      <c r="E65" s="154">
        <f t="shared" si="23"/>
        <v>1.4655796181250003E-2</v>
      </c>
      <c r="F65" s="138">
        <f t="shared" si="24"/>
        <v>5.7677649487499996E-2</v>
      </c>
      <c r="H65" s="135">
        <v>2015</v>
      </c>
      <c r="I65" s="155">
        <f t="shared" si="25"/>
        <v>1.9549524396479485</v>
      </c>
      <c r="J65" s="156">
        <f t="shared" si="26"/>
        <v>1954.9524396479485</v>
      </c>
    </row>
    <row r="66" spans="1:10" x14ac:dyDescent="0.25">
      <c r="A66" s="135">
        <v>2016</v>
      </c>
      <c r="B66" s="149">
        <f>[6]REKAPITULASI!B37</f>
        <v>2.0580470706249997E-3</v>
      </c>
      <c r="C66" s="154">
        <f t="shared" si="22"/>
        <v>4.3218988483124991E-2</v>
      </c>
      <c r="D66" s="149">
        <f>[6]REKAPITULASI!D37</f>
        <v>4.7493393937499992E-5</v>
      </c>
      <c r="E66" s="154">
        <f t="shared" si="23"/>
        <v>1.4722952120624997E-2</v>
      </c>
      <c r="F66" s="138">
        <f t="shared" si="24"/>
        <v>5.7941940603749992E-2</v>
      </c>
      <c r="H66" s="135">
        <v>2016</v>
      </c>
      <c r="I66" s="155">
        <f t="shared" si="25"/>
        <v>2.1620325132083535</v>
      </c>
      <c r="J66" s="156">
        <f t="shared" si="26"/>
        <v>2162.0325132083535</v>
      </c>
    </row>
    <row r="67" spans="1:10" x14ac:dyDescent="0.25">
      <c r="A67" s="135">
        <v>2017</v>
      </c>
      <c r="B67" s="149">
        <f>[6]REKAPITULASI!B38</f>
        <v>2.0735867498937505E-3</v>
      </c>
      <c r="C67" s="154">
        <f t="shared" si="22"/>
        <v>4.3545321747768762E-2</v>
      </c>
      <c r="D67" s="149">
        <f>[6]REKAPITULASI!D38</f>
        <v>4.7852001920625004E-5</v>
      </c>
      <c r="E67" s="154">
        <f t="shared" si="23"/>
        <v>1.4834120595393751E-2</v>
      </c>
      <c r="F67" s="138">
        <f t="shared" si="24"/>
        <v>5.8379442343162516E-2</v>
      </c>
      <c r="H67" s="135">
        <v>2017</v>
      </c>
      <c r="I67" s="155">
        <f t="shared" si="25"/>
        <v>2.3214630734126702</v>
      </c>
      <c r="J67" s="156">
        <f t="shared" si="26"/>
        <v>2321.4630734126704</v>
      </c>
    </row>
    <row r="68" spans="1:10" x14ac:dyDescent="0.25">
      <c r="A68" s="135">
        <v>2018</v>
      </c>
      <c r="B68" s="149">
        <f>[6]REKAPITULASI!B39</f>
        <v>2.0857801009499998E-3</v>
      </c>
      <c r="C68" s="154">
        <f t="shared" si="22"/>
        <v>4.3801382119949994E-2</v>
      </c>
      <c r="D68" s="149">
        <f>[6]REKAPITULASI!D39</f>
        <v>4.8133386944999996E-5</v>
      </c>
      <c r="E68" s="154">
        <f t="shared" si="23"/>
        <v>1.4921349952949999E-2</v>
      </c>
      <c r="F68" s="138">
        <f t="shared" si="24"/>
        <v>5.8722732072899991E-2</v>
      </c>
      <c r="H68" s="135">
        <v>2018</v>
      </c>
      <c r="I68" s="155">
        <f t="shared" si="25"/>
        <v>2.4084310787581575</v>
      </c>
      <c r="J68" s="156">
        <f t="shared" si="26"/>
        <v>2408.4310787581576</v>
      </c>
    </row>
    <row r="69" spans="1:10" x14ac:dyDescent="0.25">
      <c r="A69" s="135">
        <v>2019</v>
      </c>
      <c r="B69" s="149">
        <f>[6]REKAPITULASI!B40</f>
        <v>2.0979734520062496E-3</v>
      </c>
      <c r="C69" s="154">
        <f t="shared" si="22"/>
        <v>4.4057442492131241E-2</v>
      </c>
      <c r="D69" s="149">
        <f>[6]REKAPITULASI!D40</f>
        <v>4.8414771969374995E-5</v>
      </c>
      <c r="E69" s="154">
        <f t="shared" si="23"/>
        <v>1.5008579310506249E-2</v>
      </c>
      <c r="F69" s="138">
        <f t="shared" si="24"/>
        <v>5.9066021802637488E-2</v>
      </c>
      <c r="H69" s="135">
        <v>2019</v>
      </c>
      <c r="I69" s="155">
        <f t="shared" si="25"/>
        <v>2.4839946551975962</v>
      </c>
      <c r="J69" s="156">
        <f t="shared" si="26"/>
        <v>2483.9946551975963</v>
      </c>
    </row>
    <row r="70" spans="1:10" x14ac:dyDescent="0.25">
      <c r="A70" s="135">
        <v>2020</v>
      </c>
      <c r="B70" s="149">
        <f>[6]REKAPITULASI!B41</f>
        <v>2.1101668030625003E-3</v>
      </c>
      <c r="C70" s="154">
        <f t="shared" si="22"/>
        <v>4.4313502864312508E-2</v>
      </c>
      <c r="D70" s="149">
        <f>[6]REKAPITULASI!D41</f>
        <v>4.8696156993749993E-5</v>
      </c>
      <c r="E70" s="154">
        <f t="shared" si="23"/>
        <v>1.5095808668062498E-2</v>
      </c>
      <c r="F70" s="138">
        <f t="shared" si="24"/>
        <v>5.9409311532375005E-2</v>
      </c>
      <c r="H70" s="135">
        <v>2020</v>
      </c>
      <c r="I70" s="155">
        <f t="shared" si="25"/>
        <v>2.5510602059909431</v>
      </c>
      <c r="J70" s="156">
        <f t="shared" si="26"/>
        <v>2551.0602059909429</v>
      </c>
    </row>
    <row r="71" spans="1:10" x14ac:dyDescent="0.25">
      <c r="A71" s="135">
        <v>2021</v>
      </c>
      <c r="B71" s="149">
        <f>[6]REKAPITULASI!B42</f>
        <v>2.1223601541187501E-3</v>
      </c>
      <c r="C71" s="154">
        <f t="shared" si="22"/>
        <v>4.4569563236493755E-2</v>
      </c>
      <c r="D71" s="149">
        <f>[6]REKAPITULASI!D42</f>
        <v>4.8977542018124999E-5</v>
      </c>
      <c r="E71" s="154">
        <f t="shared" si="23"/>
        <v>1.518303802561875E-2</v>
      </c>
      <c r="F71" s="138">
        <f t="shared" si="24"/>
        <v>5.9752601262112501E-2</v>
      </c>
      <c r="H71" s="135">
        <v>2021</v>
      </c>
      <c r="I71" s="155">
        <f t="shared" si="25"/>
        <v>2.6117155202506765</v>
      </c>
      <c r="J71" s="156">
        <f>I71*$J$57</f>
        <v>2611.7155202506765</v>
      </c>
    </row>
    <row r="72" spans="1:10" x14ac:dyDescent="0.25">
      <c r="A72" s="135">
        <v>2022</v>
      </c>
      <c r="B72" s="149">
        <f>[6]REKAPITULASI!B43</f>
        <v>2.1345535051749999E-3</v>
      </c>
      <c r="C72" s="154">
        <f t="shared" si="22"/>
        <v>4.4825623608674994E-2</v>
      </c>
      <c r="D72" s="149">
        <f>[6]REKAPITULASI!D43</f>
        <v>4.9258927042499998E-5</v>
      </c>
      <c r="E72" s="154">
        <f t="shared" si="23"/>
        <v>1.5270267383174999E-2</v>
      </c>
      <c r="F72" s="138">
        <f t="shared" si="24"/>
        <v>6.009589099184999E-2</v>
      </c>
      <c r="H72" s="135">
        <v>2022</v>
      </c>
      <c r="I72" s="155">
        <f t="shared" si="25"/>
        <v>2.6674770150977136</v>
      </c>
      <c r="J72" s="156">
        <f t="shared" ref="J72:J81" si="27">I72*$J$57</f>
        <v>2667.4770150977138</v>
      </c>
    </row>
    <row r="73" spans="1:10" x14ac:dyDescent="0.25">
      <c r="A73" s="135">
        <v>2023</v>
      </c>
      <c r="B73" s="149">
        <f>[6]REKAPITULASI!B44</f>
        <v>2.1467468562312497E-3</v>
      </c>
      <c r="C73" s="154">
        <f t="shared" si="22"/>
        <v>4.5081683980856241E-2</v>
      </c>
      <c r="D73" s="149">
        <f>[6]REKAPITULASI!D44</f>
        <v>4.9540312066874989E-5</v>
      </c>
      <c r="E73" s="154">
        <f t="shared" si="23"/>
        <v>1.5357496740731247E-2</v>
      </c>
      <c r="F73" s="138">
        <f t="shared" si="24"/>
        <v>6.0439180721587486E-2</v>
      </c>
      <c r="H73" s="135">
        <v>2023</v>
      </c>
      <c r="I73" s="155">
        <f t="shared" si="25"/>
        <v>2.7194584553783772</v>
      </c>
      <c r="J73" s="156">
        <f t="shared" si="27"/>
        <v>2719.458455378377</v>
      </c>
    </row>
    <row r="74" spans="1:10" x14ac:dyDescent="0.25">
      <c r="A74" s="135">
        <v>2024</v>
      </c>
      <c r="B74" s="149">
        <f>[6]REKAPITULASI!B45</f>
        <v>2.1589402072874999E-3</v>
      </c>
      <c r="C74" s="154">
        <f t="shared" si="22"/>
        <v>4.5337744353037501E-2</v>
      </c>
      <c r="D74" s="149">
        <f>[6]REKAPITULASI!D45</f>
        <v>4.9821697091249995E-5</v>
      </c>
      <c r="E74" s="154">
        <f t="shared" si="23"/>
        <v>1.5444726098287499E-2</v>
      </c>
      <c r="F74" s="138">
        <f t="shared" si="24"/>
        <v>6.0782470451324996E-2</v>
      </c>
      <c r="H74" s="135">
        <v>2024</v>
      </c>
      <c r="I74" s="155">
        <f t="shared" si="25"/>
        <v>2.7684865481673135</v>
      </c>
      <c r="J74" s="156">
        <f t="shared" si="27"/>
        <v>2768.4865481673137</v>
      </c>
    </row>
    <row r="75" spans="1:10" x14ac:dyDescent="0.25">
      <c r="A75" s="135">
        <v>2025</v>
      </c>
      <c r="B75" s="149">
        <f>[6]REKAPITULASI!B46</f>
        <v>2.1711335583437501E-3</v>
      </c>
      <c r="C75" s="154">
        <f t="shared" si="22"/>
        <v>4.5593804725218755E-2</v>
      </c>
      <c r="D75" s="149">
        <f>[6]REKAPITULASI!D46</f>
        <v>5.0103082115625007E-5</v>
      </c>
      <c r="E75" s="154">
        <f t="shared" si="23"/>
        <v>1.5531955455843752E-2</v>
      </c>
      <c r="F75" s="138">
        <f t="shared" si="24"/>
        <v>6.1125760181062506E-2</v>
      </c>
      <c r="H75" s="135">
        <v>2025</v>
      </c>
      <c r="I75" s="155">
        <f t="shared" si="25"/>
        <v>2.8151805094035476</v>
      </c>
      <c r="J75" s="156">
        <f t="shared" si="27"/>
        <v>2815.1805094035476</v>
      </c>
    </row>
    <row r="76" spans="1:10" x14ac:dyDescent="0.25">
      <c r="A76" s="135">
        <v>2026</v>
      </c>
      <c r="B76" s="149">
        <f>[6]REKAPITULASI!B47</f>
        <v>2.1833269093999999E-3</v>
      </c>
      <c r="C76" s="154">
        <f t="shared" si="22"/>
        <v>4.5849865097400001E-2</v>
      </c>
      <c r="D76" s="149">
        <f>[6]REKAPITULASI!D47</f>
        <v>5.0384467139999999E-5</v>
      </c>
      <c r="E76" s="154">
        <f t="shared" si="23"/>
        <v>1.56191848134E-2</v>
      </c>
      <c r="F76" s="138">
        <f t="shared" si="24"/>
        <v>6.1469049910800003E-2</v>
      </c>
      <c r="H76" s="135">
        <v>2026</v>
      </c>
      <c r="I76" s="155">
        <f t="shared" si="25"/>
        <v>2.8600071248425514</v>
      </c>
      <c r="J76" s="156">
        <f t="shared" si="27"/>
        <v>2860.0071248425515</v>
      </c>
    </row>
    <row r="77" spans="1:10" x14ac:dyDescent="0.25">
      <c r="A77" s="135">
        <v>2027</v>
      </c>
      <c r="B77" s="149">
        <f>[6]REKAPITULASI!B48</f>
        <v>2.1955202604562502E-3</v>
      </c>
      <c r="C77" s="154">
        <f t="shared" si="22"/>
        <v>4.6105925469581255E-2</v>
      </c>
      <c r="D77" s="149">
        <f>[6]REKAPITULASI!D48</f>
        <v>5.0665852164374998E-5</v>
      </c>
      <c r="E77" s="154">
        <f t="shared" si="23"/>
        <v>1.5706414170956251E-2</v>
      </c>
      <c r="F77" s="138">
        <f t="shared" si="24"/>
        <v>6.1812339640537506E-2</v>
      </c>
      <c r="H77" s="135">
        <v>2027</v>
      </c>
      <c r="I77" s="155">
        <f t="shared" si="25"/>
        <v>2.9033190805643327</v>
      </c>
      <c r="J77" s="156">
        <f t="shared" si="27"/>
        <v>2903.3190805643326</v>
      </c>
    </row>
    <row r="78" spans="1:10" x14ac:dyDescent="0.25">
      <c r="A78" s="135">
        <v>2028</v>
      </c>
      <c r="B78" s="149">
        <f>[6]REKAPITULASI!B49</f>
        <v>2.2077136115125E-3</v>
      </c>
      <c r="C78" s="154">
        <f t="shared" si="22"/>
        <v>4.6361985841762501E-2</v>
      </c>
      <c r="D78" s="149">
        <f>[6]REKAPITULASI!D49</f>
        <v>5.0947237188749997E-5</v>
      </c>
      <c r="E78" s="154">
        <f t="shared" si="23"/>
        <v>1.5793643528512497E-2</v>
      </c>
      <c r="F78" s="138">
        <f t="shared" si="24"/>
        <v>6.2155629370274995E-2</v>
      </c>
      <c r="H78" s="135">
        <v>2028</v>
      </c>
      <c r="I78" s="155">
        <f t="shared" si="25"/>
        <v>2.9453818183388925</v>
      </c>
      <c r="J78" s="156">
        <f t="shared" si="27"/>
        <v>2945.3818183388926</v>
      </c>
    </row>
    <row r="79" spans="1:10" x14ac:dyDescent="0.25">
      <c r="A79" s="135">
        <v>2029</v>
      </c>
      <c r="B79" s="149">
        <f>[6]REKAPITULASI!B50</f>
        <v>2.2199069625687498E-3</v>
      </c>
      <c r="C79" s="154">
        <f t="shared" si="22"/>
        <v>4.6618046213943748E-2</v>
      </c>
      <c r="D79" s="149">
        <f>[6]REKAPITULASI!D50</f>
        <v>5.1228622213125002E-5</v>
      </c>
      <c r="E79" s="154">
        <f t="shared" si="23"/>
        <v>1.588087288606875E-2</v>
      </c>
      <c r="F79" s="138">
        <f t="shared" si="24"/>
        <v>6.2498919100012498E-2</v>
      </c>
      <c r="H79" s="135">
        <v>2029</v>
      </c>
      <c r="I79" s="155">
        <f t="shared" si="25"/>
        <v>2.9863924749702879</v>
      </c>
      <c r="J79" s="156">
        <f t="shared" si="27"/>
        <v>2986.3924749702878</v>
      </c>
    </row>
    <row r="80" spans="1:10" x14ac:dyDescent="0.25">
      <c r="A80" s="135">
        <v>2030</v>
      </c>
      <c r="B80" s="149">
        <f>[6]REKAPITULASI!B51</f>
        <v>2.2321003136249996E-3</v>
      </c>
      <c r="C80" s="154">
        <f t="shared" si="22"/>
        <v>4.6874106586124988E-2</v>
      </c>
      <c r="D80" s="149">
        <f>[6]REKAPITULASI!D51</f>
        <v>5.1510007237500001E-5</v>
      </c>
      <c r="E80" s="154">
        <f t="shared" si="23"/>
        <v>1.5968102243625E-2</v>
      </c>
      <c r="F80" s="138">
        <f t="shared" si="24"/>
        <v>6.2842208829749988E-2</v>
      </c>
      <c r="H80" s="135">
        <v>2030</v>
      </c>
      <c r="I80" s="155">
        <f t="shared" si="25"/>
        <v>3.0264861373402754</v>
      </c>
      <c r="J80" s="156">
        <f t="shared" si="27"/>
        <v>3026.4861373402755</v>
      </c>
    </row>
    <row r="81" spans="1:10" x14ac:dyDescent="0.25">
      <c r="A81" s="135">
        <v>2031</v>
      </c>
      <c r="B81" s="157"/>
      <c r="C81" s="154">
        <f t="shared" si="22"/>
        <v>0</v>
      </c>
      <c r="D81" s="157"/>
      <c r="E81" s="154">
        <f t="shared" si="23"/>
        <v>0</v>
      </c>
      <c r="F81" s="158">
        <f t="shared" si="24"/>
        <v>0</v>
      </c>
      <c r="H81" s="135">
        <v>2031</v>
      </c>
      <c r="I81" s="155">
        <f t="shared" si="25"/>
        <v>0</v>
      </c>
      <c r="J81" s="159">
        <f t="shared" si="27"/>
        <v>0</v>
      </c>
    </row>
    <row r="84" spans="1:10" x14ac:dyDescent="0.25">
      <c r="A84" s="160"/>
      <c r="B84" s="161"/>
      <c r="C84" s="162"/>
      <c r="D84" s="161"/>
      <c r="E84" s="162"/>
      <c r="F84" s="162"/>
    </row>
    <row r="85" spans="1:10" ht="13.5" thickBot="1" x14ac:dyDescent="0.3">
      <c r="A85" s="163" t="s">
        <v>126</v>
      </c>
      <c r="B85" s="162"/>
      <c r="C85" s="161"/>
      <c r="D85" s="162"/>
      <c r="G85" s="126">
        <v>1000</v>
      </c>
    </row>
    <row r="86" spans="1:10" ht="15" thickBot="1" x14ac:dyDescent="0.3">
      <c r="A86" s="218" t="s">
        <v>10</v>
      </c>
      <c r="B86" s="220" t="s">
        <v>151</v>
      </c>
      <c r="C86" s="221"/>
      <c r="D86" s="213" t="s">
        <v>152</v>
      </c>
      <c r="E86" s="214"/>
      <c r="F86" s="216" t="s">
        <v>94</v>
      </c>
      <c r="G86" s="217"/>
    </row>
    <row r="87" spans="1:10" ht="29.25" thickBot="1" x14ac:dyDescent="0.3">
      <c r="A87" s="219"/>
      <c r="B87" s="164" t="s">
        <v>153</v>
      </c>
      <c r="C87" s="164" t="s">
        <v>154</v>
      </c>
      <c r="D87" s="165" t="s">
        <v>155</v>
      </c>
      <c r="E87" s="165" t="s">
        <v>156</v>
      </c>
      <c r="F87" s="166" t="s">
        <v>157</v>
      </c>
      <c r="G87" s="166" t="s">
        <v>158</v>
      </c>
    </row>
    <row r="88" spans="1:10" ht="13.5" thickBot="1" x14ac:dyDescent="0.3">
      <c r="A88" s="219"/>
      <c r="B88" s="222" t="s">
        <v>100</v>
      </c>
      <c r="C88" s="167" t="s">
        <v>101</v>
      </c>
      <c r="D88" s="168" t="s">
        <v>102</v>
      </c>
      <c r="E88" s="169" t="s">
        <v>103</v>
      </c>
      <c r="F88" s="170" t="s">
        <v>104</v>
      </c>
      <c r="G88" s="170" t="s">
        <v>104</v>
      </c>
    </row>
    <row r="89" spans="1:10" x14ac:dyDescent="0.25">
      <c r="A89" s="219"/>
      <c r="B89" s="223"/>
      <c r="C89" s="171" t="s">
        <v>105</v>
      </c>
      <c r="D89" s="172"/>
      <c r="E89" s="173" t="s">
        <v>106</v>
      </c>
      <c r="F89" s="174" t="s">
        <v>107</v>
      </c>
      <c r="G89" s="174" t="s">
        <v>107</v>
      </c>
    </row>
    <row r="90" spans="1:10" x14ac:dyDescent="0.25">
      <c r="A90" s="135">
        <v>2011</v>
      </c>
      <c r="B90" s="175">
        <f>[6]REKAPITULASI!B59</f>
        <v>2.6451204914399999E-2</v>
      </c>
      <c r="C90" s="176">
        <f>B90*21</f>
        <v>0.55547530320240002</v>
      </c>
      <c r="D90" s="177">
        <f>[6]REKAPITULASI!D59</f>
        <v>8.9894747800000003E-4</v>
      </c>
      <c r="E90" s="137">
        <f>D90*310</f>
        <v>0.27867371818000003</v>
      </c>
      <c r="F90" s="178">
        <f>C90+E90</f>
        <v>0.8341490213824001</v>
      </c>
      <c r="G90" s="179">
        <f>F90*$G$85</f>
        <v>834.14902138240006</v>
      </c>
    </row>
    <row r="91" spans="1:10" x14ac:dyDescent="0.25">
      <c r="A91" s="135">
        <v>2012</v>
      </c>
      <c r="B91" s="175">
        <f>[6]REKAPITULASI!B60</f>
        <v>2.6663282587200004E-2</v>
      </c>
      <c r="C91" s="176">
        <f t="shared" ref="C91:C110" si="28">B91*21</f>
        <v>0.55992893433120006</v>
      </c>
      <c r="D91" s="177">
        <f>[6]REKAPITULASI!D60</f>
        <v>8.7350868000000016E-4</v>
      </c>
      <c r="E91" s="137">
        <f t="shared" ref="E91:E110" si="29">D91*310</f>
        <v>0.27078769080000004</v>
      </c>
      <c r="F91" s="178">
        <f t="shared" ref="F91:F110" si="30">C91+E91</f>
        <v>0.83071662513120015</v>
      </c>
      <c r="G91" s="179">
        <f t="shared" ref="G91:G109" si="31">F91*$G$85</f>
        <v>830.7166251312002</v>
      </c>
    </row>
    <row r="92" spans="1:10" x14ac:dyDescent="0.25">
      <c r="A92" s="135">
        <v>2013</v>
      </c>
      <c r="B92" s="175">
        <f>[6]REKAPITULASI!B61</f>
        <v>2.6826258532800001E-2</v>
      </c>
      <c r="C92" s="176">
        <f t="shared" si="28"/>
        <v>0.56335142918879999</v>
      </c>
      <c r="D92" s="177">
        <f>[6]REKAPITULASI!D61</f>
        <v>8.6641973942857143E-4</v>
      </c>
      <c r="E92" s="137">
        <f t="shared" si="29"/>
        <v>0.26859011922285714</v>
      </c>
      <c r="F92" s="178">
        <f t="shared" si="30"/>
        <v>0.83194154841165713</v>
      </c>
      <c r="G92" s="179">
        <f t="shared" si="31"/>
        <v>831.9415484116571</v>
      </c>
    </row>
    <row r="93" spans="1:10" x14ac:dyDescent="0.25">
      <c r="A93" s="135">
        <v>2014</v>
      </c>
      <c r="B93" s="175">
        <f>[6]REKAPITULASI!B62</f>
        <v>2.7051917534400005E-2</v>
      </c>
      <c r="C93" s="176">
        <f t="shared" si="28"/>
        <v>0.56809026822240005</v>
      </c>
      <c r="D93" s="177">
        <f>[6]REKAPITULASI!D62</f>
        <v>8.9310378876190488E-4</v>
      </c>
      <c r="E93" s="137">
        <f t="shared" si="29"/>
        <v>0.2768621745161905</v>
      </c>
      <c r="F93" s="178">
        <f t="shared" si="30"/>
        <v>0.8449524427385906</v>
      </c>
      <c r="G93" s="179">
        <f t="shared" si="31"/>
        <v>844.95244273859055</v>
      </c>
    </row>
    <row r="94" spans="1:10" x14ac:dyDescent="0.25">
      <c r="A94" s="135">
        <v>2015</v>
      </c>
      <c r="B94" s="175">
        <f>[6]REKAPITULASI!B63</f>
        <v>2.7131316072000002E-2</v>
      </c>
      <c r="C94" s="176">
        <f t="shared" si="28"/>
        <v>0.56975763751200004</v>
      </c>
      <c r="D94" s="177">
        <f>[6]REKAPITULASI!D63</f>
        <v>8.9572508666666689E-4</v>
      </c>
      <c r="E94" s="137">
        <f t="shared" si="29"/>
        <v>0.27767477686666675</v>
      </c>
      <c r="F94" s="178">
        <f t="shared" si="30"/>
        <v>0.84743241437866679</v>
      </c>
      <c r="G94" s="179">
        <f t="shared" si="31"/>
        <v>847.43241437866675</v>
      </c>
    </row>
    <row r="95" spans="1:10" x14ac:dyDescent="0.25">
      <c r="A95" s="135">
        <v>2016</v>
      </c>
      <c r="B95" s="175">
        <f>[6]REKAPITULASI!B64</f>
        <v>2.7255637466399994E-2</v>
      </c>
      <c r="C95" s="176">
        <f t="shared" si="28"/>
        <v>0.57236838679439983</v>
      </c>
      <c r="D95" s="177">
        <f>[6]REKAPITULASI!D64</f>
        <v>8.998294873333334E-4</v>
      </c>
      <c r="E95" s="137">
        <f t="shared" si="29"/>
        <v>0.27894714107333335</v>
      </c>
      <c r="F95" s="178">
        <f t="shared" si="30"/>
        <v>0.85131552786773312</v>
      </c>
      <c r="G95" s="179">
        <f t="shared" si="31"/>
        <v>851.31552786773318</v>
      </c>
    </row>
    <row r="96" spans="1:10" x14ac:dyDescent="0.25">
      <c r="A96" s="135">
        <v>2017</v>
      </c>
      <c r="B96" s="175">
        <f>[6]REKAPITULASI!B65</f>
        <v>2.7461436386424003E-2</v>
      </c>
      <c r="C96" s="176">
        <f t="shared" si="28"/>
        <v>0.57669016411490404</v>
      </c>
      <c r="D96" s="177">
        <f>[6]REKAPITULASI!D65</f>
        <v>9.0662382252095235E-4</v>
      </c>
      <c r="E96" s="137">
        <f t="shared" si="29"/>
        <v>0.28105338498149524</v>
      </c>
      <c r="F96" s="178">
        <f t="shared" si="30"/>
        <v>0.85774354909639927</v>
      </c>
      <c r="G96" s="179">
        <f t="shared" si="31"/>
        <v>857.74354909639931</v>
      </c>
    </row>
    <row r="97" spans="1:7" x14ac:dyDescent="0.25">
      <c r="A97" s="135">
        <v>2018</v>
      </c>
      <c r="B97" s="175">
        <f>[6]REKAPITULASI!B66</f>
        <v>2.7622918385856007E-2</v>
      </c>
      <c r="C97" s="176">
        <f t="shared" si="28"/>
        <v>0.58008128610297616</v>
      </c>
      <c r="D97" s="177">
        <f>[6]REKAPITULASI!D66</f>
        <v>9.1195505958857159E-4</v>
      </c>
      <c r="E97" s="137">
        <f t="shared" si="29"/>
        <v>0.28270606847245722</v>
      </c>
      <c r="F97" s="178">
        <f t="shared" si="30"/>
        <v>0.86278735457543343</v>
      </c>
      <c r="G97" s="179">
        <f t="shared" si="31"/>
        <v>862.78735457543348</v>
      </c>
    </row>
    <row r="98" spans="1:7" x14ac:dyDescent="0.25">
      <c r="A98" s="135">
        <v>2019</v>
      </c>
      <c r="B98" s="175">
        <f>[6]REKAPITULASI!B67</f>
        <v>2.7784400385288E-2</v>
      </c>
      <c r="C98" s="176">
        <f t="shared" si="28"/>
        <v>0.58347240809104806</v>
      </c>
      <c r="D98" s="177">
        <f>[6]REKAPITULASI!D67</f>
        <v>9.1728629665619062E-4</v>
      </c>
      <c r="E98" s="137">
        <f t="shared" si="29"/>
        <v>0.28435875196341909</v>
      </c>
      <c r="F98" s="178">
        <f t="shared" si="30"/>
        <v>0.86783116005446714</v>
      </c>
      <c r="G98" s="179">
        <f t="shared" si="31"/>
        <v>867.83116005446709</v>
      </c>
    </row>
    <row r="99" spans="1:7" x14ac:dyDescent="0.25">
      <c r="A99" s="135">
        <v>2020</v>
      </c>
      <c r="B99" s="175">
        <f>[6]REKAPITULASI!B68</f>
        <v>2.7945882384720004E-2</v>
      </c>
      <c r="C99" s="176">
        <f t="shared" si="28"/>
        <v>0.58686353007912007</v>
      </c>
      <c r="D99" s="177">
        <f>[6]REKAPITULASI!D68</f>
        <v>9.2261753372380976E-4</v>
      </c>
      <c r="E99" s="137">
        <f t="shared" si="29"/>
        <v>0.28601143545438101</v>
      </c>
      <c r="F99" s="178">
        <f t="shared" si="30"/>
        <v>0.87287496553350108</v>
      </c>
      <c r="G99" s="179">
        <f t="shared" si="31"/>
        <v>872.87496553350104</v>
      </c>
    </row>
    <row r="100" spans="1:7" x14ac:dyDescent="0.25">
      <c r="A100" s="135">
        <v>2021</v>
      </c>
      <c r="B100" s="175">
        <f>[6]REKAPITULASI!B69</f>
        <v>2.8107364384152001E-2</v>
      </c>
      <c r="C100" s="176">
        <f t="shared" si="28"/>
        <v>0.59025465206719208</v>
      </c>
      <c r="D100" s="177">
        <f>[6]REKAPITULASI!D69</f>
        <v>9.2794877079142857E-4</v>
      </c>
      <c r="E100" s="137">
        <f t="shared" si="29"/>
        <v>0.28766411894534283</v>
      </c>
      <c r="F100" s="178">
        <f t="shared" si="30"/>
        <v>0.8779187710125349</v>
      </c>
      <c r="G100" s="179">
        <f t="shared" si="31"/>
        <v>877.91877101253488</v>
      </c>
    </row>
    <row r="101" spans="1:7" x14ac:dyDescent="0.25">
      <c r="A101" s="135">
        <v>2022</v>
      </c>
      <c r="B101" s="175">
        <f>[6]REKAPITULASI!B70</f>
        <v>2.8268846383584005E-2</v>
      </c>
      <c r="C101" s="176">
        <f t="shared" si="28"/>
        <v>0.59364577405526409</v>
      </c>
      <c r="D101" s="177">
        <f>[6]REKAPITULASI!D70</f>
        <v>9.332800078590477E-4</v>
      </c>
      <c r="E101" s="137">
        <f t="shared" si="29"/>
        <v>0.28931680243630481</v>
      </c>
      <c r="F101" s="178">
        <f t="shared" si="30"/>
        <v>0.88296257649156895</v>
      </c>
      <c r="G101" s="179">
        <f t="shared" si="31"/>
        <v>882.96257649156894</v>
      </c>
    </row>
    <row r="102" spans="1:7" x14ac:dyDescent="0.25">
      <c r="A102" s="135">
        <v>2023</v>
      </c>
      <c r="B102" s="175">
        <f>[6]REKAPITULASI!B71</f>
        <v>2.8430328383016002E-2</v>
      </c>
      <c r="C102" s="176">
        <f t="shared" si="28"/>
        <v>0.5970368960433361</v>
      </c>
      <c r="D102" s="177">
        <f>[6]REKAPITULASI!D71</f>
        <v>9.3861124492666684E-4</v>
      </c>
      <c r="E102" s="137">
        <f t="shared" si="29"/>
        <v>0.29096948592726674</v>
      </c>
      <c r="F102" s="178">
        <f t="shared" si="30"/>
        <v>0.88800638197060278</v>
      </c>
      <c r="G102" s="179">
        <f t="shared" si="31"/>
        <v>888.00638197060277</v>
      </c>
    </row>
    <row r="103" spans="1:7" x14ac:dyDescent="0.25">
      <c r="A103" s="135">
        <v>2024</v>
      </c>
      <c r="B103" s="175">
        <f>[6]REKAPITULASI!B72</f>
        <v>2.8591810382447999E-2</v>
      </c>
      <c r="C103" s="176">
        <f t="shared" si="28"/>
        <v>0.600428018031408</v>
      </c>
      <c r="D103" s="177">
        <f>[6]REKAPITULASI!D72</f>
        <v>9.4394248199428554E-4</v>
      </c>
      <c r="E103" s="137">
        <f t="shared" si="29"/>
        <v>0.29262216941822849</v>
      </c>
      <c r="F103" s="178">
        <f t="shared" si="30"/>
        <v>0.89305018744963649</v>
      </c>
      <c r="G103" s="179">
        <f t="shared" si="31"/>
        <v>893.0501874496365</v>
      </c>
    </row>
    <row r="104" spans="1:7" x14ac:dyDescent="0.25">
      <c r="A104" s="135">
        <v>2025</v>
      </c>
      <c r="B104" s="175">
        <f>[6]REKAPITULASI!B73</f>
        <v>2.875329238188E-2</v>
      </c>
      <c r="C104" s="176">
        <f t="shared" si="28"/>
        <v>0.60381914001948001</v>
      </c>
      <c r="D104" s="177">
        <f>[6]REKAPITULASI!D73</f>
        <v>9.4927371906190501E-4</v>
      </c>
      <c r="E104" s="137">
        <f t="shared" si="29"/>
        <v>0.29427485290919053</v>
      </c>
      <c r="F104" s="178">
        <f t="shared" si="30"/>
        <v>0.89809399292867054</v>
      </c>
      <c r="G104" s="179">
        <f t="shared" si="31"/>
        <v>898.09399292867056</v>
      </c>
    </row>
    <row r="105" spans="1:7" x14ac:dyDescent="0.25">
      <c r="A105" s="135">
        <v>2026</v>
      </c>
      <c r="B105" s="175">
        <f>[6]REKAPITULASI!B74</f>
        <v>2.8914774381312E-2</v>
      </c>
      <c r="C105" s="176">
        <f t="shared" si="28"/>
        <v>0.60721026200755202</v>
      </c>
      <c r="D105" s="177">
        <f>[6]REKAPITULASI!D74</f>
        <v>9.5460495612952393E-4</v>
      </c>
      <c r="E105" s="137">
        <f t="shared" si="29"/>
        <v>0.2959275364001524</v>
      </c>
      <c r="F105" s="178">
        <f t="shared" si="30"/>
        <v>0.90313779840770447</v>
      </c>
      <c r="G105" s="179">
        <f t="shared" si="31"/>
        <v>903.13779840770451</v>
      </c>
    </row>
    <row r="106" spans="1:7" x14ac:dyDescent="0.25">
      <c r="A106" s="135">
        <v>2027</v>
      </c>
      <c r="B106" s="175">
        <f>[6]REKAPITULASI!B75</f>
        <v>2.9076256380744004E-2</v>
      </c>
      <c r="C106" s="176">
        <f t="shared" si="28"/>
        <v>0.61060138399562414</v>
      </c>
      <c r="D106" s="177">
        <f>[6]REKAPITULASI!D75</f>
        <v>9.5993619319714295E-4</v>
      </c>
      <c r="E106" s="137">
        <f t="shared" si="29"/>
        <v>0.29758021989111433</v>
      </c>
      <c r="F106" s="178">
        <f t="shared" si="30"/>
        <v>0.90818160388673852</v>
      </c>
      <c r="G106" s="179">
        <f t="shared" si="31"/>
        <v>908.18160388673857</v>
      </c>
    </row>
    <row r="107" spans="1:7" x14ac:dyDescent="0.25">
      <c r="A107" s="135">
        <v>2028</v>
      </c>
      <c r="B107" s="175">
        <f>[6]REKAPITULASI!B76</f>
        <v>2.9237738380175998E-2</v>
      </c>
      <c r="C107" s="176">
        <f t="shared" si="28"/>
        <v>0.61399250598369592</v>
      </c>
      <c r="D107" s="177">
        <f>[6]REKAPITULASI!D76</f>
        <v>9.6526743026476187E-4</v>
      </c>
      <c r="E107" s="137">
        <f t="shared" si="29"/>
        <v>0.2992329033820762</v>
      </c>
      <c r="F107" s="178">
        <f t="shared" si="30"/>
        <v>0.91322540936577212</v>
      </c>
      <c r="G107" s="179">
        <f t="shared" si="31"/>
        <v>913.22540936577207</v>
      </c>
    </row>
    <row r="108" spans="1:7" x14ac:dyDescent="0.25">
      <c r="A108" s="135">
        <v>2029</v>
      </c>
      <c r="B108" s="175">
        <f>[6]REKAPITULASI!B77</f>
        <v>2.9399220379608005E-2</v>
      </c>
      <c r="C108" s="176">
        <f t="shared" si="28"/>
        <v>0.61738362797176816</v>
      </c>
      <c r="D108" s="177">
        <f>[6]REKAPITULASI!D77</f>
        <v>9.7059866733238123E-4</v>
      </c>
      <c r="E108" s="137">
        <f t="shared" si="29"/>
        <v>0.30088558687303818</v>
      </c>
      <c r="F108" s="178">
        <f t="shared" si="30"/>
        <v>0.91826921484480639</v>
      </c>
      <c r="G108" s="179">
        <f t="shared" si="31"/>
        <v>918.26921484480636</v>
      </c>
    </row>
    <row r="109" spans="1:7" x14ac:dyDescent="0.25">
      <c r="A109" s="135">
        <v>2030</v>
      </c>
      <c r="B109" s="175">
        <f>[6]REKAPITULASI!B78</f>
        <v>2.9560702379040009E-2</v>
      </c>
      <c r="C109" s="176">
        <f t="shared" si="28"/>
        <v>0.62077474995984017</v>
      </c>
      <c r="D109" s="177">
        <f>[6]REKAPITULASI!D78</f>
        <v>9.7592990440000015E-4</v>
      </c>
      <c r="E109" s="137">
        <f t="shared" si="29"/>
        <v>0.30253827036400005</v>
      </c>
      <c r="F109" s="178">
        <f t="shared" si="30"/>
        <v>0.92331302032384022</v>
      </c>
      <c r="G109" s="179">
        <f t="shared" si="31"/>
        <v>923.31302032384019</v>
      </c>
    </row>
    <row r="110" spans="1:7" x14ac:dyDescent="0.25">
      <c r="A110" s="135">
        <v>2031</v>
      </c>
      <c r="B110" s="175"/>
      <c r="C110" s="176">
        <f t="shared" si="28"/>
        <v>0</v>
      </c>
      <c r="D110" s="177"/>
      <c r="E110" s="137">
        <f t="shared" si="29"/>
        <v>0</v>
      </c>
      <c r="F110" s="178">
        <f t="shared" si="30"/>
        <v>0</v>
      </c>
      <c r="G110" s="180"/>
    </row>
  </sheetData>
  <mergeCells count="32">
    <mergeCell ref="D86:E86"/>
    <mergeCell ref="H59:H60"/>
    <mergeCell ref="I59:J59"/>
    <mergeCell ref="F86:G86"/>
    <mergeCell ref="A86:A89"/>
    <mergeCell ref="B86:C86"/>
    <mergeCell ref="B88:B89"/>
    <mergeCell ref="A6:A8"/>
    <mergeCell ref="B7:C7"/>
    <mergeCell ref="A58:A60"/>
    <mergeCell ref="B58:F58"/>
    <mergeCell ref="B59:C59"/>
    <mergeCell ref="D59:E59"/>
    <mergeCell ref="D7:D8"/>
    <mergeCell ref="B6:D6"/>
    <mergeCell ref="A32:A34"/>
    <mergeCell ref="B32:F32"/>
    <mergeCell ref="B33:C33"/>
    <mergeCell ref="D33:E33"/>
    <mergeCell ref="F33:F34"/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topLeftCell="A10" workbookViewId="0">
      <selection activeCell="C8" sqref="C8"/>
    </sheetView>
  </sheetViews>
  <sheetFormatPr defaultRowHeight="12.75" x14ac:dyDescent="0.25"/>
  <cols>
    <col min="1" max="2" width="9.140625" style="96"/>
    <col min="3" max="3" width="14.5703125" style="96" customWidth="1"/>
    <col min="4" max="4" width="19.140625" style="96" customWidth="1"/>
    <col min="5" max="16384" width="9.140625" style="96"/>
  </cols>
  <sheetData>
    <row r="3" spans="2:4" x14ac:dyDescent="0.25">
      <c r="B3" s="224" t="s">
        <v>10</v>
      </c>
      <c r="C3" s="224" t="s">
        <v>131</v>
      </c>
      <c r="D3" s="224"/>
    </row>
    <row r="4" spans="2:4" x14ac:dyDescent="0.25">
      <c r="B4" s="224"/>
      <c r="C4" s="97" t="s">
        <v>130</v>
      </c>
      <c r="D4" s="97" t="s">
        <v>127</v>
      </c>
    </row>
    <row r="5" spans="2:4" ht="15" x14ac:dyDescent="0.25">
      <c r="B5" s="89">
        <v>2011</v>
      </c>
      <c r="C5" s="114">
        <f>'[7]4D2_CH4_Industrial_Wastewater'!$G12</f>
        <v>0</v>
      </c>
      <c r="D5" s="114">
        <f>(C5*21)/1000</f>
        <v>0</v>
      </c>
    </row>
    <row r="6" spans="2:4" ht="15" x14ac:dyDescent="0.25">
      <c r="B6" s="89">
        <v>2012</v>
      </c>
      <c r="C6" s="114">
        <f>'[7]4D2_CH4_Industrial_Wastewater'!$G13</f>
        <v>0</v>
      </c>
      <c r="D6" s="114">
        <f t="shared" ref="D6:D15" si="0">(C6*21)/1000</f>
        <v>0</v>
      </c>
    </row>
    <row r="7" spans="2:4" ht="15" x14ac:dyDescent="0.25">
      <c r="B7" s="89">
        <v>2013</v>
      </c>
      <c r="C7" s="114">
        <f>'[7]4D2_CH4_Industrial_Wastewater'!$G14</f>
        <v>0</v>
      </c>
      <c r="D7" s="114">
        <f t="shared" si="0"/>
        <v>0</v>
      </c>
    </row>
    <row r="8" spans="2:4" ht="15" x14ac:dyDescent="0.25">
      <c r="B8" s="89">
        <v>2014</v>
      </c>
      <c r="C8" s="114">
        <f>'[7]4D2_CH4_Industrial_Wastewater'!$G15</f>
        <v>0</v>
      </c>
      <c r="D8" s="114">
        <f t="shared" si="0"/>
        <v>0</v>
      </c>
    </row>
    <row r="9" spans="2:4" ht="15" x14ac:dyDescent="0.25">
      <c r="B9" s="89">
        <v>2015</v>
      </c>
      <c r="C9" s="114">
        <f>'[7]4D2_CH4_Industrial_Wastewater'!$G16</f>
        <v>0</v>
      </c>
      <c r="D9" s="114">
        <f t="shared" si="0"/>
        <v>0</v>
      </c>
    </row>
    <row r="10" spans="2:4" ht="15" x14ac:dyDescent="0.25">
      <c r="B10" s="89">
        <v>2016</v>
      </c>
      <c r="C10" s="114">
        <f>'[7]4D2_CH4_Industrial_Wastewater'!$G17</f>
        <v>0</v>
      </c>
      <c r="D10" s="114">
        <f t="shared" si="0"/>
        <v>0</v>
      </c>
    </row>
    <row r="11" spans="2:4" ht="15" x14ac:dyDescent="0.25">
      <c r="B11" s="89">
        <v>2017</v>
      </c>
      <c r="C11" s="114">
        <f>'[7]4D2_CH4_Industrial_Wastewater'!$G18</f>
        <v>565204.78500000003</v>
      </c>
      <c r="D11" s="114">
        <f t="shared" si="0"/>
        <v>11869.300485000002</v>
      </c>
    </row>
    <row r="12" spans="2:4" ht="15" x14ac:dyDescent="0.25">
      <c r="B12" s="89">
        <v>2018</v>
      </c>
      <c r="C12" s="114">
        <f>'[7]4D2_CH4_Industrial_Wastewater'!$G19</f>
        <v>1153760.6400000001</v>
      </c>
      <c r="D12" s="114">
        <f t="shared" si="0"/>
        <v>24228.973440000002</v>
      </c>
    </row>
    <row r="13" spans="2:4" ht="15" x14ac:dyDescent="0.25">
      <c r="B13" s="89">
        <v>2019</v>
      </c>
      <c r="C13" s="114">
        <f>'[7]4D2_CH4_Industrial_Wastewater'!$G20</f>
        <v>1765667.5649999999</v>
      </c>
      <c r="D13" s="114">
        <f t="shared" si="0"/>
        <v>37079.018865000005</v>
      </c>
    </row>
    <row r="14" spans="2:4" ht="15" x14ac:dyDescent="0.25">
      <c r="B14" s="89">
        <v>2020</v>
      </c>
      <c r="C14" s="114">
        <f>'[7]4D2_CH4_Industrial_Wastewater'!$G21</f>
        <v>2400925.5599999996</v>
      </c>
      <c r="D14" s="114">
        <f t="shared" si="0"/>
        <v>50419.43675999999</v>
      </c>
    </row>
    <row r="15" spans="2:4" ht="15" x14ac:dyDescent="0.25">
      <c r="B15" s="89">
        <v>2021</v>
      </c>
      <c r="C15" s="114">
        <f>'[7]4D2_CH4_Industrial_Wastewater'!$G22</f>
        <v>3587331.9533333331</v>
      </c>
      <c r="D15" s="114">
        <f t="shared" si="0"/>
        <v>75333.971019999997</v>
      </c>
    </row>
    <row r="16" spans="2:4" ht="15" x14ac:dyDescent="0.25">
      <c r="B16" s="89">
        <v>2022</v>
      </c>
      <c r="C16" s="114">
        <f>'[7]4D2_CH4_Industrial_Wastewater'!$G23</f>
        <v>4817230.7679999992</v>
      </c>
      <c r="D16" s="114">
        <f t="shared" ref="D16:D25" si="1">(C16*21)/1000</f>
        <v>101161.84612799999</v>
      </c>
    </row>
    <row r="17" spans="2:4" ht="15" x14ac:dyDescent="0.25">
      <c r="B17" s="89">
        <v>2023</v>
      </c>
      <c r="C17" s="114">
        <f>'[7]4D2_CH4_Industrial_Wastewater'!$G24</f>
        <v>6090622.0039999988</v>
      </c>
      <c r="D17" s="114">
        <f t="shared" si="1"/>
        <v>127903.06208399998</v>
      </c>
    </row>
    <row r="18" spans="2:4" ht="15" x14ac:dyDescent="0.25">
      <c r="B18" s="89">
        <v>2024</v>
      </c>
      <c r="C18" s="114">
        <f>'[7]4D2_CH4_Industrial_Wastewater'!$G25</f>
        <v>7407505.6613333318</v>
      </c>
      <c r="D18" s="114">
        <f t="shared" si="1"/>
        <v>155557.61888799997</v>
      </c>
    </row>
    <row r="19" spans="2:4" ht="15" x14ac:dyDescent="0.25">
      <c r="B19" s="89">
        <v>2025</v>
      </c>
      <c r="C19" s="114">
        <f>'[7]4D2_CH4_Industrial_Wastewater'!$G26</f>
        <v>8767881.7399999984</v>
      </c>
      <c r="D19" s="114">
        <f t="shared" si="1"/>
        <v>184125.51653999995</v>
      </c>
    </row>
    <row r="20" spans="2:4" ht="15" x14ac:dyDescent="0.25">
      <c r="B20" s="89">
        <v>2026</v>
      </c>
      <c r="C20" s="114">
        <f>'[7]4D2_CH4_Industrial_Wastewater'!$G27</f>
        <v>10171750.239999998</v>
      </c>
      <c r="D20" s="114">
        <f t="shared" si="1"/>
        <v>213606.75503999996</v>
      </c>
    </row>
    <row r="21" spans="2:4" ht="15" x14ac:dyDescent="0.25">
      <c r="B21" s="89">
        <v>2027</v>
      </c>
      <c r="C21" s="114">
        <f>'[7]4D2_CH4_Industrial_Wastewater'!$G28</f>
        <v>11619111.161333332</v>
      </c>
      <c r="D21" s="114">
        <f t="shared" si="1"/>
        <v>244001.33438799999</v>
      </c>
    </row>
    <row r="22" spans="2:4" ht="15" x14ac:dyDescent="0.25">
      <c r="B22" s="89">
        <v>2028</v>
      </c>
      <c r="C22" s="114">
        <f>'[7]4D2_CH4_Industrial_Wastewater'!$G29</f>
        <v>13109964.503999999</v>
      </c>
      <c r="D22" s="114">
        <f t="shared" si="1"/>
        <v>275309.25458399998</v>
      </c>
    </row>
    <row r="23" spans="2:4" ht="15" x14ac:dyDescent="0.25">
      <c r="B23" s="89">
        <v>2029</v>
      </c>
      <c r="C23" s="114">
        <f>'[7]4D2_CH4_Industrial_Wastewater'!$G30</f>
        <v>14644310.267999999</v>
      </c>
      <c r="D23" s="114">
        <f t="shared" si="1"/>
        <v>307530.51562799996</v>
      </c>
    </row>
    <row r="24" spans="2:4" ht="15" x14ac:dyDescent="0.25">
      <c r="B24" s="89">
        <v>2030</v>
      </c>
      <c r="C24" s="114">
        <f>'[7]4D2_CH4_Industrial_Wastewater'!$G31</f>
        <v>14886728.303999998</v>
      </c>
      <c r="D24" s="114">
        <f t="shared" si="1"/>
        <v>312621.29438399995</v>
      </c>
    </row>
    <row r="25" spans="2:4" ht="15" x14ac:dyDescent="0.25">
      <c r="B25" s="89">
        <v>2031</v>
      </c>
      <c r="C25" s="98"/>
      <c r="D25" s="98">
        <f t="shared" si="1"/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8"/>
  <sheetViews>
    <sheetView topLeftCell="A13" zoomScale="85" zoomScaleNormal="85" workbookViewId="0">
      <selection activeCell="C9" sqref="C9"/>
    </sheetView>
  </sheetViews>
  <sheetFormatPr defaultRowHeight="15" x14ac:dyDescent="0.25"/>
  <cols>
    <col min="1" max="1" width="24" customWidth="1"/>
    <col min="2" max="2" width="23.28515625" bestFit="1" customWidth="1"/>
    <col min="3" max="3" width="21.42578125" bestFit="1" customWidth="1"/>
    <col min="4" max="4" width="20" bestFit="1" customWidth="1"/>
    <col min="5" max="5" width="19" bestFit="1" customWidth="1"/>
    <col min="6" max="6" width="9" bestFit="1" customWidth="1"/>
    <col min="11" max="21" width="10.5703125" bestFit="1" customWidth="1"/>
    <col min="22" max="22" width="11.5703125" bestFit="1" customWidth="1"/>
  </cols>
  <sheetData>
    <row r="2" spans="1:22" x14ac:dyDescent="0.25">
      <c r="B2" s="116">
        <v>2011</v>
      </c>
      <c r="C2" s="116">
        <v>2012</v>
      </c>
      <c r="D2" s="116">
        <v>2013</v>
      </c>
      <c r="E2" s="116">
        <v>2014</v>
      </c>
      <c r="F2" s="116">
        <v>2015</v>
      </c>
      <c r="G2" s="116">
        <v>2016</v>
      </c>
      <c r="H2" s="116">
        <v>2017</v>
      </c>
      <c r="I2" s="116">
        <v>2018</v>
      </c>
      <c r="J2" s="116">
        <v>2019</v>
      </c>
      <c r="K2" s="116">
        <v>2020</v>
      </c>
      <c r="L2" s="116">
        <v>2021</v>
      </c>
      <c r="M2" s="116">
        <v>2022</v>
      </c>
      <c r="N2" s="116">
        <v>2023</v>
      </c>
      <c r="O2" s="116">
        <v>2024</v>
      </c>
      <c r="P2" s="116">
        <v>2025</v>
      </c>
      <c r="Q2" s="116">
        <v>2026</v>
      </c>
      <c r="R2" s="116">
        <v>2027</v>
      </c>
      <c r="S2" s="116">
        <v>2028</v>
      </c>
      <c r="T2" s="116">
        <v>2029</v>
      </c>
      <c r="U2" s="116">
        <v>2030</v>
      </c>
    </row>
    <row r="3" spans="1:22" x14ac:dyDescent="0.25">
      <c r="A3" t="s">
        <v>133</v>
      </c>
      <c r="B3" s="117">
        <f>'Rekapitulasi BaU Emisi GRK'!J61</f>
        <v>67.726774211250003</v>
      </c>
      <c r="C3" s="117">
        <f>'Rekapitulasi BaU Emisi GRK'!$J62</f>
        <v>788.07082787008153</v>
      </c>
      <c r="D3" s="117">
        <f>'Rekapitulasi BaU Emisi GRK'!$J63</f>
        <v>1303.5029416620382</v>
      </c>
      <c r="E3" s="117">
        <f>'Rekapitulasi BaU Emisi GRK'!$J64</f>
        <v>1677.4034793023307</v>
      </c>
      <c r="F3" s="117">
        <f>'Rekapitulasi BaU Emisi GRK'!$J65</f>
        <v>1954.9524396479485</v>
      </c>
      <c r="G3" s="117">
        <f>'Rekapitulasi BaU Emisi GRK'!$J66</f>
        <v>2162.0325132083535</v>
      </c>
      <c r="H3" s="117">
        <f>'Rekapitulasi BaU Emisi GRK'!$J67</f>
        <v>2321.4630734126704</v>
      </c>
      <c r="I3" s="117">
        <f>'Rekapitulasi BaU Emisi GRK'!$J68</f>
        <v>2408.4310787581576</v>
      </c>
      <c r="J3" s="117">
        <f>'Rekapitulasi BaU Emisi GRK'!$J69</f>
        <v>2483.9946551975963</v>
      </c>
      <c r="K3" s="117">
        <f>'Rekapitulasi BaU Emisi GRK'!$J70</f>
        <v>2551.0602059909429</v>
      </c>
      <c r="L3" s="117">
        <f>'Rekapitulasi BaU Emisi GRK'!$J71</f>
        <v>2611.7155202506765</v>
      </c>
      <c r="M3" s="117">
        <f>'Rekapitulasi BaU Emisi GRK'!$J72</f>
        <v>2667.4770150977138</v>
      </c>
      <c r="N3" s="117">
        <f>'Rekapitulasi BaU Emisi GRK'!$J73</f>
        <v>2719.458455378377</v>
      </c>
      <c r="O3" s="117">
        <f>'Rekapitulasi BaU Emisi GRK'!$J74</f>
        <v>2768.4865481673137</v>
      </c>
      <c r="P3" s="117">
        <f>'Rekapitulasi BaU Emisi GRK'!$J75</f>
        <v>2815.1805094035476</v>
      </c>
      <c r="Q3" s="117">
        <f>'Rekapitulasi BaU Emisi GRK'!$J76</f>
        <v>2860.0071248425515</v>
      </c>
      <c r="R3" s="117">
        <f>'Rekapitulasi BaU Emisi GRK'!$J77</f>
        <v>2903.3190805643326</v>
      </c>
      <c r="S3" s="117">
        <f>'Rekapitulasi BaU Emisi GRK'!$J78</f>
        <v>2945.3818183388926</v>
      </c>
      <c r="T3" s="117">
        <f>'Rekapitulasi BaU Emisi GRK'!$J79</f>
        <v>2986.3924749702878</v>
      </c>
      <c r="U3" s="117">
        <f>'Rekapitulasi BaU Emisi GRK'!$J80</f>
        <v>3026.4861373402755</v>
      </c>
    </row>
    <row r="4" spans="1:22" x14ac:dyDescent="0.25">
      <c r="A4" t="s">
        <v>134</v>
      </c>
      <c r="B4" s="117">
        <f>'Rekapitulasi BaU Emisi GRK'!$G90</f>
        <v>834.14902138240006</v>
      </c>
      <c r="C4" s="117">
        <f>'Rekapitulasi BaU Emisi GRK'!$G91</f>
        <v>830.7166251312002</v>
      </c>
      <c r="D4" s="117">
        <f>'Rekapitulasi BaU Emisi GRK'!$G92</f>
        <v>831.9415484116571</v>
      </c>
      <c r="E4" s="117">
        <f>'Rekapitulasi BaU Emisi GRK'!$G93</f>
        <v>844.95244273859055</v>
      </c>
      <c r="F4" s="117">
        <f>'Rekapitulasi BaU Emisi GRK'!$G94</f>
        <v>847.43241437866675</v>
      </c>
      <c r="G4" s="117">
        <f>'Rekapitulasi BaU Emisi GRK'!$G95</f>
        <v>851.31552786773318</v>
      </c>
      <c r="H4" s="117">
        <f>'Rekapitulasi BaU Emisi GRK'!$G96</f>
        <v>857.74354909639931</v>
      </c>
      <c r="I4" s="117">
        <f>'Rekapitulasi BaU Emisi GRK'!$G97</f>
        <v>862.78735457543348</v>
      </c>
      <c r="J4" s="117">
        <f>'Rekapitulasi BaU Emisi GRK'!$G98</f>
        <v>867.83116005446709</v>
      </c>
      <c r="K4" s="117">
        <f>'Rekapitulasi BaU Emisi GRK'!$G99</f>
        <v>872.87496553350104</v>
      </c>
      <c r="L4" s="117">
        <f>'Rekapitulasi BaU Emisi GRK'!$G100</f>
        <v>877.91877101253488</v>
      </c>
      <c r="M4" s="117">
        <f>'Rekapitulasi BaU Emisi GRK'!$G101</f>
        <v>882.96257649156894</v>
      </c>
      <c r="N4" s="117">
        <f>'Rekapitulasi BaU Emisi GRK'!$G102</f>
        <v>888.00638197060277</v>
      </c>
      <c r="O4" s="117">
        <f>'Rekapitulasi BaU Emisi GRK'!$G103</f>
        <v>893.0501874496365</v>
      </c>
      <c r="P4" s="117">
        <f>'Rekapitulasi BaU Emisi GRK'!$G104</f>
        <v>898.09399292867056</v>
      </c>
      <c r="Q4" s="117">
        <f>'Rekapitulasi BaU Emisi GRK'!$G105</f>
        <v>903.13779840770451</v>
      </c>
      <c r="R4" s="117">
        <f>'Rekapitulasi BaU Emisi GRK'!$G106</f>
        <v>908.18160388673857</v>
      </c>
      <c r="S4" s="117">
        <f>'Rekapitulasi BaU Emisi GRK'!$G107</f>
        <v>913.22540936577207</v>
      </c>
      <c r="T4" s="117">
        <f>'Rekapitulasi BaU Emisi GRK'!$G108</f>
        <v>918.26921484480636</v>
      </c>
      <c r="U4" s="117">
        <f>'Rekapitulasi BaU Emisi GRK'!$G109</f>
        <v>923.31302032384019</v>
      </c>
    </row>
    <row r="5" spans="1:22" x14ac:dyDescent="0.25">
      <c r="A5" t="s">
        <v>135</v>
      </c>
      <c r="B5" s="117">
        <f>'Rekap BAU Emisi Industri Sawitt'!$D5</f>
        <v>0</v>
      </c>
      <c r="C5" s="117">
        <f>'Rekap BAU Emisi Industri Sawitt'!$D6</f>
        <v>0</v>
      </c>
      <c r="D5" s="117">
        <f>'Rekap BAU Emisi Industri Sawitt'!$D7</f>
        <v>0</v>
      </c>
      <c r="E5" s="117">
        <f>'Rekap BAU Emisi Industri Sawitt'!$D8</f>
        <v>0</v>
      </c>
      <c r="F5" s="117">
        <f>'Rekap BAU Emisi Industri Sawitt'!$D9</f>
        <v>0</v>
      </c>
      <c r="G5" s="117">
        <f>'Rekap BAU Emisi Industri Sawitt'!$D10</f>
        <v>0</v>
      </c>
      <c r="H5" s="117">
        <f>'Rekap BAU Emisi Industri Sawitt'!$D11</f>
        <v>11869.300485000002</v>
      </c>
      <c r="I5" s="117">
        <f>'Rekap BAU Emisi Industri Sawitt'!$D12</f>
        <v>24228.973440000002</v>
      </c>
      <c r="J5" s="117">
        <f>'Rekap BAU Emisi Industri Sawitt'!$D13</f>
        <v>37079.018865000005</v>
      </c>
      <c r="K5" s="117">
        <f>'Rekap BAU Emisi Industri Sawitt'!$D14</f>
        <v>50419.43675999999</v>
      </c>
      <c r="L5" s="117">
        <f>'Rekap BAU Emisi Industri Sawitt'!$D15</f>
        <v>75333.971019999997</v>
      </c>
      <c r="M5" s="117">
        <f>'Rekap BAU Emisi Industri Sawitt'!$D16</f>
        <v>101161.84612799999</v>
      </c>
      <c r="N5" s="117">
        <f>'Rekap BAU Emisi Industri Sawitt'!$D17</f>
        <v>127903.06208399998</v>
      </c>
      <c r="O5" s="117">
        <f>'Rekap BAU Emisi Industri Sawitt'!$D18</f>
        <v>155557.61888799997</v>
      </c>
      <c r="P5" s="117">
        <f>'Rekap BAU Emisi Industri Sawitt'!$D19</f>
        <v>184125.51653999995</v>
      </c>
      <c r="Q5" s="117">
        <f>'Rekap BAU Emisi Industri Sawitt'!$D20</f>
        <v>213606.75503999996</v>
      </c>
      <c r="R5" s="117">
        <f>'Rekap BAU Emisi Industri Sawitt'!$D21</f>
        <v>244001.33438799999</v>
      </c>
      <c r="S5" s="117">
        <f>'Rekap BAU Emisi Industri Sawitt'!$D22</f>
        <v>275309.25458399998</v>
      </c>
      <c r="T5" s="117">
        <f>'Rekap BAU Emisi Industri Sawitt'!$D23</f>
        <v>307530.51562799996</v>
      </c>
      <c r="U5" s="117">
        <f>'Rekap BAU Emisi Industri Sawitt'!$D24</f>
        <v>312621.29438399995</v>
      </c>
    </row>
    <row r="6" spans="1:22" x14ac:dyDescent="0.25">
      <c r="A6" t="s">
        <v>136</v>
      </c>
      <c r="B6" s="117">
        <f>SUM(B3:B5)</f>
        <v>901.87579559365008</v>
      </c>
      <c r="C6" s="117">
        <f t="shared" ref="C6:U6" si="0">SUM(C3:C5)</f>
        <v>1618.7874530012818</v>
      </c>
      <c r="D6" s="117">
        <f t="shared" si="0"/>
        <v>2135.4444900736953</v>
      </c>
      <c r="E6" s="117">
        <f t="shared" si="0"/>
        <v>2522.3559220409211</v>
      </c>
      <c r="F6" s="117">
        <f t="shared" si="0"/>
        <v>2802.3848540266154</v>
      </c>
      <c r="G6" s="117">
        <f t="shared" si="0"/>
        <v>3013.3480410760867</v>
      </c>
      <c r="H6" s="117">
        <f t="shared" si="0"/>
        <v>15048.507107509071</v>
      </c>
      <c r="I6" s="117">
        <f t="shared" si="0"/>
        <v>27500.191873333592</v>
      </c>
      <c r="J6" s="117">
        <f t="shared" si="0"/>
        <v>40430.84468025207</v>
      </c>
      <c r="K6" s="117">
        <f t="shared" si="0"/>
        <v>53843.371931524431</v>
      </c>
      <c r="L6" s="117">
        <f t="shared" si="0"/>
        <v>78823.605311263207</v>
      </c>
      <c r="M6" s="117">
        <f t="shared" si="0"/>
        <v>104712.28571958927</v>
      </c>
      <c r="N6" s="117">
        <f t="shared" si="0"/>
        <v>131510.52692134897</v>
      </c>
      <c r="O6" s="117">
        <f t="shared" si="0"/>
        <v>159219.15562361691</v>
      </c>
      <c r="P6" s="117">
        <f t="shared" si="0"/>
        <v>187838.79104233216</v>
      </c>
      <c r="Q6" s="117">
        <f t="shared" si="0"/>
        <v>217369.89996325021</v>
      </c>
      <c r="R6" s="117">
        <f t="shared" si="0"/>
        <v>247812.83507245107</v>
      </c>
      <c r="S6" s="117">
        <f t="shared" si="0"/>
        <v>279167.86181170464</v>
      </c>
      <c r="T6" s="117">
        <f t="shared" si="0"/>
        <v>311435.17731781508</v>
      </c>
      <c r="U6" s="117">
        <f t="shared" si="0"/>
        <v>316571.09354166407</v>
      </c>
      <c r="V6" s="118">
        <f>U6-B6</f>
        <v>315669.21774607041</v>
      </c>
    </row>
    <row r="7" spans="1:22" x14ac:dyDescent="0.25">
      <c r="B7" s="117"/>
      <c r="C7" s="117"/>
      <c r="V7" s="119">
        <f>V6/(U6+B6)</f>
        <v>0.99431840891855217</v>
      </c>
    </row>
    <row r="8" spans="1:22" x14ac:dyDescent="0.25">
      <c r="B8" s="120" t="s">
        <v>133</v>
      </c>
      <c r="C8" s="120" t="s">
        <v>134</v>
      </c>
      <c r="D8" s="120" t="s">
        <v>135</v>
      </c>
      <c r="E8" s="120" t="s">
        <v>136</v>
      </c>
    </row>
    <row r="9" spans="1:22" x14ac:dyDescent="0.25">
      <c r="A9" s="116">
        <v>2011</v>
      </c>
      <c r="B9" s="117">
        <f>'Rekapitulasi BaU Emisi GRK'!J61</f>
        <v>67.726774211250003</v>
      </c>
      <c r="C9" s="117">
        <f>'Rekapitulasi BaU Emisi GRK'!G90</f>
        <v>834.14902138240006</v>
      </c>
      <c r="D9" s="117">
        <f>'Rekap BAU Emisi Industri Sawitt'!D5</f>
        <v>0</v>
      </c>
      <c r="E9" s="118">
        <f>SUM(B9:D9)</f>
        <v>901.87579559365008</v>
      </c>
    </row>
    <row r="10" spans="1:22" x14ac:dyDescent="0.25">
      <c r="A10" s="116">
        <v>2012</v>
      </c>
      <c r="B10" s="117">
        <f>'Rekapitulasi BaU Emisi GRK'!J62</f>
        <v>788.07082787008153</v>
      </c>
      <c r="C10" s="117">
        <f>'Rekapitulasi BaU Emisi GRK'!G91</f>
        <v>830.7166251312002</v>
      </c>
      <c r="D10" s="117">
        <f>'Rekap BAU Emisi Industri Sawitt'!D6</f>
        <v>0</v>
      </c>
      <c r="E10" s="118">
        <f t="shared" ref="E10:E28" si="1">SUM(B10:D10)</f>
        <v>1618.7874530012818</v>
      </c>
    </row>
    <row r="11" spans="1:22" x14ac:dyDescent="0.25">
      <c r="A11" s="116">
        <v>2013</v>
      </c>
      <c r="B11" s="117">
        <f>'Rekapitulasi BaU Emisi GRK'!J63</f>
        <v>1303.5029416620382</v>
      </c>
      <c r="C11" s="117">
        <f>'Rekapitulasi BaU Emisi GRK'!G92</f>
        <v>831.9415484116571</v>
      </c>
      <c r="D11" s="117">
        <f>'Rekap BAU Emisi Industri Sawitt'!D7</f>
        <v>0</v>
      </c>
      <c r="E11" s="118">
        <f t="shared" si="1"/>
        <v>2135.4444900736953</v>
      </c>
    </row>
    <row r="12" spans="1:22" x14ac:dyDescent="0.25">
      <c r="A12" s="116">
        <v>2014</v>
      </c>
      <c r="B12" s="117">
        <f>'Rekapitulasi BaU Emisi GRK'!J64</f>
        <v>1677.4034793023307</v>
      </c>
      <c r="C12" s="117">
        <f>'Rekapitulasi BaU Emisi GRK'!G93</f>
        <v>844.95244273859055</v>
      </c>
      <c r="D12" s="117">
        <f>'Rekap BAU Emisi Industri Sawitt'!D8</f>
        <v>0</v>
      </c>
      <c r="E12" s="118">
        <f t="shared" si="1"/>
        <v>2522.3559220409211</v>
      </c>
    </row>
    <row r="13" spans="1:22" x14ac:dyDescent="0.25">
      <c r="A13" s="116">
        <v>2015</v>
      </c>
      <c r="B13" s="117">
        <f>'Rekapitulasi BaU Emisi GRK'!J65</f>
        <v>1954.9524396479485</v>
      </c>
      <c r="C13" s="117">
        <f>'Rekapitulasi BaU Emisi GRK'!G94</f>
        <v>847.43241437866675</v>
      </c>
      <c r="D13" s="117">
        <f>'Rekap BAU Emisi Industri Sawitt'!D9</f>
        <v>0</v>
      </c>
      <c r="E13" s="118">
        <f t="shared" si="1"/>
        <v>2802.3848540266154</v>
      </c>
    </row>
    <row r="14" spans="1:22" x14ac:dyDescent="0.25">
      <c r="A14" s="116">
        <v>2016</v>
      </c>
      <c r="B14" s="117">
        <f>'Rekapitulasi BaU Emisi GRK'!J66</f>
        <v>2162.0325132083535</v>
      </c>
      <c r="C14" s="117">
        <f>'Rekapitulasi BaU Emisi GRK'!G95</f>
        <v>851.31552786773318</v>
      </c>
      <c r="D14" s="117">
        <f>'Rekap BAU Emisi Industri Sawitt'!D10</f>
        <v>0</v>
      </c>
      <c r="E14" s="118">
        <f t="shared" si="1"/>
        <v>3013.3480410760867</v>
      </c>
    </row>
    <row r="15" spans="1:22" x14ac:dyDescent="0.25">
      <c r="A15" s="116">
        <v>2017</v>
      </c>
      <c r="B15" s="117">
        <f>'Rekapitulasi BaU Emisi GRK'!J67</f>
        <v>2321.4630734126704</v>
      </c>
      <c r="C15" s="117">
        <f>'Rekapitulasi BaU Emisi GRK'!G96</f>
        <v>857.74354909639931</v>
      </c>
      <c r="D15" s="117">
        <f>'Rekap BAU Emisi Industri Sawitt'!D11</f>
        <v>11869.300485000002</v>
      </c>
      <c r="E15" s="118">
        <f t="shared" si="1"/>
        <v>15048.507107509071</v>
      </c>
    </row>
    <row r="16" spans="1:22" x14ac:dyDescent="0.25">
      <c r="A16" s="116">
        <v>2018</v>
      </c>
      <c r="B16" s="117">
        <f>'Rekapitulasi BaU Emisi GRK'!J68</f>
        <v>2408.4310787581576</v>
      </c>
      <c r="C16" s="117">
        <f>'Rekapitulasi BaU Emisi GRK'!G97</f>
        <v>862.78735457543348</v>
      </c>
      <c r="D16" s="117">
        <f>'Rekap BAU Emisi Industri Sawitt'!D12</f>
        <v>24228.973440000002</v>
      </c>
      <c r="E16" s="118">
        <f t="shared" si="1"/>
        <v>27500.191873333592</v>
      </c>
    </row>
    <row r="17" spans="1:5" x14ac:dyDescent="0.25">
      <c r="A17" s="116">
        <v>2019</v>
      </c>
      <c r="B17" s="117">
        <f>'Rekapitulasi BaU Emisi GRK'!J69</f>
        <v>2483.9946551975963</v>
      </c>
      <c r="C17" s="117">
        <f>'Rekapitulasi BaU Emisi GRK'!G98</f>
        <v>867.83116005446709</v>
      </c>
      <c r="D17" s="117">
        <f>'Rekap BAU Emisi Industri Sawitt'!D13</f>
        <v>37079.018865000005</v>
      </c>
      <c r="E17" s="118">
        <f t="shared" si="1"/>
        <v>40430.84468025207</v>
      </c>
    </row>
    <row r="18" spans="1:5" x14ac:dyDescent="0.25">
      <c r="A18" s="116">
        <v>2020</v>
      </c>
      <c r="B18" s="117">
        <f>'Rekapitulasi BaU Emisi GRK'!J70</f>
        <v>2551.0602059909429</v>
      </c>
      <c r="C18" s="117">
        <f>'Rekapitulasi BaU Emisi GRK'!G99</f>
        <v>872.87496553350104</v>
      </c>
      <c r="D18" s="117">
        <f>'Rekap BAU Emisi Industri Sawitt'!D14</f>
        <v>50419.43675999999</v>
      </c>
      <c r="E18" s="118">
        <f t="shared" si="1"/>
        <v>53843.371931524431</v>
      </c>
    </row>
    <row r="19" spans="1:5" x14ac:dyDescent="0.25">
      <c r="A19" s="116">
        <v>2021</v>
      </c>
      <c r="B19" s="117">
        <f>'Rekapitulasi BaU Emisi GRK'!J71</f>
        <v>2611.7155202506765</v>
      </c>
      <c r="C19" s="117">
        <f>'Rekapitulasi BaU Emisi GRK'!G100</f>
        <v>877.91877101253488</v>
      </c>
      <c r="D19" s="117">
        <f>'Rekap BAU Emisi Industri Sawitt'!D15</f>
        <v>75333.971019999997</v>
      </c>
      <c r="E19" s="118">
        <f t="shared" si="1"/>
        <v>78823.605311263207</v>
      </c>
    </row>
    <row r="20" spans="1:5" x14ac:dyDescent="0.25">
      <c r="A20" s="116">
        <v>2022</v>
      </c>
      <c r="B20" s="117">
        <f>'Rekapitulasi BaU Emisi GRK'!J72</f>
        <v>2667.4770150977138</v>
      </c>
      <c r="C20" s="117">
        <f>'Rekapitulasi BaU Emisi GRK'!G101</f>
        <v>882.96257649156894</v>
      </c>
      <c r="D20" s="117">
        <f>'Rekap BAU Emisi Industri Sawitt'!D16</f>
        <v>101161.84612799999</v>
      </c>
      <c r="E20" s="118">
        <f t="shared" si="1"/>
        <v>104712.28571958927</v>
      </c>
    </row>
    <row r="21" spans="1:5" x14ac:dyDescent="0.25">
      <c r="A21" s="116">
        <v>2023</v>
      </c>
      <c r="B21" s="117">
        <f>'Rekapitulasi BaU Emisi GRK'!J73</f>
        <v>2719.458455378377</v>
      </c>
      <c r="C21" s="117">
        <f>'Rekapitulasi BaU Emisi GRK'!G102</f>
        <v>888.00638197060277</v>
      </c>
      <c r="D21" s="117">
        <f>'Rekap BAU Emisi Industri Sawitt'!D17</f>
        <v>127903.06208399998</v>
      </c>
      <c r="E21" s="118">
        <f t="shared" si="1"/>
        <v>131510.52692134897</v>
      </c>
    </row>
    <row r="22" spans="1:5" x14ac:dyDescent="0.25">
      <c r="A22" s="116">
        <v>2024</v>
      </c>
      <c r="B22" s="117">
        <f>'Rekapitulasi BaU Emisi GRK'!J74</f>
        <v>2768.4865481673137</v>
      </c>
      <c r="C22" s="117">
        <f>'Rekapitulasi BaU Emisi GRK'!G103</f>
        <v>893.0501874496365</v>
      </c>
      <c r="D22" s="117">
        <f>'Rekap BAU Emisi Industri Sawitt'!D18</f>
        <v>155557.61888799997</v>
      </c>
      <c r="E22" s="118">
        <f t="shared" si="1"/>
        <v>159219.15562361691</v>
      </c>
    </row>
    <row r="23" spans="1:5" x14ac:dyDescent="0.25">
      <c r="A23" s="116">
        <v>2025</v>
      </c>
      <c r="B23" s="117">
        <f>'Rekapitulasi BaU Emisi GRK'!J75</f>
        <v>2815.1805094035476</v>
      </c>
      <c r="C23" s="117">
        <f>'Rekapitulasi BaU Emisi GRK'!G104</f>
        <v>898.09399292867056</v>
      </c>
      <c r="D23" s="117">
        <f>'Rekap BAU Emisi Industri Sawitt'!D19</f>
        <v>184125.51653999995</v>
      </c>
      <c r="E23" s="118">
        <f t="shared" si="1"/>
        <v>187838.79104233216</v>
      </c>
    </row>
    <row r="24" spans="1:5" x14ac:dyDescent="0.25">
      <c r="A24" s="116">
        <v>2026</v>
      </c>
      <c r="B24" s="117">
        <f>'Rekapitulasi BaU Emisi GRK'!J76</f>
        <v>2860.0071248425515</v>
      </c>
      <c r="C24" s="117">
        <f>'Rekapitulasi BaU Emisi GRK'!G105</f>
        <v>903.13779840770451</v>
      </c>
      <c r="D24" s="117">
        <f>'Rekap BAU Emisi Industri Sawitt'!D20</f>
        <v>213606.75503999996</v>
      </c>
      <c r="E24" s="118">
        <f t="shared" si="1"/>
        <v>217369.89996325021</v>
      </c>
    </row>
    <row r="25" spans="1:5" x14ac:dyDescent="0.25">
      <c r="A25" s="116">
        <v>2027</v>
      </c>
      <c r="B25" s="117">
        <f>'Rekapitulasi BaU Emisi GRK'!J77</f>
        <v>2903.3190805643326</v>
      </c>
      <c r="C25" s="117">
        <f>'Rekapitulasi BaU Emisi GRK'!G106</f>
        <v>908.18160388673857</v>
      </c>
      <c r="D25" s="117">
        <f>'Rekap BAU Emisi Industri Sawitt'!D21</f>
        <v>244001.33438799999</v>
      </c>
      <c r="E25" s="118">
        <f t="shared" si="1"/>
        <v>247812.83507245107</v>
      </c>
    </row>
    <row r="26" spans="1:5" x14ac:dyDescent="0.25">
      <c r="A26" s="116">
        <v>2028</v>
      </c>
      <c r="B26" s="117">
        <f>'Rekapitulasi BaU Emisi GRK'!J78</f>
        <v>2945.3818183388926</v>
      </c>
      <c r="C26" s="117">
        <f>'Rekapitulasi BaU Emisi GRK'!G107</f>
        <v>913.22540936577207</v>
      </c>
      <c r="D26" s="117">
        <f>'Rekap BAU Emisi Industri Sawitt'!D22</f>
        <v>275309.25458399998</v>
      </c>
      <c r="E26" s="118">
        <f t="shared" si="1"/>
        <v>279167.86181170464</v>
      </c>
    </row>
    <row r="27" spans="1:5" x14ac:dyDescent="0.25">
      <c r="A27" s="116">
        <v>2029</v>
      </c>
      <c r="B27" s="117">
        <f>'Rekapitulasi BaU Emisi GRK'!J79</f>
        <v>2986.3924749702878</v>
      </c>
      <c r="C27" s="117">
        <f>'Rekapitulasi BaU Emisi GRK'!G108</f>
        <v>918.26921484480636</v>
      </c>
      <c r="D27" s="117">
        <f>'Rekap BAU Emisi Industri Sawitt'!D23</f>
        <v>307530.51562799996</v>
      </c>
      <c r="E27" s="118">
        <f t="shared" si="1"/>
        <v>311435.17731781508</v>
      </c>
    </row>
    <row r="28" spans="1:5" x14ac:dyDescent="0.25">
      <c r="A28" s="116">
        <v>2030</v>
      </c>
      <c r="B28" s="117">
        <f>'Rekapitulasi BaU Emisi GRK'!J80</f>
        <v>3026.4861373402755</v>
      </c>
      <c r="C28" s="117">
        <f>'Rekapitulasi BaU Emisi GRK'!G109</f>
        <v>923.31302032384019</v>
      </c>
      <c r="D28" s="117">
        <f>'Rekap BAU Emisi Industri Sawitt'!D24</f>
        <v>312621.29438399995</v>
      </c>
      <c r="E28" s="118">
        <f t="shared" si="1"/>
        <v>316571.09354166407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64</v>
      </c>
    </row>
    <row r="5" spans="1:9" s="20" customFormat="1" ht="47.25" customHeight="1" x14ac:dyDescent="0.25">
      <c r="A5" s="25" t="s">
        <v>45</v>
      </c>
      <c r="B5" s="26" t="s">
        <v>46</v>
      </c>
      <c r="C5" s="21" t="s">
        <v>54</v>
      </c>
      <c r="D5" s="231" t="s">
        <v>53</v>
      </c>
      <c r="E5" s="231"/>
      <c r="F5" s="232" t="s">
        <v>63</v>
      </c>
      <c r="G5" s="232"/>
      <c r="H5" s="232"/>
      <c r="I5" s="232"/>
    </row>
    <row r="6" spans="1:9" s="20" customFormat="1" ht="16.5" customHeight="1" x14ac:dyDescent="0.25">
      <c r="A6" s="248" t="s">
        <v>47</v>
      </c>
      <c r="B6" s="248" t="s">
        <v>49</v>
      </c>
      <c r="C6" s="249"/>
      <c r="D6" s="238" t="s">
        <v>69</v>
      </c>
      <c r="E6" s="238"/>
      <c r="F6" s="233" t="s">
        <v>55</v>
      </c>
      <c r="G6" s="233"/>
      <c r="H6" s="233"/>
      <c r="I6" s="233"/>
    </row>
    <row r="7" spans="1:9" s="20" customFormat="1" ht="29.25" customHeight="1" x14ac:dyDescent="0.25">
      <c r="A7" s="248"/>
      <c r="B7" s="248"/>
      <c r="C7" s="249"/>
      <c r="D7" s="238"/>
      <c r="E7" s="238"/>
      <c r="F7" s="233" t="s">
        <v>56</v>
      </c>
      <c r="G7" s="233"/>
      <c r="H7" s="233"/>
      <c r="I7" s="233"/>
    </row>
    <row r="8" spans="1:9" s="20" customFormat="1" ht="51" customHeight="1" x14ac:dyDescent="0.25">
      <c r="A8" s="248"/>
      <c r="B8" s="29" t="s">
        <v>58</v>
      </c>
      <c r="C8" s="22"/>
      <c r="D8" s="238" t="s">
        <v>57</v>
      </c>
      <c r="E8" s="238"/>
      <c r="F8" s="233" t="s">
        <v>60</v>
      </c>
      <c r="G8" s="233"/>
      <c r="H8" s="233"/>
      <c r="I8" s="233"/>
    </row>
    <row r="9" spans="1:9" s="20" customFormat="1" ht="31.5" customHeight="1" x14ac:dyDescent="0.25">
      <c r="A9" s="248"/>
      <c r="B9" s="237" t="s">
        <v>50</v>
      </c>
      <c r="C9" s="22"/>
      <c r="D9" s="238" t="s">
        <v>59</v>
      </c>
      <c r="E9" s="238"/>
      <c r="F9" s="245" t="s">
        <v>65</v>
      </c>
      <c r="G9" s="246"/>
      <c r="H9" s="246"/>
      <c r="I9" s="247"/>
    </row>
    <row r="10" spans="1:9" s="20" customFormat="1" ht="20.25" customHeight="1" x14ac:dyDescent="0.25">
      <c r="A10" s="248"/>
      <c r="B10" s="237"/>
      <c r="C10" s="22"/>
      <c r="D10" s="238"/>
      <c r="E10" s="238"/>
      <c r="F10" s="233" t="s">
        <v>61</v>
      </c>
      <c r="G10" s="233"/>
      <c r="H10" s="233"/>
      <c r="I10" s="233"/>
    </row>
    <row r="11" spans="1:9" s="20" customFormat="1" ht="17.25" customHeight="1" x14ac:dyDescent="0.25">
      <c r="A11" s="248"/>
      <c r="B11" s="237"/>
      <c r="C11" s="22"/>
      <c r="D11" s="238"/>
      <c r="E11" s="238"/>
      <c r="F11" s="233" t="s">
        <v>62</v>
      </c>
      <c r="G11" s="233"/>
      <c r="H11" s="233"/>
      <c r="I11" s="233"/>
    </row>
    <row r="12" spans="1:9" s="20" customFormat="1" ht="60" customHeight="1" x14ac:dyDescent="0.25">
      <c r="A12" s="248" t="s">
        <v>48</v>
      </c>
      <c r="B12" s="27" t="s">
        <v>51</v>
      </c>
      <c r="C12" s="23"/>
      <c r="D12" s="24"/>
      <c r="E12" s="22"/>
      <c r="F12" s="239" t="s">
        <v>66</v>
      </c>
      <c r="G12" s="240"/>
      <c r="H12" s="240"/>
      <c r="I12" s="241"/>
    </row>
    <row r="13" spans="1:9" s="20" customFormat="1" ht="30" x14ac:dyDescent="0.25">
      <c r="A13" s="248"/>
      <c r="B13" s="28" t="s">
        <v>52</v>
      </c>
      <c r="C13" s="23"/>
      <c r="D13" s="24"/>
      <c r="E13" s="22"/>
      <c r="F13" s="242"/>
      <c r="G13" s="243"/>
      <c r="H13" s="243"/>
      <c r="I13" s="244"/>
    </row>
    <row r="18" spans="1:22" ht="21" x14ac:dyDescent="0.35">
      <c r="A18" s="250" t="s">
        <v>73</v>
      </c>
      <c r="B18" s="250"/>
      <c r="C18" s="250"/>
      <c r="D18" s="250"/>
      <c r="E18" s="250"/>
      <c r="F18" s="250"/>
      <c r="G18" s="250"/>
      <c r="H18" s="250"/>
      <c r="I18" s="250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68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234" t="s">
        <v>8</v>
      </c>
      <c r="B21" s="235" t="s">
        <v>39</v>
      </c>
      <c r="C21" s="235"/>
      <c r="D21" s="235"/>
      <c r="E21" s="235"/>
      <c r="F21" s="235"/>
      <c r="G21" s="235"/>
      <c r="H21" s="235"/>
      <c r="I21" s="236"/>
      <c r="K21" t="s">
        <v>21</v>
      </c>
      <c r="L21" t="s">
        <v>24</v>
      </c>
    </row>
    <row r="22" spans="1:22" ht="38.25" x14ac:dyDescent="0.25">
      <c r="A22" s="234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36"/>
      <c r="O22" s="8" t="s">
        <v>18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40</v>
      </c>
      <c r="K23" s="10" t="s">
        <v>42</v>
      </c>
    </row>
    <row r="24" spans="1:22" ht="15" customHeight="1" x14ac:dyDescent="0.25">
      <c r="A24" s="2">
        <v>2011</v>
      </c>
      <c r="B24" s="256" t="s">
        <v>70</v>
      </c>
      <c r="C24" s="35">
        <v>0</v>
      </c>
      <c r="D24" s="256" t="s">
        <v>72</v>
      </c>
      <c r="E24" s="256" t="s">
        <v>78</v>
      </c>
      <c r="F24" s="256"/>
      <c r="G24" s="256"/>
      <c r="H24" s="256"/>
      <c r="I24" s="34"/>
      <c r="K24" t="s">
        <v>25</v>
      </c>
      <c r="L24" s="15">
        <v>4000</v>
      </c>
      <c r="M24" s="16" t="s">
        <v>32</v>
      </c>
      <c r="N24" s="15">
        <v>6000</v>
      </c>
      <c r="O24" s="8" t="s">
        <v>27</v>
      </c>
      <c r="R24" s="18">
        <f>L24*1000/365</f>
        <v>10958.904109589041</v>
      </c>
      <c r="S24" s="19" t="s">
        <v>32</v>
      </c>
      <c r="T24" s="18">
        <f>N24*1000/365</f>
        <v>16438.35616438356</v>
      </c>
      <c r="U24" s="11" t="s">
        <v>30</v>
      </c>
      <c r="V24" t="s">
        <v>71</v>
      </c>
    </row>
    <row r="25" spans="1:22" ht="60" customHeight="1" x14ac:dyDescent="0.25">
      <c r="A25" s="2">
        <v>2012</v>
      </c>
      <c r="B25" s="256"/>
      <c r="C25" s="35">
        <v>0</v>
      </c>
      <c r="D25" s="256"/>
      <c r="E25" s="256"/>
      <c r="F25" s="256"/>
      <c r="G25" s="256"/>
      <c r="H25" s="256"/>
      <c r="I25" s="34"/>
      <c r="K25" t="s">
        <v>26</v>
      </c>
      <c r="L25" s="254">
        <v>1000</v>
      </c>
      <c r="M25" s="254"/>
      <c r="N25" s="254"/>
      <c r="O25" s="8" t="s">
        <v>27</v>
      </c>
      <c r="R25" s="255">
        <f>L25*1000/365</f>
        <v>2739.7260273972602</v>
      </c>
      <c r="S25" s="255"/>
      <c r="T25" s="255"/>
      <c r="U25" s="11" t="s">
        <v>44</v>
      </c>
    </row>
    <row r="26" spans="1:22" x14ac:dyDescent="0.25">
      <c r="A26" s="2">
        <v>2013</v>
      </c>
      <c r="B26" s="256"/>
      <c r="C26" s="35">
        <v>0</v>
      </c>
      <c r="D26" s="256"/>
      <c r="E26" s="256"/>
      <c r="F26" s="256"/>
      <c r="G26" s="256"/>
      <c r="H26" s="256"/>
      <c r="I26" s="34"/>
      <c r="K26" t="s">
        <v>28</v>
      </c>
      <c r="L26" s="254">
        <v>3000</v>
      </c>
      <c r="M26" s="254"/>
      <c r="N26" s="254"/>
      <c r="O26" s="8" t="s">
        <v>27</v>
      </c>
    </row>
    <row r="27" spans="1:22" x14ac:dyDescent="0.25">
      <c r="A27" s="2">
        <v>2014</v>
      </c>
      <c r="B27" s="256"/>
      <c r="C27" s="35">
        <v>0</v>
      </c>
      <c r="D27" s="256"/>
      <c r="E27" s="256"/>
      <c r="F27" s="256"/>
      <c r="G27" s="256"/>
      <c r="H27" s="256"/>
      <c r="I27" s="34"/>
      <c r="K27" s="9" t="s">
        <v>29</v>
      </c>
      <c r="L27" s="15">
        <v>8000</v>
      </c>
      <c r="M27" s="16" t="s">
        <v>32</v>
      </c>
      <c r="N27" s="15">
        <v>10000</v>
      </c>
      <c r="O27" s="8" t="s">
        <v>18</v>
      </c>
    </row>
    <row r="28" spans="1:22" x14ac:dyDescent="0.25">
      <c r="A28" s="2">
        <v>2015</v>
      </c>
      <c r="B28" s="256"/>
      <c r="C28" s="35">
        <v>0</v>
      </c>
      <c r="D28" s="256"/>
      <c r="E28" s="256"/>
      <c r="F28" s="256"/>
      <c r="G28" s="256"/>
      <c r="H28" s="256"/>
      <c r="I28" s="34"/>
    </row>
    <row r="29" spans="1:22" x14ac:dyDescent="0.25">
      <c r="A29" s="2">
        <v>2016</v>
      </c>
      <c r="B29" s="256"/>
      <c r="C29" s="35">
        <v>0</v>
      </c>
      <c r="D29" s="256"/>
      <c r="E29" s="256"/>
      <c r="F29" s="256"/>
      <c r="G29" s="256"/>
      <c r="H29" s="256"/>
      <c r="I29" s="34"/>
    </row>
    <row r="30" spans="1:22" x14ac:dyDescent="0.25">
      <c r="A30" s="2">
        <v>2017</v>
      </c>
      <c r="B30" s="256"/>
      <c r="C30" s="35">
        <v>0</v>
      </c>
      <c r="D30" s="256"/>
      <c r="E30" s="256"/>
      <c r="F30" s="256"/>
      <c r="G30" s="256"/>
      <c r="H30" s="256"/>
      <c r="I30" s="34"/>
    </row>
    <row r="31" spans="1:22" ht="25.5" x14ac:dyDescent="0.25">
      <c r="A31" s="2">
        <v>2018</v>
      </c>
      <c r="B31" s="256"/>
      <c r="C31" s="35">
        <v>0</v>
      </c>
      <c r="D31" s="256"/>
      <c r="E31" s="256"/>
      <c r="F31" s="256"/>
      <c r="G31" s="256"/>
      <c r="H31" s="256"/>
      <c r="I31" s="34"/>
      <c r="J31" s="9" t="s">
        <v>41</v>
      </c>
      <c r="K31" s="10" t="s">
        <v>43</v>
      </c>
    </row>
    <row r="32" spans="1:22" x14ac:dyDescent="0.25">
      <c r="A32" s="2">
        <v>2019</v>
      </c>
      <c r="B32" s="256"/>
      <c r="C32" s="35">
        <v>0</v>
      </c>
      <c r="D32" s="256"/>
      <c r="E32" s="256"/>
      <c r="F32" s="256"/>
      <c r="G32" s="256"/>
      <c r="H32" s="256"/>
      <c r="I32" s="34"/>
      <c r="K32" t="s">
        <v>25</v>
      </c>
      <c r="L32" s="17">
        <f>0.6*L35</f>
        <v>360</v>
      </c>
      <c r="M32" s="8" t="s">
        <v>27</v>
      </c>
      <c r="R32" s="18">
        <f>L32*1000/365</f>
        <v>986.30136986301375</v>
      </c>
      <c r="S32" s="11" t="s">
        <v>30</v>
      </c>
      <c r="T32" s="11"/>
    </row>
    <row r="33" spans="1:20" x14ac:dyDescent="0.25">
      <c r="A33" s="2">
        <v>2020</v>
      </c>
      <c r="B33" s="256"/>
      <c r="C33" s="35">
        <v>0</v>
      </c>
      <c r="D33" s="256"/>
      <c r="E33" s="256"/>
      <c r="F33" s="256"/>
      <c r="G33" s="256"/>
      <c r="H33" s="256"/>
      <c r="I33" s="34"/>
      <c r="K33" t="s">
        <v>26</v>
      </c>
      <c r="L33" s="17">
        <f>0.1*L35</f>
        <v>60</v>
      </c>
      <c r="M33" s="8" t="s">
        <v>27</v>
      </c>
      <c r="R33" s="18">
        <f>L33*1000/365</f>
        <v>164.38356164383561</v>
      </c>
      <c r="S33" s="11" t="s">
        <v>31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28</v>
      </c>
      <c r="L34" s="17">
        <f>0.3*L35</f>
        <v>180</v>
      </c>
      <c r="M34" s="8" t="s">
        <v>27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29</v>
      </c>
      <c r="L35" s="17">
        <v>600</v>
      </c>
      <c r="M35" s="8" t="s">
        <v>18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67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234" t="s">
        <v>8</v>
      </c>
      <c r="B37" s="257" t="s">
        <v>77</v>
      </c>
      <c r="C37" s="258"/>
      <c r="D37" s="258"/>
      <c r="E37" s="258"/>
      <c r="F37" s="258"/>
      <c r="G37" s="258"/>
      <c r="H37" s="259"/>
      <c r="I37" s="252" t="s">
        <v>39</v>
      </c>
    </row>
    <row r="38" spans="1:20" ht="38.25" x14ac:dyDescent="0.25">
      <c r="A38" s="234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53"/>
    </row>
    <row r="39" spans="1:20" x14ac:dyDescent="0.25">
      <c r="A39" s="2">
        <v>2010</v>
      </c>
      <c r="B39" s="225" t="s">
        <v>74</v>
      </c>
      <c r="C39" s="225" t="s">
        <v>75</v>
      </c>
      <c r="D39" s="225" t="s">
        <v>74</v>
      </c>
      <c r="E39" s="225" t="s">
        <v>75</v>
      </c>
      <c r="F39" s="225" t="s">
        <v>75</v>
      </c>
      <c r="G39" s="225" t="s">
        <v>75</v>
      </c>
      <c r="H39" s="225" t="s">
        <v>75</v>
      </c>
      <c r="I39" s="14">
        <f>'timbulan sampah'!E5</f>
        <v>4.8106099999999996</v>
      </c>
    </row>
    <row r="40" spans="1:20" x14ac:dyDescent="0.25">
      <c r="A40" s="2">
        <v>2011</v>
      </c>
      <c r="B40" s="226"/>
      <c r="C40" s="226"/>
      <c r="D40" s="226"/>
      <c r="E40" s="226"/>
      <c r="F40" s="226"/>
      <c r="G40" s="226"/>
      <c r="H40" s="226"/>
      <c r="I40" s="14">
        <f>'timbulan sampah'!E6</f>
        <v>4.8491800000000005</v>
      </c>
      <c r="K40" t="s">
        <v>19</v>
      </c>
      <c r="O40" s="8" t="s">
        <v>20</v>
      </c>
    </row>
    <row r="41" spans="1:20" x14ac:dyDescent="0.25">
      <c r="A41" s="2">
        <v>2012</v>
      </c>
      <c r="B41" s="226"/>
      <c r="C41" s="226"/>
      <c r="D41" s="226"/>
      <c r="E41" s="226"/>
      <c r="F41" s="226"/>
      <c r="G41" s="226"/>
      <c r="H41" s="226"/>
      <c r="I41" s="14">
        <f>'timbulan sampah'!E7</f>
        <v>4.8788199999999993</v>
      </c>
      <c r="K41" t="s">
        <v>22</v>
      </c>
      <c r="O41" s="8" t="s">
        <v>23</v>
      </c>
    </row>
    <row r="42" spans="1:20" x14ac:dyDescent="0.25">
      <c r="A42" s="2">
        <v>2013</v>
      </c>
      <c r="B42" s="226"/>
      <c r="C42" s="226"/>
      <c r="D42" s="226"/>
      <c r="E42" s="226"/>
      <c r="F42" s="226"/>
      <c r="G42" s="226"/>
      <c r="H42" s="226"/>
      <c r="I42" s="14">
        <f>'timbulan sampah'!E8</f>
        <v>4.9198599999999999</v>
      </c>
    </row>
    <row r="43" spans="1:20" x14ac:dyDescent="0.25">
      <c r="A43" s="2">
        <v>2014</v>
      </c>
      <c r="B43" s="226"/>
      <c r="C43" s="226"/>
      <c r="D43" s="226"/>
      <c r="E43" s="226"/>
      <c r="F43" s="226"/>
      <c r="G43" s="226"/>
      <c r="H43" s="226"/>
      <c r="I43" s="14">
        <f>'timbulan sampah'!E9</f>
        <v>4.9343000000000004</v>
      </c>
    </row>
    <row r="44" spans="1:20" x14ac:dyDescent="0.25">
      <c r="A44" s="2">
        <v>2015</v>
      </c>
      <c r="B44" s="226"/>
      <c r="C44" s="226"/>
      <c r="D44" s="226"/>
      <c r="E44" s="226"/>
      <c r="F44" s="226"/>
      <c r="G44" s="226"/>
      <c r="H44" s="226"/>
      <c r="I44" s="14">
        <f>'timbulan sampah'!E10</f>
        <v>4.9569099999999997</v>
      </c>
    </row>
    <row r="45" spans="1:20" x14ac:dyDescent="0.25">
      <c r="A45" s="2">
        <v>2016</v>
      </c>
      <c r="B45" s="226"/>
      <c r="C45" s="226"/>
      <c r="D45" s="226"/>
      <c r="E45" s="226"/>
      <c r="F45" s="226"/>
      <c r="G45" s="226"/>
      <c r="H45" s="226"/>
      <c r="I45" s="14">
        <f>'timbulan sampah'!E11</f>
        <v>4.9943381000000002</v>
      </c>
    </row>
    <row r="46" spans="1:20" x14ac:dyDescent="0.25">
      <c r="A46" s="2">
        <v>2017</v>
      </c>
      <c r="B46" s="226"/>
      <c r="C46" s="226"/>
      <c r="D46" s="226"/>
      <c r="E46" s="226"/>
      <c r="F46" s="226"/>
      <c r="G46" s="226"/>
      <c r="H46" s="226"/>
      <c r="I46" s="14">
        <f>'timbulan sampah'!E12</f>
        <v>5.0237064</v>
      </c>
    </row>
    <row r="47" spans="1:20" x14ac:dyDescent="0.25">
      <c r="A47" s="2">
        <v>2018</v>
      </c>
      <c r="B47" s="226"/>
      <c r="C47" s="226"/>
      <c r="D47" s="226"/>
      <c r="E47" s="226"/>
      <c r="F47" s="226"/>
      <c r="G47" s="226"/>
      <c r="H47" s="226"/>
      <c r="I47" s="14">
        <f>'timbulan sampah'!E13</f>
        <v>5.0530746999999998</v>
      </c>
    </row>
    <row r="48" spans="1:20" x14ac:dyDescent="0.25">
      <c r="A48" s="2">
        <v>2019</v>
      </c>
      <c r="B48" s="226"/>
      <c r="C48" s="226"/>
      <c r="D48" s="226"/>
      <c r="E48" s="226"/>
      <c r="F48" s="226"/>
      <c r="G48" s="226"/>
      <c r="H48" s="226"/>
      <c r="I48" s="14">
        <f>'timbulan sampah'!E14</f>
        <v>5.0824430000000005</v>
      </c>
    </row>
    <row r="49" spans="1:21" x14ac:dyDescent="0.25">
      <c r="A49" s="2">
        <v>2020</v>
      </c>
      <c r="B49" s="227"/>
      <c r="C49" s="227"/>
      <c r="D49" s="227"/>
      <c r="E49" s="227"/>
      <c r="F49" s="227"/>
      <c r="G49" s="227"/>
      <c r="H49" s="227"/>
      <c r="I49" s="14">
        <f>'timbulan sampah'!E15</f>
        <v>5.1118113000000003</v>
      </c>
    </row>
    <row r="52" spans="1:21" x14ac:dyDescent="0.25">
      <c r="A52" s="234" t="s">
        <v>8</v>
      </c>
      <c r="B52" s="251" t="s">
        <v>0</v>
      </c>
      <c r="C52" s="251"/>
      <c r="D52" s="251"/>
      <c r="E52" s="251"/>
      <c r="F52" s="251"/>
      <c r="G52" s="251"/>
      <c r="H52" s="251"/>
      <c r="I52" s="252" t="s">
        <v>9</v>
      </c>
    </row>
    <row r="53" spans="1:21" ht="42.75" customHeight="1" x14ac:dyDescent="0.25">
      <c r="A53" s="234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53"/>
    </row>
    <row r="54" spans="1:21" ht="17.25" customHeight="1" x14ac:dyDescent="0.25">
      <c r="A54" s="2">
        <v>2010</v>
      </c>
      <c r="B54" s="228" t="s">
        <v>76</v>
      </c>
      <c r="C54" s="228" t="s">
        <v>76</v>
      </c>
      <c r="D54" s="228" t="s">
        <v>76</v>
      </c>
      <c r="E54" s="228" t="s">
        <v>76</v>
      </c>
      <c r="F54" s="228" t="s">
        <v>76</v>
      </c>
      <c r="G54" s="228" t="s">
        <v>76</v>
      </c>
      <c r="H54" s="228" t="s">
        <v>76</v>
      </c>
      <c r="I54" s="3">
        <v>1</v>
      </c>
    </row>
    <row r="55" spans="1:21" x14ac:dyDescent="0.25">
      <c r="A55" s="2">
        <v>2011</v>
      </c>
      <c r="B55" s="229"/>
      <c r="C55" s="229"/>
      <c r="D55" s="229"/>
      <c r="E55" s="229"/>
      <c r="F55" s="229"/>
      <c r="G55" s="229"/>
      <c r="H55" s="229"/>
      <c r="I55" s="3">
        <v>1</v>
      </c>
    </row>
    <row r="56" spans="1:21" x14ac:dyDescent="0.25">
      <c r="A56" s="2">
        <v>2012</v>
      </c>
      <c r="B56" s="229"/>
      <c r="C56" s="229"/>
      <c r="D56" s="229"/>
      <c r="E56" s="229"/>
      <c r="F56" s="229"/>
      <c r="G56" s="229"/>
      <c r="H56" s="229"/>
      <c r="I56" s="3">
        <v>1</v>
      </c>
    </row>
    <row r="57" spans="1:21" x14ac:dyDescent="0.25">
      <c r="A57" s="2">
        <v>2013</v>
      </c>
      <c r="B57" s="229"/>
      <c r="C57" s="229"/>
      <c r="D57" s="229"/>
      <c r="E57" s="229"/>
      <c r="F57" s="229"/>
      <c r="G57" s="229"/>
      <c r="H57" s="229"/>
      <c r="I57" s="3">
        <v>1</v>
      </c>
    </row>
    <row r="58" spans="1:21" x14ac:dyDescent="0.25">
      <c r="A58" s="2">
        <v>2014</v>
      </c>
      <c r="B58" s="229"/>
      <c r="C58" s="229"/>
      <c r="D58" s="229"/>
      <c r="E58" s="229"/>
      <c r="F58" s="229"/>
      <c r="G58" s="229"/>
      <c r="H58" s="229"/>
      <c r="I58" s="3">
        <v>1</v>
      </c>
    </row>
    <row r="59" spans="1:21" x14ac:dyDescent="0.25">
      <c r="A59" s="2">
        <v>2015</v>
      </c>
      <c r="B59" s="229"/>
      <c r="C59" s="229"/>
      <c r="D59" s="229"/>
      <c r="E59" s="229"/>
      <c r="F59" s="229"/>
      <c r="G59" s="229"/>
      <c r="H59" s="229"/>
      <c r="I59" s="3">
        <v>1</v>
      </c>
    </row>
    <row r="60" spans="1:21" x14ac:dyDescent="0.25">
      <c r="A60" s="2">
        <v>2016</v>
      </c>
      <c r="B60" s="229"/>
      <c r="C60" s="229"/>
      <c r="D60" s="229"/>
      <c r="E60" s="229"/>
      <c r="F60" s="229"/>
      <c r="G60" s="229"/>
      <c r="H60" s="229"/>
      <c r="I60" s="3">
        <v>1</v>
      </c>
    </row>
    <row r="61" spans="1:21" x14ac:dyDescent="0.25">
      <c r="A61" s="2">
        <v>2017</v>
      </c>
      <c r="B61" s="229"/>
      <c r="C61" s="229"/>
      <c r="D61" s="229"/>
      <c r="E61" s="229"/>
      <c r="F61" s="229"/>
      <c r="G61" s="229"/>
      <c r="H61" s="229"/>
      <c r="I61" s="3">
        <v>1</v>
      </c>
    </row>
    <row r="62" spans="1:21" x14ac:dyDescent="0.25">
      <c r="A62" s="2">
        <v>2018</v>
      </c>
      <c r="B62" s="229"/>
      <c r="C62" s="229"/>
      <c r="D62" s="229"/>
      <c r="E62" s="229"/>
      <c r="F62" s="229"/>
      <c r="G62" s="229"/>
      <c r="H62" s="229"/>
      <c r="I62" s="3">
        <v>1</v>
      </c>
    </row>
    <row r="63" spans="1:21" x14ac:dyDescent="0.25">
      <c r="A63" s="2">
        <v>2019</v>
      </c>
      <c r="B63" s="229"/>
      <c r="C63" s="229"/>
      <c r="D63" s="229"/>
      <c r="E63" s="229"/>
      <c r="F63" s="229"/>
      <c r="G63" s="229"/>
      <c r="H63" s="229"/>
      <c r="I63" s="3">
        <v>1</v>
      </c>
      <c r="U63" s="4"/>
    </row>
    <row r="64" spans="1:21" x14ac:dyDescent="0.25">
      <c r="A64" s="2">
        <v>2020</v>
      </c>
      <c r="B64" s="230"/>
      <c r="C64" s="230"/>
      <c r="D64" s="230"/>
      <c r="E64" s="230"/>
      <c r="F64" s="230"/>
      <c r="G64" s="230"/>
      <c r="H64" s="230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D5:E5"/>
    <mergeCell ref="F5:I5"/>
    <mergeCell ref="F6:I6"/>
    <mergeCell ref="F7:I7"/>
    <mergeCell ref="F8:I8"/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115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108</v>
      </c>
    </row>
    <row r="6" spans="1:19" ht="54" customHeight="1" x14ac:dyDescent="0.25">
      <c r="A6" s="275" t="s">
        <v>10</v>
      </c>
      <c r="B6" s="276" t="s">
        <v>109</v>
      </c>
      <c r="C6" s="276"/>
      <c r="D6" s="276"/>
      <c r="E6" s="71" t="s">
        <v>113</v>
      </c>
      <c r="F6" s="275" t="s">
        <v>10</v>
      </c>
      <c r="G6" s="276" t="s">
        <v>110</v>
      </c>
      <c r="H6" s="276"/>
      <c r="I6" s="276"/>
      <c r="J6" s="72" t="s">
        <v>114</v>
      </c>
      <c r="K6" s="275" t="s">
        <v>10</v>
      </c>
      <c r="L6" s="276" t="s">
        <v>111</v>
      </c>
      <c r="M6" s="276"/>
      <c r="N6" s="276"/>
      <c r="O6" s="72" t="s">
        <v>114</v>
      </c>
      <c r="P6" s="275" t="s">
        <v>10</v>
      </c>
      <c r="Q6" s="276" t="s">
        <v>112</v>
      </c>
      <c r="R6" s="276"/>
      <c r="S6" s="276"/>
    </row>
    <row r="7" spans="1:19" x14ac:dyDescent="0.25">
      <c r="A7" s="275"/>
      <c r="B7" s="275" t="s">
        <v>81</v>
      </c>
      <c r="C7" s="275"/>
      <c r="D7" s="276" t="s">
        <v>83</v>
      </c>
      <c r="E7" s="69"/>
      <c r="F7" s="275"/>
      <c r="G7" s="275" t="s">
        <v>81</v>
      </c>
      <c r="H7" s="275"/>
      <c r="I7" s="276" t="s">
        <v>83</v>
      </c>
      <c r="K7" s="275"/>
      <c r="L7" s="275" t="s">
        <v>81</v>
      </c>
      <c r="M7" s="275"/>
      <c r="N7" s="276" t="s">
        <v>83</v>
      </c>
      <c r="P7" s="275"/>
      <c r="Q7" s="275" t="s">
        <v>81</v>
      </c>
      <c r="R7" s="275"/>
      <c r="S7" s="276" t="s">
        <v>83</v>
      </c>
    </row>
    <row r="8" spans="1:19" x14ac:dyDescent="0.25">
      <c r="A8" s="275"/>
      <c r="B8" s="74" t="s">
        <v>84</v>
      </c>
      <c r="C8" s="74" t="s">
        <v>85</v>
      </c>
      <c r="D8" s="276"/>
      <c r="E8" s="6"/>
      <c r="F8" s="275"/>
      <c r="G8" s="74" t="s">
        <v>84</v>
      </c>
      <c r="H8" s="74" t="s">
        <v>85</v>
      </c>
      <c r="I8" s="276"/>
      <c r="K8" s="275"/>
      <c r="L8" s="74" t="s">
        <v>84</v>
      </c>
      <c r="M8" s="74" t="s">
        <v>85</v>
      </c>
      <c r="N8" s="276"/>
      <c r="P8" s="275"/>
      <c r="Q8" s="74" t="s">
        <v>84</v>
      </c>
      <c r="R8" s="74" t="s">
        <v>85</v>
      </c>
      <c r="S8" s="276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79</v>
      </c>
      <c r="K22" t="s">
        <v>119</v>
      </c>
      <c r="L22">
        <v>16000</v>
      </c>
    </row>
    <row r="23" spans="1:19" ht="15.75" thickBot="1" x14ac:dyDescent="0.3">
      <c r="A23" s="266" t="s">
        <v>10</v>
      </c>
      <c r="B23" s="268" t="s">
        <v>80</v>
      </c>
      <c r="C23" s="269"/>
      <c r="D23" s="269"/>
      <c r="E23" s="269"/>
      <c r="F23" s="270"/>
      <c r="K23" t="s">
        <v>120</v>
      </c>
      <c r="L23">
        <v>280</v>
      </c>
      <c r="M23" t="s">
        <v>122</v>
      </c>
    </row>
    <row r="24" spans="1:19" ht="15.75" thickBot="1" x14ac:dyDescent="0.3">
      <c r="A24" s="267"/>
      <c r="B24" s="268" t="s">
        <v>81</v>
      </c>
      <c r="C24" s="270"/>
      <c r="D24" s="268" t="s">
        <v>82</v>
      </c>
      <c r="E24" s="270"/>
      <c r="F24" s="271" t="s">
        <v>83</v>
      </c>
      <c r="K24" t="s">
        <v>121</v>
      </c>
      <c r="L24">
        <v>4800</v>
      </c>
      <c r="M24" t="s">
        <v>122</v>
      </c>
    </row>
    <row r="25" spans="1:19" x14ac:dyDescent="0.25">
      <c r="A25" s="267"/>
      <c r="B25" s="36" t="s">
        <v>84</v>
      </c>
      <c r="C25" s="36" t="s">
        <v>85</v>
      </c>
      <c r="D25" s="36" t="s">
        <v>86</v>
      </c>
      <c r="E25" s="36" t="s">
        <v>85</v>
      </c>
      <c r="F25" s="272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87</v>
      </c>
    </row>
    <row r="40" spans="1:6" ht="15.75" thickBot="1" x14ac:dyDescent="0.3">
      <c r="A40" s="273" t="s">
        <v>10</v>
      </c>
      <c r="B40" s="42" t="s">
        <v>88</v>
      </c>
      <c r="C40" s="43"/>
      <c r="D40" s="43"/>
      <c r="E40" s="43"/>
      <c r="F40" s="43"/>
    </row>
    <row r="41" spans="1:6" ht="15.75" thickBot="1" x14ac:dyDescent="0.3">
      <c r="A41" s="274"/>
      <c r="B41" s="42" t="s">
        <v>81</v>
      </c>
      <c r="C41" s="44"/>
      <c r="D41" s="42" t="s">
        <v>82</v>
      </c>
      <c r="E41" s="44"/>
      <c r="F41" s="45" t="s">
        <v>89</v>
      </c>
    </row>
    <row r="42" spans="1:6" x14ac:dyDescent="0.25">
      <c r="A42" s="274"/>
      <c r="B42" s="46" t="s">
        <v>84</v>
      </c>
      <c r="C42" s="46" t="s">
        <v>85</v>
      </c>
      <c r="D42" s="46" t="s">
        <v>86</v>
      </c>
      <c r="E42" s="46" t="s">
        <v>85</v>
      </c>
      <c r="F42" s="46" t="s">
        <v>90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5.3688694149036063E-2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5.4016859507834344E-2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5.4471242312324267E-2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5.4631117743533686E-2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5.4881449010822106E-2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5.5295841921268733E-2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5.5620999097611354E-2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5.5946156273953981E-2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5.6271313450296602E-2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5.659647062663923E-2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5.6921627802981857E-2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91</v>
      </c>
      <c r="B57" s="51"/>
      <c r="C57" s="50"/>
      <c r="D57" s="51"/>
    </row>
    <row r="58" spans="1:6" ht="15.75" thickBot="1" x14ac:dyDescent="0.3">
      <c r="A58" s="260" t="s">
        <v>10</v>
      </c>
      <c r="B58" s="262" t="s">
        <v>92</v>
      </c>
      <c r="C58" s="263"/>
      <c r="D58" s="53" t="s">
        <v>93</v>
      </c>
      <c r="E58" s="54"/>
      <c r="F58" s="55" t="s">
        <v>94</v>
      </c>
    </row>
    <row r="59" spans="1:6" ht="63.75" thickBot="1" x14ac:dyDescent="0.3">
      <c r="A59" s="261"/>
      <c r="B59" s="56" t="s">
        <v>95</v>
      </c>
      <c r="C59" s="56" t="s">
        <v>96</v>
      </c>
      <c r="D59" s="57" t="s">
        <v>97</v>
      </c>
      <c r="E59" s="57" t="s">
        <v>98</v>
      </c>
      <c r="F59" s="58" t="s">
        <v>99</v>
      </c>
    </row>
    <row r="60" spans="1:6" ht="15.75" thickBot="1" x14ac:dyDescent="0.3">
      <c r="A60" s="261"/>
      <c r="B60" s="264" t="s">
        <v>100</v>
      </c>
      <c r="C60" s="59" t="s">
        <v>101</v>
      </c>
      <c r="D60" s="60" t="s">
        <v>102</v>
      </c>
      <c r="E60" s="61" t="s">
        <v>103</v>
      </c>
      <c r="F60" s="62" t="s">
        <v>104</v>
      </c>
    </row>
    <row r="61" spans="1:6" ht="26.25" x14ac:dyDescent="0.25">
      <c r="A61" s="261"/>
      <c r="B61" s="265"/>
      <c r="C61" s="63" t="s">
        <v>105</v>
      </c>
      <c r="D61" s="64"/>
      <c r="E61" s="65" t="s">
        <v>106</v>
      </c>
      <c r="F61" s="66" t="s">
        <v>107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6:A8"/>
    <mergeCell ref="B6:D6"/>
    <mergeCell ref="F6:F8"/>
    <mergeCell ref="G6:I6"/>
    <mergeCell ref="K6:K8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timbulan sampah</vt:lpstr>
      <vt:lpstr>Fraksi pengelolaan sampah BaU</vt:lpstr>
      <vt:lpstr>Rekapitulasi BaU Emisi GRK</vt:lpstr>
      <vt:lpstr>Rekap BAU Emisi Industri Sawitt</vt:lpstr>
      <vt:lpstr>Rekap BAU_Gabung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2017-09-27T07:22:59Z</dcterms:modified>
</cp:coreProperties>
</file>